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期貨\pythonTest\twse\"/>
    </mc:Choice>
  </mc:AlternateContent>
  <xr:revisionPtr revIDLastSave="0" documentId="13_ncr:1_{9DC7EEAB-C6F9-4491-88BB-1073ABCD9ED3}" xr6:coauthVersionLast="45" xr6:coauthVersionMax="45" xr10:uidLastSave="{00000000-0000-0000-0000-000000000000}"/>
  <bookViews>
    <workbookView xWindow="390" yWindow="1035" windowWidth="11490" windowHeight="7875" xr2:uid="{FBF5D234-E77B-49B0-899C-6991C33DB208}"/>
  </bookViews>
  <sheets>
    <sheet name="工作表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000" i="1" l="1"/>
  <c r="B10000" i="1"/>
  <c r="A10000" i="1"/>
  <c r="F9955" i="1" l="1"/>
  <c r="E9955" i="1"/>
  <c r="D9955" i="1"/>
  <c r="C9955" i="1"/>
  <c r="B9955" i="1"/>
  <c r="A9955" i="1"/>
  <c r="F9945" i="1"/>
  <c r="E9945" i="1"/>
  <c r="D9945" i="1"/>
  <c r="C9945" i="1"/>
  <c r="B9945" i="1"/>
  <c r="A9945" i="1"/>
  <c r="F9944" i="1"/>
  <c r="E9944" i="1"/>
  <c r="D9944" i="1"/>
  <c r="C9944" i="1"/>
  <c r="B9944" i="1"/>
  <c r="A9944" i="1"/>
  <c r="F9942" i="1"/>
  <c r="E9942" i="1"/>
  <c r="D9942" i="1"/>
  <c r="C9942" i="1"/>
  <c r="B9942" i="1"/>
  <c r="A9942" i="1"/>
  <c r="F9941" i="1"/>
  <c r="E9941" i="1"/>
  <c r="D9941" i="1"/>
  <c r="C9941" i="1"/>
  <c r="B9941" i="1"/>
  <c r="A9941" i="1"/>
  <c r="F9940" i="1"/>
  <c r="E9940" i="1"/>
  <c r="D9940" i="1"/>
  <c r="C9940" i="1"/>
  <c r="B9940" i="1"/>
  <c r="A9940" i="1"/>
  <c r="F9939" i="1"/>
  <c r="E9939" i="1"/>
  <c r="D9939" i="1"/>
  <c r="C9939" i="1"/>
  <c r="B9939" i="1"/>
  <c r="A9939" i="1"/>
  <c r="F9938" i="1"/>
  <c r="E9938" i="1"/>
  <c r="D9938" i="1"/>
  <c r="C9938" i="1"/>
  <c r="B9938" i="1"/>
  <c r="A9938" i="1"/>
  <c r="F9935" i="1"/>
  <c r="E9935" i="1"/>
  <c r="D9935" i="1"/>
  <c r="C9935" i="1"/>
  <c r="B9935" i="1"/>
  <c r="A9935" i="1"/>
  <c r="F9934" i="1"/>
  <c r="E9934" i="1"/>
  <c r="D9934" i="1"/>
  <c r="C9934" i="1"/>
  <c r="B9934" i="1"/>
  <c r="A9934" i="1"/>
  <c r="F9933" i="1"/>
  <c r="E9933" i="1"/>
  <c r="D9933" i="1"/>
  <c r="C9933" i="1"/>
  <c r="B9933" i="1"/>
  <c r="A9933" i="1"/>
  <c r="F9930" i="1"/>
  <c r="E9930" i="1"/>
  <c r="D9930" i="1"/>
  <c r="C9930" i="1"/>
  <c r="B9930" i="1"/>
  <c r="A9930" i="1"/>
  <c r="F9929" i="1"/>
  <c r="E9929" i="1"/>
  <c r="D9929" i="1"/>
  <c r="C9929" i="1"/>
  <c r="B9929" i="1"/>
  <c r="A9929" i="1"/>
  <c r="F9928" i="1"/>
  <c r="E9928" i="1"/>
  <c r="D9928" i="1"/>
  <c r="C9928" i="1"/>
  <c r="B9928" i="1"/>
  <c r="A9928" i="1"/>
  <c r="F9927" i="1"/>
  <c r="E9927" i="1"/>
  <c r="D9927" i="1"/>
  <c r="C9927" i="1"/>
  <c r="B9927" i="1"/>
  <c r="A9927" i="1"/>
  <c r="F9925" i="1"/>
  <c r="E9925" i="1"/>
  <c r="D9925" i="1"/>
  <c r="C9925" i="1"/>
  <c r="B9925" i="1"/>
  <c r="A9925" i="1"/>
  <c r="F9924" i="1"/>
  <c r="E9924" i="1"/>
  <c r="D9924" i="1"/>
  <c r="C9924" i="1"/>
  <c r="B9924" i="1"/>
  <c r="A9924" i="1"/>
  <c r="F9921" i="1"/>
  <c r="E9921" i="1"/>
  <c r="D9921" i="1"/>
  <c r="C9921" i="1"/>
  <c r="B9921" i="1"/>
  <c r="A9921" i="1"/>
  <c r="F9919" i="1"/>
  <c r="E9919" i="1"/>
  <c r="D9919" i="1"/>
  <c r="C9919" i="1"/>
  <c r="B9919" i="1"/>
  <c r="A9919" i="1"/>
  <c r="F9917" i="1"/>
  <c r="E9917" i="1"/>
  <c r="D9917" i="1"/>
  <c r="C9917" i="1"/>
  <c r="B9917" i="1"/>
  <c r="A9917" i="1"/>
  <c r="F9914" i="1"/>
  <c r="E9914" i="1"/>
  <c r="D9914" i="1"/>
  <c r="C9914" i="1"/>
  <c r="B9914" i="1"/>
  <c r="A9914" i="1"/>
  <c r="F9911" i="1"/>
  <c r="E9911" i="1"/>
  <c r="D9911" i="1"/>
  <c r="C9911" i="1"/>
  <c r="B9911" i="1"/>
  <c r="A9911" i="1"/>
  <c r="F9910" i="1"/>
  <c r="E9910" i="1"/>
  <c r="D9910" i="1"/>
  <c r="C9910" i="1"/>
  <c r="B9910" i="1"/>
  <c r="A9910" i="1"/>
  <c r="F9907" i="1"/>
  <c r="E9907" i="1"/>
  <c r="D9907" i="1"/>
  <c r="C9907" i="1"/>
  <c r="B9907" i="1"/>
  <c r="A9907" i="1"/>
  <c r="F9905" i="1"/>
  <c r="E9905" i="1"/>
  <c r="D9905" i="1"/>
  <c r="C9905" i="1"/>
  <c r="B9905" i="1"/>
  <c r="A9905" i="1"/>
  <c r="F9904" i="1"/>
  <c r="E9904" i="1"/>
  <c r="D9904" i="1"/>
  <c r="C9904" i="1"/>
  <c r="B9904" i="1"/>
  <c r="A9904" i="1"/>
  <c r="F9902" i="1"/>
  <c r="E9902" i="1"/>
  <c r="D9902" i="1"/>
  <c r="C9902" i="1"/>
  <c r="B9902" i="1"/>
  <c r="A9902" i="1"/>
  <c r="F9802" i="1"/>
  <c r="E9802" i="1"/>
  <c r="D9802" i="1"/>
  <c r="C9802" i="1"/>
  <c r="B9802" i="1"/>
  <c r="A9802" i="1"/>
  <c r="F8499" i="1"/>
  <c r="E8499" i="1"/>
  <c r="D8499" i="1"/>
  <c r="C8499" i="1"/>
  <c r="B8499" i="1"/>
  <c r="A8499" i="1"/>
  <c r="F8497" i="1"/>
  <c r="E8497" i="1"/>
  <c r="D8497" i="1"/>
  <c r="C8497" i="1"/>
  <c r="B8497" i="1"/>
  <c r="A8497" i="1"/>
  <c r="F8488" i="1"/>
  <c r="E8488" i="1"/>
  <c r="D8488" i="1"/>
  <c r="C8488" i="1"/>
  <c r="B8488" i="1"/>
  <c r="A8488" i="1"/>
  <c r="F8482" i="1"/>
  <c r="E8482" i="1"/>
  <c r="D8482" i="1"/>
  <c r="C8482" i="1"/>
  <c r="B8482" i="1"/>
  <c r="A8482" i="1"/>
  <c r="F8481" i="1"/>
  <c r="E8481" i="1"/>
  <c r="D8481" i="1"/>
  <c r="C8481" i="1"/>
  <c r="B8481" i="1"/>
  <c r="A8481" i="1"/>
  <c r="F8480" i="1"/>
  <c r="E8480" i="1"/>
  <c r="D8480" i="1"/>
  <c r="C8480" i="1"/>
  <c r="B8480" i="1"/>
  <c r="A8480" i="1"/>
  <c r="F8478" i="1"/>
  <c r="E8478" i="1"/>
  <c r="D8478" i="1"/>
  <c r="C8478" i="1"/>
  <c r="B8478" i="1"/>
  <c r="A8478" i="1"/>
  <c r="F8473" i="1"/>
  <c r="E8473" i="1"/>
  <c r="D8473" i="1"/>
  <c r="C8473" i="1"/>
  <c r="B8473" i="1"/>
  <c r="A8473" i="1"/>
  <c r="F8467" i="1"/>
  <c r="E8467" i="1"/>
  <c r="D8467" i="1"/>
  <c r="C8467" i="1"/>
  <c r="B8467" i="1"/>
  <c r="A8467" i="1"/>
  <c r="F8466" i="1"/>
  <c r="E8466" i="1"/>
  <c r="D8466" i="1"/>
  <c r="C8466" i="1"/>
  <c r="B8466" i="1"/>
  <c r="A8466" i="1"/>
  <c r="F8464" i="1"/>
  <c r="E8464" i="1"/>
  <c r="D8464" i="1"/>
  <c r="C8464" i="1"/>
  <c r="B8464" i="1"/>
  <c r="A8464" i="1"/>
  <c r="F8463" i="1"/>
  <c r="E8463" i="1"/>
  <c r="D8463" i="1"/>
  <c r="C8463" i="1"/>
  <c r="B8463" i="1"/>
  <c r="A8463" i="1"/>
  <c r="F8442" i="1"/>
  <c r="E8442" i="1"/>
  <c r="D8442" i="1"/>
  <c r="C8442" i="1"/>
  <c r="B8442" i="1"/>
  <c r="A8442" i="1"/>
  <c r="F8427" i="1"/>
  <c r="E8427" i="1"/>
  <c r="D8427" i="1"/>
  <c r="C8427" i="1"/>
  <c r="B8427" i="1"/>
  <c r="A8427" i="1"/>
  <c r="F8422" i="1"/>
  <c r="E8422" i="1"/>
  <c r="D8422" i="1"/>
  <c r="C8422" i="1"/>
  <c r="B8422" i="1"/>
  <c r="A8422" i="1"/>
  <c r="F8411" i="1"/>
  <c r="E8411" i="1"/>
  <c r="D8411" i="1"/>
  <c r="C8411" i="1"/>
  <c r="B8411" i="1"/>
  <c r="A8411" i="1"/>
  <c r="F8404" i="1"/>
  <c r="E8404" i="1"/>
  <c r="D8404" i="1"/>
  <c r="C8404" i="1"/>
  <c r="B8404" i="1"/>
  <c r="A8404" i="1"/>
  <c r="F8341" i="1"/>
  <c r="E8341" i="1"/>
  <c r="D8341" i="1"/>
  <c r="C8341" i="1"/>
  <c r="B8341" i="1"/>
  <c r="A8341" i="1"/>
  <c r="F8033" i="1"/>
  <c r="E8033" i="1"/>
  <c r="D8033" i="1"/>
  <c r="C8033" i="1"/>
  <c r="B8033" i="1"/>
  <c r="A8033" i="1"/>
  <c r="F6671" i="1"/>
  <c r="E6671" i="1"/>
  <c r="D6671" i="1"/>
  <c r="C6671" i="1"/>
  <c r="B6671" i="1"/>
  <c r="A6671" i="1"/>
  <c r="F6670" i="1"/>
  <c r="E6670" i="1"/>
  <c r="D6670" i="1"/>
  <c r="C6670" i="1"/>
  <c r="B6670" i="1"/>
  <c r="A6670" i="1"/>
  <c r="F6655" i="1"/>
  <c r="E6655" i="1"/>
  <c r="D6655" i="1"/>
  <c r="C6655" i="1"/>
  <c r="B6655" i="1"/>
  <c r="A6655" i="1"/>
  <c r="F6641" i="1"/>
  <c r="E6641" i="1"/>
  <c r="D6641" i="1"/>
  <c r="C6641" i="1"/>
  <c r="B6641" i="1"/>
  <c r="A6641" i="1"/>
  <c r="F6625" i="1"/>
  <c r="E6625" i="1"/>
  <c r="D6625" i="1"/>
  <c r="C6625" i="1"/>
  <c r="B6625" i="1"/>
  <c r="A6625" i="1"/>
  <c r="F6592" i="1"/>
  <c r="E6592" i="1"/>
  <c r="D6592" i="1"/>
  <c r="C6592" i="1"/>
  <c r="B6592" i="1"/>
  <c r="A6592" i="1"/>
  <c r="F6581" i="1"/>
  <c r="E6581" i="1"/>
  <c r="D6581" i="1"/>
  <c r="C6581" i="1"/>
  <c r="B6581" i="1"/>
  <c r="A6581" i="1"/>
  <c r="F6504" i="1"/>
  <c r="E6504" i="1"/>
  <c r="D6504" i="1"/>
  <c r="C6504" i="1"/>
  <c r="B6504" i="1"/>
  <c r="A6504" i="1"/>
  <c r="F6464" i="1"/>
  <c r="E6464" i="1"/>
  <c r="D6464" i="1"/>
  <c r="C6464" i="1"/>
  <c r="B6464" i="1"/>
  <c r="A6464" i="1"/>
  <c r="F6184" i="1"/>
  <c r="E6184" i="1"/>
  <c r="D6184" i="1"/>
  <c r="C6184" i="1"/>
  <c r="B6184" i="1"/>
  <c r="A6184" i="1"/>
  <c r="F5871" i="1"/>
  <c r="E5871" i="1"/>
  <c r="D5871" i="1"/>
  <c r="C5871" i="1"/>
  <c r="B5871" i="1"/>
  <c r="A5871" i="1"/>
  <c r="F5284" i="1"/>
  <c r="E5284" i="1"/>
  <c r="D5284" i="1"/>
  <c r="C5284" i="1"/>
  <c r="B5284" i="1"/>
  <c r="A5284" i="1"/>
  <c r="F4536" i="1"/>
  <c r="E4536" i="1"/>
  <c r="D4536" i="1"/>
  <c r="C4536" i="1"/>
  <c r="B4536" i="1"/>
  <c r="A4536" i="1"/>
  <c r="F3040" i="1"/>
  <c r="E3040" i="1"/>
  <c r="D3040" i="1"/>
  <c r="C3040" i="1"/>
  <c r="B3040" i="1"/>
  <c r="A3040" i="1"/>
  <c r="F2904" i="1"/>
  <c r="E2904" i="1"/>
  <c r="D2904" i="1"/>
  <c r="C2904" i="1"/>
  <c r="B2904" i="1"/>
  <c r="A2904" i="1"/>
  <c r="F2514" i="1"/>
  <c r="E2514" i="1"/>
  <c r="D2514" i="1"/>
  <c r="C2514" i="1"/>
  <c r="B2514" i="1"/>
  <c r="A2514" i="1"/>
  <c r="F2496" i="1"/>
  <c r="E2496" i="1"/>
  <c r="D2496" i="1"/>
  <c r="C2496" i="1"/>
  <c r="B2496" i="1"/>
  <c r="A2496" i="1"/>
  <c r="F2443" i="1"/>
  <c r="E2443" i="1"/>
  <c r="D2443" i="1"/>
  <c r="C2443" i="1"/>
  <c r="B2443" i="1"/>
  <c r="A2443" i="1"/>
  <c r="F2358" i="1"/>
  <c r="E2358" i="1"/>
  <c r="D2358" i="1"/>
  <c r="C2358" i="1"/>
  <c r="B2358" i="1"/>
  <c r="A2358" i="1"/>
  <c r="F2348" i="1"/>
  <c r="E2348" i="1"/>
  <c r="D2348" i="1"/>
  <c r="C2348" i="1"/>
  <c r="B2348" i="1"/>
  <c r="A2348" i="1"/>
  <c r="F2062" i="1"/>
  <c r="E2062" i="1"/>
  <c r="D2062" i="1"/>
  <c r="C2062" i="1"/>
  <c r="B2062" i="1"/>
  <c r="A2062" i="1"/>
  <c r="F1516" i="1"/>
  <c r="E1516" i="1"/>
  <c r="D1516" i="1"/>
  <c r="C1516" i="1"/>
  <c r="B1516" i="1"/>
  <c r="A1516" i="1"/>
  <c r="F1437" i="1"/>
  <c r="E1437" i="1"/>
  <c r="D1437" i="1"/>
  <c r="C1437" i="1"/>
  <c r="B1437" i="1"/>
  <c r="A1437" i="1"/>
  <c r="F1435" i="1"/>
  <c r="E1435" i="1"/>
  <c r="D1435" i="1"/>
  <c r="C1435" i="1"/>
  <c r="B1435" i="1"/>
  <c r="A1435" i="1"/>
  <c r="F9937" i="1"/>
  <c r="E9937" i="1"/>
  <c r="D9937" i="1"/>
  <c r="C9937" i="1"/>
  <c r="B9937" i="1"/>
  <c r="A9937" i="1"/>
  <c r="F9931" i="1"/>
  <c r="E9931" i="1"/>
  <c r="D9931" i="1"/>
  <c r="C9931" i="1"/>
  <c r="B9931" i="1"/>
  <c r="A9931" i="1"/>
  <c r="F9926" i="1"/>
  <c r="E9926" i="1"/>
  <c r="D9926" i="1"/>
  <c r="C9926" i="1"/>
  <c r="B9926" i="1"/>
  <c r="A9926" i="1"/>
  <c r="F9918" i="1"/>
  <c r="E9918" i="1"/>
  <c r="D9918" i="1"/>
  <c r="C9918" i="1"/>
  <c r="B9918" i="1"/>
  <c r="A9918" i="1"/>
  <c r="F9908" i="1"/>
  <c r="E9908" i="1"/>
  <c r="D9908" i="1"/>
  <c r="C9908" i="1"/>
  <c r="B9908" i="1"/>
  <c r="A9908" i="1"/>
  <c r="F8926" i="1"/>
  <c r="E8926" i="1"/>
  <c r="D8926" i="1"/>
  <c r="C8926" i="1"/>
  <c r="B8926" i="1"/>
  <c r="A8926" i="1"/>
  <c r="F6505" i="1"/>
  <c r="E6505" i="1"/>
  <c r="D6505" i="1"/>
  <c r="C6505" i="1"/>
  <c r="B6505" i="1"/>
  <c r="A6505" i="1"/>
  <c r="F2616" i="1"/>
  <c r="E2616" i="1"/>
  <c r="D2616" i="1"/>
  <c r="C2616" i="1"/>
  <c r="B2616" i="1"/>
  <c r="A2616" i="1"/>
  <c r="F8454" i="1"/>
  <c r="E8454" i="1"/>
  <c r="D8454" i="1"/>
  <c r="C8454" i="1"/>
  <c r="B8454" i="1"/>
  <c r="A8454" i="1"/>
  <c r="F8443" i="1"/>
  <c r="E8443" i="1"/>
  <c r="D8443" i="1"/>
  <c r="C8443" i="1"/>
  <c r="B8443" i="1"/>
  <c r="A8443" i="1"/>
  <c r="F8429" i="1"/>
  <c r="E8429" i="1"/>
  <c r="D8429" i="1"/>
  <c r="C8429" i="1"/>
  <c r="B8429" i="1"/>
  <c r="A8429" i="1"/>
  <c r="F5907" i="1"/>
  <c r="E5907" i="1"/>
  <c r="D5907" i="1"/>
  <c r="C5907" i="1"/>
  <c r="B5907" i="1"/>
  <c r="A5907" i="1"/>
  <c r="F5906" i="1"/>
  <c r="E5906" i="1"/>
  <c r="D5906" i="1"/>
  <c r="C5906" i="1"/>
  <c r="B5906" i="1"/>
  <c r="A5906" i="1"/>
  <c r="F4807" i="1"/>
  <c r="E4807" i="1"/>
  <c r="D4807" i="1"/>
  <c r="C4807" i="1"/>
  <c r="B4807" i="1"/>
  <c r="A4807" i="1"/>
  <c r="F2939" i="1"/>
  <c r="E2939" i="1"/>
  <c r="D2939" i="1"/>
  <c r="C2939" i="1"/>
  <c r="B2939" i="1"/>
  <c r="A2939" i="1"/>
  <c r="F2936" i="1"/>
  <c r="E2936" i="1"/>
  <c r="D2936" i="1"/>
  <c r="C2936" i="1"/>
  <c r="B2936" i="1"/>
  <c r="A2936" i="1"/>
  <c r="F2929" i="1"/>
  <c r="E2929" i="1"/>
  <c r="D2929" i="1"/>
  <c r="C2929" i="1"/>
  <c r="B2929" i="1"/>
  <c r="A2929" i="1"/>
  <c r="F2915" i="1"/>
  <c r="E2915" i="1"/>
  <c r="D2915" i="1"/>
  <c r="C2915" i="1"/>
  <c r="B2915" i="1"/>
  <c r="A2915" i="1"/>
  <c r="F2913" i="1"/>
  <c r="E2913" i="1"/>
  <c r="D2913" i="1"/>
  <c r="C2913" i="1"/>
  <c r="B2913" i="1"/>
  <c r="A2913" i="1"/>
  <c r="F2912" i="1"/>
  <c r="E2912" i="1"/>
  <c r="D2912" i="1"/>
  <c r="C2912" i="1"/>
  <c r="B2912" i="1"/>
  <c r="A2912" i="1"/>
  <c r="F2911" i="1"/>
  <c r="E2911" i="1"/>
  <c r="D2911" i="1"/>
  <c r="C2911" i="1"/>
  <c r="B2911" i="1"/>
  <c r="A2911" i="1"/>
  <c r="F2910" i="1"/>
  <c r="E2910" i="1"/>
  <c r="D2910" i="1"/>
  <c r="C2910" i="1"/>
  <c r="B2910" i="1"/>
  <c r="A2910" i="1"/>
  <c r="F2908" i="1"/>
  <c r="E2908" i="1"/>
  <c r="D2908" i="1"/>
  <c r="C2908" i="1"/>
  <c r="B2908" i="1"/>
  <c r="A2908" i="1"/>
  <c r="F2906" i="1"/>
  <c r="E2906" i="1"/>
  <c r="D2906" i="1"/>
  <c r="C2906" i="1"/>
  <c r="B2906" i="1"/>
  <c r="A2906" i="1"/>
  <c r="F2905" i="1"/>
  <c r="E2905" i="1"/>
  <c r="D2905" i="1"/>
  <c r="C2905" i="1"/>
  <c r="B2905" i="1"/>
  <c r="A2905" i="1"/>
  <c r="F2903" i="1"/>
  <c r="E2903" i="1"/>
  <c r="D2903" i="1"/>
  <c r="C2903" i="1"/>
  <c r="B2903" i="1"/>
  <c r="A2903" i="1"/>
  <c r="F2901" i="1"/>
  <c r="E2901" i="1"/>
  <c r="D2901" i="1"/>
  <c r="C2901" i="1"/>
  <c r="B2901" i="1"/>
  <c r="A2901" i="1"/>
  <c r="F2614" i="1"/>
  <c r="E2614" i="1"/>
  <c r="D2614" i="1"/>
  <c r="C2614" i="1"/>
  <c r="B2614" i="1"/>
  <c r="A2614" i="1"/>
  <c r="F2601" i="1"/>
  <c r="E2601" i="1"/>
  <c r="D2601" i="1"/>
  <c r="C2601" i="1"/>
  <c r="B2601" i="1"/>
  <c r="A2601" i="1"/>
  <c r="F1432" i="1"/>
  <c r="E1432" i="1"/>
  <c r="D1432" i="1"/>
  <c r="C1432" i="1"/>
  <c r="B1432" i="1"/>
  <c r="A1432" i="1"/>
  <c r="F6024" i="1"/>
  <c r="E6024" i="1"/>
  <c r="D6024" i="1"/>
  <c r="C6024" i="1"/>
  <c r="B6024" i="1"/>
  <c r="A6024" i="1"/>
  <c r="F6005" i="1"/>
  <c r="E6005" i="1"/>
  <c r="D6005" i="1"/>
  <c r="C6005" i="1"/>
  <c r="B6005" i="1"/>
  <c r="A6005" i="1"/>
  <c r="F5880" i="1"/>
  <c r="E5880" i="1"/>
  <c r="D5880" i="1"/>
  <c r="C5880" i="1"/>
  <c r="B5880" i="1"/>
  <c r="A5880" i="1"/>
  <c r="F5876" i="1"/>
  <c r="E5876" i="1"/>
  <c r="D5876" i="1"/>
  <c r="C5876" i="1"/>
  <c r="B5876" i="1"/>
  <c r="A5876" i="1"/>
  <c r="F2897" i="1"/>
  <c r="E2897" i="1"/>
  <c r="D2897" i="1"/>
  <c r="C2897" i="1"/>
  <c r="B2897" i="1"/>
  <c r="A2897" i="1"/>
  <c r="F2892" i="1"/>
  <c r="E2892" i="1"/>
  <c r="D2892" i="1"/>
  <c r="C2892" i="1"/>
  <c r="B2892" i="1"/>
  <c r="A2892" i="1"/>
  <c r="F2891" i="1"/>
  <c r="E2891" i="1"/>
  <c r="D2891" i="1"/>
  <c r="C2891" i="1"/>
  <c r="B2891" i="1"/>
  <c r="A2891" i="1"/>
  <c r="F2890" i="1"/>
  <c r="E2890" i="1"/>
  <c r="D2890" i="1"/>
  <c r="C2890" i="1"/>
  <c r="B2890" i="1"/>
  <c r="A2890" i="1"/>
  <c r="F2889" i="1"/>
  <c r="E2889" i="1"/>
  <c r="D2889" i="1"/>
  <c r="C2889" i="1"/>
  <c r="B2889" i="1"/>
  <c r="A2889" i="1"/>
  <c r="F2888" i="1"/>
  <c r="E2888" i="1"/>
  <c r="D2888" i="1"/>
  <c r="C2888" i="1"/>
  <c r="B2888" i="1"/>
  <c r="A2888" i="1"/>
  <c r="F2887" i="1"/>
  <c r="E2887" i="1"/>
  <c r="D2887" i="1"/>
  <c r="C2887" i="1"/>
  <c r="B2887" i="1"/>
  <c r="A2887" i="1"/>
  <c r="F2886" i="1"/>
  <c r="E2886" i="1"/>
  <c r="D2886" i="1"/>
  <c r="C2886" i="1"/>
  <c r="B2886" i="1"/>
  <c r="A2886" i="1"/>
  <c r="F2885" i="1"/>
  <c r="E2885" i="1"/>
  <c r="D2885" i="1"/>
  <c r="C2885" i="1"/>
  <c r="B2885" i="1"/>
  <c r="A2885" i="1"/>
  <c r="F2884" i="1"/>
  <c r="E2884" i="1"/>
  <c r="D2884" i="1"/>
  <c r="C2884" i="1"/>
  <c r="B2884" i="1"/>
  <c r="A2884" i="1"/>
  <c r="F2883" i="1"/>
  <c r="E2883" i="1"/>
  <c r="D2883" i="1"/>
  <c r="C2883" i="1"/>
  <c r="B2883" i="1"/>
  <c r="A2883" i="1"/>
  <c r="F2882" i="1"/>
  <c r="E2882" i="1"/>
  <c r="D2882" i="1"/>
  <c r="C2882" i="1"/>
  <c r="B2882" i="1"/>
  <c r="A2882" i="1"/>
  <c r="F2881" i="1"/>
  <c r="E2881" i="1"/>
  <c r="D2881" i="1"/>
  <c r="C2881" i="1"/>
  <c r="B2881" i="1"/>
  <c r="A2881" i="1"/>
  <c r="F2880" i="1"/>
  <c r="E2880" i="1"/>
  <c r="D2880" i="1"/>
  <c r="C2880" i="1"/>
  <c r="B2880" i="1"/>
  <c r="A2880" i="1"/>
  <c r="F2867" i="1"/>
  <c r="E2867" i="1"/>
  <c r="D2867" i="1"/>
  <c r="C2867" i="1"/>
  <c r="B2867" i="1"/>
  <c r="A2867" i="1"/>
  <c r="F2855" i="1"/>
  <c r="E2855" i="1"/>
  <c r="D2855" i="1"/>
  <c r="C2855" i="1"/>
  <c r="B2855" i="1"/>
  <c r="A2855" i="1"/>
  <c r="F2852" i="1"/>
  <c r="E2852" i="1"/>
  <c r="D2852" i="1"/>
  <c r="C2852" i="1"/>
  <c r="B2852" i="1"/>
  <c r="A2852" i="1"/>
  <c r="F2851" i="1"/>
  <c r="E2851" i="1"/>
  <c r="D2851" i="1"/>
  <c r="C2851" i="1"/>
  <c r="B2851" i="1"/>
  <c r="A2851" i="1"/>
  <c r="F2850" i="1"/>
  <c r="E2850" i="1"/>
  <c r="D2850" i="1"/>
  <c r="C2850" i="1"/>
  <c r="B2850" i="1"/>
  <c r="A2850" i="1"/>
  <c r="F2849" i="1"/>
  <c r="E2849" i="1"/>
  <c r="D2849" i="1"/>
  <c r="C2849" i="1"/>
  <c r="B2849" i="1"/>
  <c r="A2849" i="1"/>
  <c r="F2845" i="1"/>
  <c r="E2845" i="1"/>
  <c r="D2845" i="1"/>
  <c r="C2845" i="1"/>
  <c r="B2845" i="1"/>
  <c r="A2845" i="1"/>
  <c r="F2838" i="1"/>
  <c r="E2838" i="1"/>
  <c r="D2838" i="1"/>
  <c r="C2838" i="1"/>
  <c r="B2838" i="1"/>
  <c r="A2838" i="1"/>
  <c r="F2836" i="1"/>
  <c r="E2836" i="1"/>
  <c r="D2836" i="1"/>
  <c r="C2836" i="1"/>
  <c r="B2836" i="1"/>
  <c r="A2836" i="1"/>
  <c r="F2834" i="1"/>
  <c r="E2834" i="1"/>
  <c r="D2834" i="1"/>
  <c r="C2834" i="1"/>
  <c r="B2834" i="1"/>
  <c r="A2834" i="1"/>
  <c r="F2832" i="1"/>
  <c r="E2832" i="1"/>
  <c r="D2832" i="1"/>
  <c r="C2832" i="1"/>
  <c r="B2832" i="1"/>
  <c r="A2832" i="1"/>
  <c r="F2823" i="1"/>
  <c r="E2823" i="1"/>
  <c r="D2823" i="1"/>
  <c r="C2823" i="1"/>
  <c r="B2823" i="1"/>
  <c r="A2823" i="1"/>
  <c r="F2820" i="1"/>
  <c r="E2820" i="1"/>
  <c r="D2820" i="1"/>
  <c r="C2820" i="1"/>
  <c r="B2820" i="1"/>
  <c r="A2820" i="1"/>
  <c r="F2816" i="1"/>
  <c r="E2816" i="1"/>
  <c r="D2816" i="1"/>
  <c r="C2816" i="1"/>
  <c r="B2816" i="1"/>
  <c r="A2816" i="1"/>
  <c r="F2812" i="1"/>
  <c r="E2812" i="1"/>
  <c r="D2812" i="1"/>
  <c r="C2812" i="1"/>
  <c r="B2812" i="1"/>
  <c r="A2812" i="1"/>
  <c r="F2809" i="1"/>
  <c r="E2809" i="1"/>
  <c r="D2809" i="1"/>
  <c r="C2809" i="1"/>
  <c r="B2809" i="1"/>
  <c r="A2809" i="1"/>
  <c r="F2801" i="1"/>
  <c r="E2801" i="1"/>
  <c r="D2801" i="1"/>
  <c r="C2801" i="1"/>
  <c r="B2801" i="1"/>
  <c r="A2801" i="1"/>
  <c r="F9943" i="1"/>
  <c r="E9943" i="1"/>
  <c r="D9943" i="1"/>
  <c r="C9943" i="1"/>
  <c r="B9943" i="1"/>
  <c r="A9943" i="1"/>
  <c r="F8940" i="1"/>
  <c r="E8940" i="1"/>
  <c r="D8940" i="1"/>
  <c r="C8940" i="1"/>
  <c r="B8940" i="1"/>
  <c r="A8940" i="1"/>
  <c r="F8462" i="1"/>
  <c r="E8462" i="1"/>
  <c r="D8462" i="1"/>
  <c r="C8462" i="1"/>
  <c r="B8462" i="1"/>
  <c r="A8462" i="1"/>
  <c r="F5706" i="1"/>
  <c r="E5706" i="1"/>
  <c r="D5706" i="1"/>
  <c r="C5706" i="1"/>
  <c r="B5706" i="1"/>
  <c r="A5706" i="1"/>
  <c r="F2748" i="1"/>
  <c r="E2748" i="1"/>
  <c r="D2748" i="1"/>
  <c r="C2748" i="1"/>
  <c r="B2748" i="1"/>
  <c r="A2748" i="1"/>
  <c r="F2739" i="1"/>
  <c r="E2739" i="1"/>
  <c r="D2739" i="1"/>
  <c r="C2739" i="1"/>
  <c r="B2739" i="1"/>
  <c r="A2739" i="1"/>
  <c r="F2731" i="1"/>
  <c r="E2731" i="1"/>
  <c r="D2731" i="1"/>
  <c r="C2731" i="1"/>
  <c r="B2731" i="1"/>
  <c r="A2731" i="1"/>
  <c r="F2727" i="1"/>
  <c r="E2727" i="1"/>
  <c r="D2727" i="1"/>
  <c r="C2727" i="1"/>
  <c r="B2727" i="1"/>
  <c r="A2727" i="1"/>
  <c r="F2723" i="1"/>
  <c r="E2723" i="1"/>
  <c r="D2723" i="1"/>
  <c r="C2723" i="1"/>
  <c r="B2723" i="1"/>
  <c r="A2723" i="1"/>
  <c r="F2722" i="1"/>
  <c r="E2722" i="1"/>
  <c r="D2722" i="1"/>
  <c r="C2722" i="1"/>
  <c r="B2722" i="1"/>
  <c r="A2722" i="1"/>
  <c r="F2712" i="1"/>
  <c r="E2712" i="1"/>
  <c r="D2712" i="1"/>
  <c r="C2712" i="1"/>
  <c r="B2712" i="1"/>
  <c r="A2712" i="1"/>
  <c r="F2707" i="1"/>
  <c r="E2707" i="1"/>
  <c r="D2707" i="1"/>
  <c r="C2707" i="1"/>
  <c r="B2707" i="1"/>
  <c r="A2707" i="1"/>
  <c r="F2706" i="1"/>
  <c r="E2706" i="1"/>
  <c r="D2706" i="1"/>
  <c r="C2706" i="1"/>
  <c r="B2706" i="1"/>
  <c r="A2706" i="1"/>
  <c r="F2705" i="1"/>
  <c r="E2705" i="1"/>
  <c r="D2705" i="1"/>
  <c r="C2705" i="1"/>
  <c r="B2705" i="1"/>
  <c r="A2705" i="1"/>
  <c r="F2704" i="1"/>
  <c r="E2704" i="1"/>
  <c r="D2704" i="1"/>
  <c r="C2704" i="1"/>
  <c r="B2704" i="1"/>
  <c r="A2704" i="1"/>
  <c r="F2702" i="1"/>
  <c r="E2702" i="1"/>
  <c r="D2702" i="1"/>
  <c r="C2702" i="1"/>
  <c r="B2702" i="1"/>
  <c r="A2702" i="1"/>
  <c r="F2701" i="1"/>
  <c r="E2701" i="1"/>
  <c r="D2701" i="1"/>
  <c r="C2701" i="1"/>
  <c r="B2701" i="1"/>
  <c r="A2701" i="1"/>
  <c r="F8367" i="1"/>
  <c r="E8367" i="1"/>
  <c r="D8367" i="1"/>
  <c r="C8367" i="1"/>
  <c r="B8367" i="1"/>
  <c r="A8367" i="1"/>
  <c r="F5608" i="1"/>
  <c r="E5608" i="1"/>
  <c r="D5608" i="1"/>
  <c r="C5608" i="1"/>
  <c r="B5608" i="1"/>
  <c r="A5608" i="1"/>
  <c r="F5607" i="1"/>
  <c r="E5607" i="1"/>
  <c r="D5607" i="1"/>
  <c r="C5607" i="1"/>
  <c r="B5607" i="1"/>
  <c r="A5607" i="1"/>
  <c r="F2642" i="1"/>
  <c r="E2642" i="1"/>
  <c r="D2642" i="1"/>
  <c r="C2642" i="1"/>
  <c r="B2642" i="1"/>
  <c r="A2642" i="1"/>
  <c r="F2637" i="1"/>
  <c r="E2637" i="1"/>
  <c r="D2637" i="1"/>
  <c r="C2637" i="1"/>
  <c r="B2637" i="1"/>
  <c r="A2637" i="1"/>
  <c r="F2636" i="1"/>
  <c r="E2636" i="1"/>
  <c r="D2636" i="1"/>
  <c r="C2636" i="1"/>
  <c r="B2636" i="1"/>
  <c r="A2636" i="1"/>
  <c r="F2634" i="1"/>
  <c r="E2634" i="1"/>
  <c r="D2634" i="1"/>
  <c r="C2634" i="1"/>
  <c r="B2634" i="1"/>
  <c r="A2634" i="1"/>
  <c r="F2633" i="1"/>
  <c r="E2633" i="1"/>
  <c r="D2633" i="1"/>
  <c r="C2633" i="1"/>
  <c r="B2633" i="1"/>
  <c r="A2633" i="1"/>
  <c r="F2630" i="1"/>
  <c r="E2630" i="1"/>
  <c r="D2630" i="1"/>
  <c r="C2630" i="1"/>
  <c r="B2630" i="1"/>
  <c r="A2630" i="1"/>
  <c r="F2618" i="1"/>
  <c r="E2618" i="1"/>
  <c r="D2618" i="1"/>
  <c r="C2618" i="1"/>
  <c r="B2618" i="1"/>
  <c r="A2618" i="1"/>
  <c r="F2617" i="1"/>
  <c r="E2617" i="1"/>
  <c r="D2617" i="1"/>
  <c r="C2617" i="1"/>
  <c r="B2617" i="1"/>
  <c r="A2617" i="1"/>
  <c r="F2615" i="1"/>
  <c r="E2615" i="1"/>
  <c r="D2615" i="1"/>
  <c r="C2615" i="1"/>
  <c r="B2615" i="1"/>
  <c r="A2615" i="1"/>
  <c r="F2613" i="1"/>
  <c r="E2613" i="1"/>
  <c r="D2613" i="1"/>
  <c r="C2613" i="1"/>
  <c r="B2613" i="1"/>
  <c r="A2613" i="1"/>
  <c r="F2612" i="1"/>
  <c r="E2612" i="1"/>
  <c r="D2612" i="1"/>
  <c r="C2612" i="1"/>
  <c r="B2612" i="1"/>
  <c r="A2612" i="1"/>
  <c r="F2611" i="1"/>
  <c r="E2611" i="1"/>
  <c r="D2611" i="1"/>
  <c r="C2611" i="1"/>
  <c r="B2611" i="1"/>
  <c r="A2611" i="1"/>
  <c r="F2610" i="1"/>
  <c r="E2610" i="1"/>
  <c r="D2610" i="1"/>
  <c r="C2610" i="1"/>
  <c r="B2610" i="1"/>
  <c r="A2610" i="1"/>
  <c r="F2609" i="1"/>
  <c r="E2609" i="1"/>
  <c r="D2609" i="1"/>
  <c r="C2609" i="1"/>
  <c r="B2609" i="1"/>
  <c r="A2609" i="1"/>
  <c r="F2608" i="1"/>
  <c r="E2608" i="1"/>
  <c r="D2608" i="1"/>
  <c r="C2608" i="1"/>
  <c r="B2608" i="1"/>
  <c r="A2608" i="1"/>
  <c r="F2607" i="1"/>
  <c r="E2607" i="1"/>
  <c r="D2607" i="1"/>
  <c r="C2607" i="1"/>
  <c r="B2607" i="1"/>
  <c r="A2607" i="1"/>
  <c r="F2606" i="1"/>
  <c r="E2606" i="1"/>
  <c r="D2606" i="1"/>
  <c r="C2606" i="1"/>
  <c r="B2606" i="1"/>
  <c r="A2606" i="1"/>
  <c r="F2605" i="1"/>
  <c r="E2605" i="1"/>
  <c r="D2605" i="1"/>
  <c r="C2605" i="1"/>
  <c r="B2605" i="1"/>
  <c r="A2605" i="1"/>
  <c r="F2603" i="1"/>
  <c r="E2603" i="1"/>
  <c r="D2603" i="1"/>
  <c r="C2603" i="1"/>
  <c r="B2603" i="1"/>
  <c r="A2603" i="1"/>
  <c r="F2208" i="1"/>
  <c r="E2208" i="1"/>
  <c r="D2208" i="1"/>
  <c r="C2208" i="1"/>
  <c r="B2208" i="1"/>
  <c r="A2208" i="1"/>
  <c r="F9946" i="1"/>
  <c r="E9946" i="1"/>
  <c r="D9946" i="1"/>
  <c r="C9946" i="1"/>
  <c r="B9946" i="1"/>
  <c r="A9946" i="1"/>
  <c r="F9906" i="1"/>
  <c r="E9906" i="1"/>
  <c r="D9906" i="1"/>
  <c r="C9906" i="1"/>
  <c r="B9906" i="1"/>
  <c r="A9906" i="1"/>
  <c r="F6177" i="1"/>
  <c r="E6177" i="1"/>
  <c r="D6177" i="1"/>
  <c r="C6177" i="1"/>
  <c r="B6177" i="1"/>
  <c r="A6177" i="1"/>
  <c r="F5534" i="1"/>
  <c r="E5534" i="1"/>
  <c r="D5534" i="1"/>
  <c r="C5534" i="1"/>
  <c r="B5534" i="1"/>
  <c r="A5534" i="1"/>
  <c r="F5533" i="1"/>
  <c r="E5533" i="1"/>
  <c r="D5533" i="1"/>
  <c r="C5533" i="1"/>
  <c r="B5533" i="1"/>
  <c r="A5533" i="1"/>
  <c r="F5531" i="1"/>
  <c r="E5531" i="1"/>
  <c r="D5531" i="1"/>
  <c r="C5531" i="1"/>
  <c r="B5531" i="1"/>
  <c r="A5531" i="1"/>
  <c r="F5525" i="1"/>
  <c r="E5525" i="1"/>
  <c r="D5525" i="1"/>
  <c r="C5525" i="1"/>
  <c r="B5525" i="1"/>
  <c r="A5525" i="1"/>
  <c r="F5522" i="1"/>
  <c r="E5522" i="1"/>
  <c r="D5522" i="1"/>
  <c r="C5522" i="1"/>
  <c r="B5522" i="1"/>
  <c r="A5522" i="1"/>
  <c r="F5521" i="1"/>
  <c r="E5521" i="1"/>
  <c r="D5521" i="1"/>
  <c r="C5521" i="1"/>
  <c r="B5521" i="1"/>
  <c r="A5521" i="1"/>
  <c r="F5519" i="1"/>
  <c r="E5519" i="1"/>
  <c r="D5519" i="1"/>
  <c r="C5519" i="1"/>
  <c r="B5519" i="1"/>
  <c r="A5519" i="1"/>
  <c r="F5515" i="1"/>
  <c r="E5515" i="1"/>
  <c r="D5515" i="1"/>
  <c r="C5515" i="1"/>
  <c r="B5515" i="1"/>
  <c r="A5515" i="1"/>
  <c r="F3703" i="1"/>
  <c r="E3703" i="1"/>
  <c r="D3703" i="1"/>
  <c r="C3703" i="1"/>
  <c r="B3703" i="1"/>
  <c r="A3703" i="1"/>
  <c r="F3266" i="1"/>
  <c r="E3266" i="1"/>
  <c r="D3266" i="1"/>
  <c r="C3266" i="1"/>
  <c r="B3266" i="1"/>
  <c r="A3266" i="1"/>
  <c r="F3056" i="1"/>
  <c r="E3056" i="1"/>
  <c r="D3056" i="1"/>
  <c r="C3056" i="1"/>
  <c r="B3056" i="1"/>
  <c r="A3056" i="1"/>
  <c r="F3052" i="1"/>
  <c r="E3052" i="1"/>
  <c r="D3052" i="1"/>
  <c r="C3052" i="1"/>
  <c r="B3052" i="1"/>
  <c r="A3052" i="1"/>
  <c r="F2923" i="1"/>
  <c r="E2923" i="1"/>
  <c r="D2923" i="1"/>
  <c r="C2923" i="1"/>
  <c r="B2923" i="1"/>
  <c r="A2923" i="1"/>
  <c r="F2841" i="1"/>
  <c r="E2841" i="1"/>
  <c r="D2841" i="1"/>
  <c r="C2841" i="1"/>
  <c r="B2841" i="1"/>
  <c r="A2841" i="1"/>
  <c r="F2597" i="1"/>
  <c r="E2597" i="1"/>
  <c r="D2597" i="1"/>
  <c r="C2597" i="1"/>
  <c r="B2597" i="1"/>
  <c r="A2597" i="1"/>
  <c r="F2548" i="1"/>
  <c r="E2548" i="1"/>
  <c r="D2548" i="1"/>
  <c r="C2548" i="1"/>
  <c r="B2548" i="1"/>
  <c r="A2548" i="1"/>
  <c r="F2547" i="1"/>
  <c r="E2547" i="1"/>
  <c r="D2547" i="1"/>
  <c r="C2547" i="1"/>
  <c r="B2547" i="1"/>
  <c r="A2547" i="1"/>
  <c r="F2546" i="1"/>
  <c r="E2546" i="1"/>
  <c r="D2546" i="1"/>
  <c r="C2546" i="1"/>
  <c r="B2546" i="1"/>
  <c r="A2546" i="1"/>
  <c r="F2545" i="1"/>
  <c r="E2545" i="1"/>
  <c r="D2545" i="1"/>
  <c r="C2545" i="1"/>
  <c r="B2545" i="1"/>
  <c r="A2545" i="1"/>
  <c r="F2543" i="1"/>
  <c r="E2543" i="1"/>
  <c r="D2543" i="1"/>
  <c r="C2543" i="1"/>
  <c r="B2543" i="1"/>
  <c r="A2543" i="1"/>
  <c r="F2542" i="1"/>
  <c r="E2542" i="1"/>
  <c r="D2542" i="1"/>
  <c r="C2542" i="1"/>
  <c r="B2542" i="1"/>
  <c r="A2542" i="1"/>
  <c r="F2540" i="1"/>
  <c r="E2540" i="1"/>
  <c r="D2540" i="1"/>
  <c r="C2540" i="1"/>
  <c r="B2540" i="1"/>
  <c r="A2540" i="1"/>
  <c r="F2539" i="1"/>
  <c r="E2539" i="1"/>
  <c r="D2539" i="1"/>
  <c r="C2539" i="1"/>
  <c r="B2539" i="1"/>
  <c r="A2539" i="1"/>
  <c r="F2538" i="1"/>
  <c r="E2538" i="1"/>
  <c r="D2538" i="1"/>
  <c r="C2538" i="1"/>
  <c r="B2538" i="1"/>
  <c r="A2538" i="1"/>
  <c r="F2537" i="1"/>
  <c r="E2537" i="1"/>
  <c r="D2537" i="1"/>
  <c r="C2537" i="1"/>
  <c r="B2537" i="1"/>
  <c r="A2537" i="1"/>
  <c r="F2536" i="1"/>
  <c r="E2536" i="1"/>
  <c r="D2536" i="1"/>
  <c r="C2536" i="1"/>
  <c r="B2536" i="1"/>
  <c r="A2536" i="1"/>
  <c r="F2535" i="1"/>
  <c r="E2535" i="1"/>
  <c r="D2535" i="1"/>
  <c r="C2535" i="1"/>
  <c r="B2535" i="1"/>
  <c r="A2535" i="1"/>
  <c r="F2534" i="1"/>
  <c r="E2534" i="1"/>
  <c r="D2534" i="1"/>
  <c r="C2534" i="1"/>
  <c r="B2534" i="1"/>
  <c r="A2534" i="1"/>
  <c r="F2530" i="1"/>
  <c r="E2530" i="1"/>
  <c r="D2530" i="1"/>
  <c r="C2530" i="1"/>
  <c r="B2530" i="1"/>
  <c r="A2530" i="1"/>
  <c r="F2528" i="1"/>
  <c r="E2528" i="1"/>
  <c r="D2528" i="1"/>
  <c r="C2528" i="1"/>
  <c r="B2528" i="1"/>
  <c r="A2528" i="1"/>
  <c r="F2527" i="1"/>
  <c r="E2527" i="1"/>
  <c r="D2527" i="1"/>
  <c r="C2527" i="1"/>
  <c r="B2527" i="1"/>
  <c r="A2527" i="1"/>
  <c r="F2524" i="1"/>
  <c r="E2524" i="1"/>
  <c r="D2524" i="1"/>
  <c r="C2524" i="1"/>
  <c r="B2524" i="1"/>
  <c r="A2524" i="1"/>
  <c r="F2520" i="1"/>
  <c r="E2520" i="1"/>
  <c r="D2520" i="1"/>
  <c r="C2520" i="1"/>
  <c r="B2520" i="1"/>
  <c r="A2520" i="1"/>
  <c r="F2516" i="1"/>
  <c r="E2516" i="1"/>
  <c r="D2516" i="1"/>
  <c r="C2516" i="1"/>
  <c r="B2516" i="1"/>
  <c r="A2516" i="1"/>
  <c r="F2515" i="1"/>
  <c r="E2515" i="1"/>
  <c r="D2515" i="1"/>
  <c r="C2515" i="1"/>
  <c r="B2515" i="1"/>
  <c r="A2515" i="1"/>
  <c r="F2511" i="1"/>
  <c r="E2511" i="1"/>
  <c r="D2511" i="1"/>
  <c r="C2511" i="1"/>
  <c r="B2511" i="1"/>
  <c r="A2511" i="1"/>
  <c r="F2509" i="1"/>
  <c r="E2509" i="1"/>
  <c r="D2509" i="1"/>
  <c r="C2509" i="1"/>
  <c r="B2509" i="1"/>
  <c r="A2509" i="1"/>
  <c r="F2506" i="1"/>
  <c r="E2506" i="1"/>
  <c r="D2506" i="1"/>
  <c r="C2506" i="1"/>
  <c r="B2506" i="1"/>
  <c r="A2506" i="1"/>
  <c r="F2505" i="1"/>
  <c r="E2505" i="1"/>
  <c r="D2505" i="1"/>
  <c r="C2505" i="1"/>
  <c r="B2505" i="1"/>
  <c r="A2505" i="1"/>
  <c r="F2504" i="1"/>
  <c r="E2504" i="1"/>
  <c r="D2504" i="1"/>
  <c r="C2504" i="1"/>
  <c r="B2504" i="1"/>
  <c r="A2504" i="1"/>
  <c r="F2501" i="1"/>
  <c r="E2501" i="1"/>
  <c r="D2501" i="1"/>
  <c r="C2501" i="1"/>
  <c r="B2501" i="1"/>
  <c r="A2501" i="1"/>
  <c r="F1808" i="1"/>
  <c r="E1808" i="1"/>
  <c r="D1808" i="1"/>
  <c r="C1808" i="1"/>
  <c r="B1808" i="1"/>
  <c r="A1808" i="1"/>
  <c r="F1805" i="1"/>
  <c r="E1805" i="1"/>
  <c r="D1805" i="1"/>
  <c r="C1805" i="1"/>
  <c r="B1805" i="1"/>
  <c r="A1805" i="1"/>
  <c r="F1442" i="1"/>
  <c r="E1442" i="1"/>
  <c r="D1442" i="1"/>
  <c r="C1442" i="1"/>
  <c r="B1442" i="1"/>
  <c r="A1442" i="1"/>
  <c r="F1438" i="1"/>
  <c r="E1438" i="1"/>
  <c r="D1438" i="1"/>
  <c r="C1438" i="1"/>
  <c r="B1438" i="1"/>
  <c r="A1438" i="1"/>
  <c r="F1436" i="1"/>
  <c r="E1436" i="1"/>
  <c r="D1436" i="1"/>
  <c r="C1436" i="1"/>
  <c r="B1436" i="1"/>
  <c r="A1436" i="1"/>
  <c r="F1316" i="1"/>
  <c r="E1316" i="1"/>
  <c r="D1316" i="1"/>
  <c r="C1316" i="1"/>
  <c r="B1316" i="1"/>
  <c r="A1316" i="1"/>
  <c r="F8201" i="1"/>
  <c r="E8201" i="1"/>
  <c r="D8201" i="1"/>
  <c r="C8201" i="1"/>
  <c r="B8201" i="1"/>
  <c r="A8201" i="1"/>
  <c r="F8021" i="1"/>
  <c r="E8021" i="1"/>
  <c r="D8021" i="1"/>
  <c r="C8021" i="1"/>
  <c r="B8021" i="1"/>
  <c r="A8021" i="1"/>
  <c r="F6698" i="1"/>
  <c r="E6698" i="1"/>
  <c r="D6698" i="1"/>
  <c r="C6698" i="1"/>
  <c r="B6698" i="1"/>
  <c r="A6698" i="1"/>
  <c r="F6558" i="1"/>
  <c r="E6558" i="1"/>
  <c r="D6558" i="1"/>
  <c r="C6558" i="1"/>
  <c r="B6558" i="1"/>
  <c r="A6558" i="1"/>
  <c r="F6409" i="1"/>
  <c r="E6409" i="1"/>
  <c r="D6409" i="1"/>
  <c r="C6409" i="1"/>
  <c r="B6409" i="1"/>
  <c r="A6409" i="1"/>
  <c r="F6283" i="1"/>
  <c r="E6283" i="1"/>
  <c r="D6283" i="1"/>
  <c r="C6283" i="1"/>
  <c r="B6283" i="1"/>
  <c r="A6283" i="1"/>
  <c r="F6215" i="1"/>
  <c r="E6215" i="1"/>
  <c r="D6215" i="1"/>
  <c r="C6215" i="1"/>
  <c r="B6215" i="1"/>
  <c r="A6215" i="1"/>
  <c r="F6201" i="1"/>
  <c r="E6201" i="1"/>
  <c r="D6201" i="1"/>
  <c r="C6201" i="1"/>
  <c r="B6201" i="1"/>
  <c r="A6201" i="1"/>
  <c r="F6196" i="1"/>
  <c r="E6196" i="1"/>
  <c r="D6196" i="1"/>
  <c r="C6196" i="1"/>
  <c r="B6196" i="1"/>
  <c r="A6196" i="1"/>
  <c r="F6192" i="1"/>
  <c r="E6192" i="1"/>
  <c r="D6192" i="1"/>
  <c r="C6192" i="1"/>
  <c r="B6192" i="1"/>
  <c r="A6192" i="1"/>
  <c r="F6139" i="1"/>
  <c r="E6139" i="1"/>
  <c r="D6139" i="1"/>
  <c r="C6139" i="1"/>
  <c r="B6139" i="1"/>
  <c r="A6139" i="1"/>
  <c r="F5225" i="1"/>
  <c r="E5225" i="1"/>
  <c r="D5225" i="1"/>
  <c r="C5225" i="1"/>
  <c r="B5225" i="1"/>
  <c r="A5225" i="1"/>
  <c r="F3665" i="1"/>
  <c r="E3665" i="1"/>
  <c r="D3665" i="1"/>
  <c r="C3665" i="1"/>
  <c r="B3665" i="1"/>
  <c r="A3665" i="1"/>
  <c r="F3617" i="1"/>
  <c r="E3617" i="1"/>
  <c r="D3617" i="1"/>
  <c r="C3617" i="1"/>
  <c r="B3617" i="1"/>
  <c r="A3617" i="1"/>
  <c r="F3518" i="1"/>
  <c r="E3518" i="1"/>
  <c r="D3518" i="1"/>
  <c r="C3518" i="1"/>
  <c r="B3518" i="1"/>
  <c r="A3518" i="1"/>
  <c r="F3450" i="1"/>
  <c r="E3450" i="1"/>
  <c r="D3450" i="1"/>
  <c r="C3450" i="1"/>
  <c r="B3450" i="1"/>
  <c r="A3450" i="1"/>
  <c r="F3305" i="1"/>
  <c r="E3305" i="1"/>
  <c r="D3305" i="1"/>
  <c r="C3305" i="1"/>
  <c r="B3305" i="1"/>
  <c r="A3305" i="1"/>
  <c r="F3043" i="1"/>
  <c r="E3043" i="1"/>
  <c r="D3043" i="1"/>
  <c r="C3043" i="1"/>
  <c r="B3043" i="1"/>
  <c r="A3043" i="1"/>
  <c r="F3030" i="1"/>
  <c r="E3030" i="1"/>
  <c r="D3030" i="1"/>
  <c r="C3030" i="1"/>
  <c r="B3030" i="1"/>
  <c r="A3030" i="1"/>
  <c r="F3018" i="1"/>
  <c r="E3018" i="1"/>
  <c r="D3018" i="1"/>
  <c r="C3018" i="1"/>
  <c r="B3018" i="1"/>
  <c r="A3018" i="1"/>
  <c r="F2495" i="1"/>
  <c r="E2495" i="1"/>
  <c r="D2495" i="1"/>
  <c r="C2495" i="1"/>
  <c r="B2495" i="1"/>
  <c r="A2495" i="1"/>
  <c r="F2488" i="1"/>
  <c r="E2488" i="1"/>
  <c r="D2488" i="1"/>
  <c r="C2488" i="1"/>
  <c r="B2488" i="1"/>
  <c r="A2488" i="1"/>
  <c r="F2482" i="1"/>
  <c r="E2482" i="1"/>
  <c r="D2482" i="1"/>
  <c r="C2482" i="1"/>
  <c r="B2482" i="1"/>
  <c r="A2482" i="1"/>
  <c r="F2477" i="1"/>
  <c r="E2477" i="1"/>
  <c r="D2477" i="1"/>
  <c r="C2477" i="1"/>
  <c r="B2477" i="1"/>
  <c r="A2477" i="1"/>
  <c r="F2474" i="1"/>
  <c r="E2474" i="1"/>
  <c r="D2474" i="1"/>
  <c r="C2474" i="1"/>
  <c r="B2474" i="1"/>
  <c r="A2474" i="1"/>
  <c r="F2464" i="1"/>
  <c r="E2464" i="1"/>
  <c r="D2464" i="1"/>
  <c r="C2464" i="1"/>
  <c r="B2464" i="1"/>
  <c r="A2464" i="1"/>
  <c r="F2461" i="1"/>
  <c r="E2461" i="1"/>
  <c r="D2461" i="1"/>
  <c r="C2461" i="1"/>
  <c r="B2461" i="1"/>
  <c r="A2461" i="1"/>
  <c r="F2433" i="1"/>
  <c r="E2433" i="1"/>
  <c r="D2433" i="1"/>
  <c r="C2433" i="1"/>
  <c r="B2433" i="1"/>
  <c r="A2433" i="1"/>
  <c r="F2423" i="1"/>
  <c r="E2423" i="1"/>
  <c r="D2423" i="1"/>
  <c r="C2423" i="1"/>
  <c r="B2423" i="1"/>
  <c r="A2423" i="1"/>
  <c r="F2404" i="1"/>
  <c r="E2404" i="1"/>
  <c r="D2404" i="1"/>
  <c r="C2404" i="1"/>
  <c r="B2404" i="1"/>
  <c r="A2404" i="1"/>
  <c r="F2390" i="1"/>
  <c r="E2390" i="1"/>
  <c r="D2390" i="1"/>
  <c r="C2390" i="1"/>
  <c r="B2390" i="1"/>
  <c r="A2390" i="1"/>
  <c r="F2373" i="1"/>
  <c r="E2373" i="1"/>
  <c r="D2373" i="1"/>
  <c r="C2373" i="1"/>
  <c r="B2373" i="1"/>
  <c r="A2373" i="1"/>
  <c r="F2360" i="1"/>
  <c r="E2360" i="1"/>
  <c r="D2360" i="1"/>
  <c r="C2360" i="1"/>
  <c r="B2360" i="1"/>
  <c r="A2360" i="1"/>
  <c r="F2359" i="1"/>
  <c r="E2359" i="1"/>
  <c r="D2359" i="1"/>
  <c r="C2359" i="1"/>
  <c r="B2359" i="1"/>
  <c r="A2359" i="1"/>
  <c r="F2354" i="1"/>
  <c r="E2354" i="1"/>
  <c r="D2354" i="1"/>
  <c r="C2354" i="1"/>
  <c r="B2354" i="1"/>
  <c r="A2354" i="1"/>
  <c r="F2317" i="1"/>
  <c r="E2317" i="1"/>
  <c r="D2317" i="1"/>
  <c r="C2317" i="1"/>
  <c r="B2317" i="1"/>
  <c r="A2317" i="1"/>
  <c r="F2312" i="1"/>
  <c r="E2312" i="1"/>
  <c r="D2312" i="1"/>
  <c r="C2312" i="1"/>
  <c r="B2312" i="1"/>
  <c r="A2312" i="1"/>
  <c r="F6214" i="1"/>
  <c r="E6214" i="1"/>
  <c r="D6214" i="1"/>
  <c r="C6214" i="1"/>
  <c r="B6214" i="1"/>
  <c r="A6214" i="1"/>
  <c r="F6183" i="1"/>
  <c r="E6183" i="1"/>
  <c r="D6183" i="1"/>
  <c r="C6183" i="1"/>
  <c r="B6183" i="1"/>
  <c r="A6183" i="1"/>
  <c r="F6112" i="1"/>
  <c r="E6112" i="1"/>
  <c r="D6112" i="1"/>
  <c r="C6112" i="1"/>
  <c r="B6112" i="1"/>
  <c r="A6112" i="1"/>
  <c r="F5203" i="1"/>
  <c r="E5203" i="1"/>
  <c r="D5203" i="1"/>
  <c r="C5203" i="1"/>
  <c r="B5203" i="1"/>
  <c r="A5203" i="1"/>
  <c r="F4994" i="1"/>
  <c r="E4994" i="1"/>
  <c r="D4994" i="1"/>
  <c r="C4994" i="1"/>
  <c r="B4994" i="1"/>
  <c r="A4994" i="1"/>
  <c r="F3130" i="1"/>
  <c r="E3130" i="1"/>
  <c r="D3130" i="1"/>
  <c r="C3130" i="1"/>
  <c r="B3130" i="1"/>
  <c r="A3130" i="1"/>
  <c r="F3029" i="1"/>
  <c r="E3029" i="1"/>
  <c r="D3029" i="1"/>
  <c r="C3029" i="1"/>
  <c r="B3029" i="1"/>
  <c r="A3029" i="1"/>
  <c r="F2480" i="1"/>
  <c r="E2480" i="1"/>
  <c r="D2480" i="1"/>
  <c r="C2480" i="1"/>
  <c r="B2480" i="1"/>
  <c r="A2480" i="1"/>
  <c r="F2471" i="1"/>
  <c r="E2471" i="1"/>
  <c r="D2471" i="1"/>
  <c r="C2471" i="1"/>
  <c r="B2471" i="1"/>
  <c r="A2471" i="1"/>
  <c r="F2468" i="1"/>
  <c r="E2468" i="1"/>
  <c r="D2468" i="1"/>
  <c r="C2468" i="1"/>
  <c r="B2468" i="1"/>
  <c r="A2468" i="1"/>
  <c r="F2453" i="1"/>
  <c r="E2453" i="1"/>
  <c r="D2453" i="1"/>
  <c r="C2453" i="1"/>
  <c r="B2453" i="1"/>
  <c r="A2453" i="1"/>
  <c r="F2427" i="1"/>
  <c r="E2427" i="1"/>
  <c r="D2427" i="1"/>
  <c r="C2427" i="1"/>
  <c r="B2427" i="1"/>
  <c r="A2427" i="1"/>
  <c r="F8112" i="1"/>
  <c r="E8112" i="1"/>
  <c r="D8112" i="1"/>
  <c r="C8112" i="1"/>
  <c r="B8112" i="1"/>
  <c r="A8112" i="1"/>
  <c r="F8072" i="1"/>
  <c r="E8072" i="1"/>
  <c r="D8072" i="1"/>
  <c r="C8072" i="1"/>
  <c r="B8072" i="1"/>
  <c r="A8072" i="1"/>
  <c r="F8070" i="1"/>
  <c r="E8070" i="1"/>
  <c r="D8070" i="1"/>
  <c r="C8070" i="1"/>
  <c r="B8070" i="1"/>
  <c r="A8070" i="1"/>
  <c r="F6281" i="1"/>
  <c r="E6281" i="1"/>
  <c r="D6281" i="1"/>
  <c r="C6281" i="1"/>
  <c r="B6281" i="1"/>
  <c r="A6281" i="1"/>
  <c r="F6189" i="1"/>
  <c r="E6189" i="1"/>
  <c r="D6189" i="1"/>
  <c r="C6189" i="1"/>
  <c r="B6189" i="1"/>
  <c r="A6189" i="1"/>
  <c r="F5434" i="1"/>
  <c r="E5434" i="1"/>
  <c r="D5434" i="1"/>
  <c r="C5434" i="1"/>
  <c r="B5434" i="1"/>
  <c r="A5434" i="1"/>
  <c r="F3702" i="1"/>
  <c r="E3702" i="1"/>
  <c r="D3702" i="1"/>
  <c r="C3702" i="1"/>
  <c r="B3702" i="1"/>
  <c r="A3702" i="1"/>
  <c r="F3528" i="1"/>
  <c r="E3528" i="1"/>
  <c r="D3528" i="1"/>
  <c r="C3528" i="1"/>
  <c r="B3528" i="1"/>
  <c r="A3528" i="1"/>
  <c r="F3312" i="1"/>
  <c r="E3312" i="1"/>
  <c r="D3312" i="1"/>
  <c r="C3312" i="1"/>
  <c r="B3312" i="1"/>
  <c r="A3312" i="1"/>
  <c r="F3209" i="1"/>
  <c r="E3209" i="1"/>
  <c r="D3209" i="1"/>
  <c r="C3209" i="1"/>
  <c r="B3209" i="1"/>
  <c r="A3209" i="1"/>
  <c r="F3055" i="1"/>
  <c r="E3055" i="1"/>
  <c r="D3055" i="1"/>
  <c r="C3055" i="1"/>
  <c r="B3055" i="1"/>
  <c r="A3055" i="1"/>
  <c r="F3048" i="1"/>
  <c r="E3048" i="1"/>
  <c r="D3048" i="1"/>
  <c r="C3048" i="1"/>
  <c r="B3048" i="1"/>
  <c r="A3048" i="1"/>
  <c r="F3036" i="1"/>
  <c r="E3036" i="1"/>
  <c r="D3036" i="1"/>
  <c r="C3036" i="1"/>
  <c r="B3036" i="1"/>
  <c r="A3036" i="1"/>
  <c r="F3033" i="1"/>
  <c r="E3033" i="1"/>
  <c r="D3033" i="1"/>
  <c r="C3033" i="1"/>
  <c r="B3033" i="1"/>
  <c r="A3033" i="1"/>
  <c r="F3028" i="1"/>
  <c r="E3028" i="1"/>
  <c r="D3028" i="1"/>
  <c r="C3028" i="1"/>
  <c r="B3028" i="1"/>
  <c r="A3028" i="1"/>
  <c r="F3010" i="1"/>
  <c r="E3010" i="1"/>
  <c r="D3010" i="1"/>
  <c r="C3010" i="1"/>
  <c r="B3010" i="1"/>
  <c r="A3010" i="1"/>
  <c r="F2459" i="1"/>
  <c r="E2459" i="1"/>
  <c r="D2459" i="1"/>
  <c r="C2459" i="1"/>
  <c r="B2459" i="1"/>
  <c r="A2459" i="1"/>
  <c r="F2430" i="1"/>
  <c r="E2430" i="1"/>
  <c r="D2430" i="1"/>
  <c r="C2430" i="1"/>
  <c r="B2430" i="1"/>
  <c r="A2430" i="1"/>
  <c r="F2414" i="1"/>
  <c r="E2414" i="1"/>
  <c r="D2414" i="1"/>
  <c r="C2414" i="1"/>
  <c r="B2414" i="1"/>
  <c r="A2414" i="1"/>
  <c r="F2347" i="1"/>
  <c r="E2347" i="1"/>
  <c r="D2347" i="1"/>
  <c r="C2347" i="1"/>
  <c r="B2347" i="1"/>
  <c r="A2347" i="1"/>
  <c r="F8249" i="1"/>
  <c r="E8249" i="1"/>
  <c r="D8249" i="1"/>
  <c r="C8249" i="1"/>
  <c r="B8249" i="1"/>
  <c r="A8249" i="1"/>
  <c r="F8213" i="1"/>
  <c r="E8213" i="1"/>
  <c r="D8213" i="1"/>
  <c r="C8213" i="1"/>
  <c r="B8213" i="1"/>
  <c r="A8213" i="1"/>
  <c r="F8103" i="1"/>
  <c r="E8103" i="1"/>
  <c r="D8103" i="1"/>
  <c r="C8103" i="1"/>
  <c r="B8103" i="1"/>
  <c r="A8103" i="1"/>
  <c r="F8046" i="1"/>
  <c r="E8046" i="1"/>
  <c r="D8046" i="1"/>
  <c r="C8046" i="1"/>
  <c r="B8046" i="1"/>
  <c r="A8046" i="1"/>
  <c r="F8039" i="1"/>
  <c r="E8039" i="1"/>
  <c r="D8039" i="1"/>
  <c r="C8039" i="1"/>
  <c r="B8039" i="1"/>
  <c r="A8039" i="1"/>
  <c r="F6715" i="1"/>
  <c r="E6715" i="1"/>
  <c r="D6715" i="1"/>
  <c r="C6715" i="1"/>
  <c r="B6715" i="1"/>
  <c r="A6715" i="1"/>
  <c r="F6672" i="1"/>
  <c r="E6672" i="1"/>
  <c r="D6672" i="1"/>
  <c r="C6672" i="1"/>
  <c r="B6672" i="1"/>
  <c r="A6672" i="1"/>
  <c r="F6449" i="1"/>
  <c r="E6449" i="1"/>
  <c r="D6449" i="1"/>
  <c r="C6449" i="1"/>
  <c r="B6449" i="1"/>
  <c r="A6449" i="1"/>
  <c r="F6412" i="1"/>
  <c r="E6412" i="1"/>
  <c r="D6412" i="1"/>
  <c r="C6412" i="1"/>
  <c r="B6412" i="1"/>
  <c r="A6412" i="1"/>
  <c r="F6282" i="1"/>
  <c r="E6282" i="1"/>
  <c r="D6282" i="1"/>
  <c r="C6282" i="1"/>
  <c r="B6282" i="1"/>
  <c r="A6282" i="1"/>
  <c r="F6269" i="1"/>
  <c r="E6269" i="1"/>
  <c r="D6269" i="1"/>
  <c r="C6269" i="1"/>
  <c r="B6269" i="1"/>
  <c r="A6269" i="1"/>
  <c r="F6251" i="1"/>
  <c r="E6251" i="1"/>
  <c r="D6251" i="1"/>
  <c r="C6251" i="1"/>
  <c r="B6251" i="1"/>
  <c r="A6251" i="1"/>
  <c r="F6224" i="1"/>
  <c r="E6224" i="1"/>
  <c r="D6224" i="1"/>
  <c r="C6224" i="1"/>
  <c r="B6224" i="1"/>
  <c r="A6224" i="1"/>
  <c r="F6213" i="1"/>
  <c r="E6213" i="1"/>
  <c r="D6213" i="1"/>
  <c r="C6213" i="1"/>
  <c r="B6213" i="1"/>
  <c r="A6213" i="1"/>
  <c r="F6205" i="1"/>
  <c r="E6205" i="1"/>
  <c r="D6205" i="1"/>
  <c r="C6205" i="1"/>
  <c r="B6205" i="1"/>
  <c r="A6205" i="1"/>
  <c r="F6197" i="1"/>
  <c r="E6197" i="1"/>
  <c r="D6197" i="1"/>
  <c r="C6197" i="1"/>
  <c r="B6197" i="1"/>
  <c r="A6197" i="1"/>
  <c r="F6191" i="1"/>
  <c r="E6191" i="1"/>
  <c r="D6191" i="1"/>
  <c r="C6191" i="1"/>
  <c r="B6191" i="1"/>
  <c r="A6191" i="1"/>
  <c r="F6165" i="1"/>
  <c r="E6165" i="1"/>
  <c r="D6165" i="1"/>
  <c r="C6165" i="1"/>
  <c r="B6165" i="1"/>
  <c r="A6165" i="1"/>
  <c r="F6155" i="1"/>
  <c r="E6155" i="1"/>
  <c r="D6155" i="1"/>
  <c r="C6155" i="1"/>
  <c r="B6155" i="1"/>
  <c r="A6155" i="1"/>
  <c r="F6153" i="1"/>
  <c r="E6153" i="1"/>
  <c r="D6153" i="1"/>
  <c r="C6153" i="1"/>
  <c r="B6153" i="1"/>
  <c r="A6153" i="1"/>
  <c r="F6141" i="1"/>
  <c r="E6141" i="1"/>
  <c r="D6141" i="1"/>
  <c r="C6141" i="1"/>
  <c r="B6141" i="1"/>
  <c r="A6141" i="1"/>
  <c r="F6133" i="1"/>
  <c r="E6133" i="1"/>
  <c r="D6133" i="1"/>
  <c r="C6133" i="1"/>
  <c r="B6133" i="1"/>
  <c r="A6133" i="1"/>
  <c r="F6115" i="1"/>
  <c r="E6115" i="1"/>
  <c r="D6115" i="1"/>
  <c r="C6115" i="1"/>
  <c r="B6115" i="1"/>
  <c r="A6115" i="1"/>
  <c r="F6108" i="1"/>
  <c r="E6108" i="1"/>
  <c r="D6108" i="1"/>
  <c r="C6108" i="1"/>
  <c r="B6108" i="1"/>
  <c r="A6108" i="1"/>
  <c r="F5469" i="1"/>
  <c r="E5469" i="1"/>
  <c r="D5469" i="1"/>
  <c r="C5469" i="1"/>
  <c r="B5469" i="1"/>
  <c r="A5469" i="1"/>
  <c r="F4999" i="1"/>
  <c r="E4999" i="1"/>
  <c r="D4999" i="1"/>
  <c r="C4999" i="1"/>
  <c r="B4999" i="1"/>
  <c r="A4999" i="1"/>
  <c r="F4989" i="1"/>
  <c r="E4989" i="1"/>
  <c r="D4989" i="1"/>
  <c r="C4989" i="1"/>
  <c r="B4989" i="1"/>
  <c r="A4989" i="1"/>
  <c r="F4958" i="1"/>
  <c r="E4958" i="1"/>
  <c r="D4958" i="1"/>
  <c r="C4958" i="1"/>
  <c r="B4958" i="1"/>
  <c r="A4958" i="1"/>
  <c r="F4943" i="1"/>
  <c r="E4943" i="1"/>
  <c r="D4943" i="1"/>
  <c r="C4943" i="1"/>
  <c r="B4943" i="1"/>
  <c r="A4943" i="1"/>
  <c r="F4927" i="1"/>
  <c r="E4927" i="1"/>
  <c r="D4927" i="1"/>
  <c r="C4927" i="1"/>
  <c r="B4927" i="1"/>
  <c r="A4927" i="1"/>
  <c r="F4915" i="1"/>
  <c r="E4915" i="1"/>
  <c r="D4915" i="1"/>
  <c r="C4915" i="1"/>
  <c r="B4915" i="1"/>
  <c r="A4915" i="1"/>
  <c r="F4912" i="1"/>
  <c r="E4912" i="1"/>
  <c r="D4912" i="1"/>
  <c r="C4912" i="1"/>
  <c r="B4912" i="1"/>
  <c r="A4912" i="1"/>
  <c r="F4545" i="1"/>
  <c r="E4545" i="1"/>
  <c r="D4545" i="1"/>
  <c r="C4545" i="1"/>
  <c r="B4545" i="1"/>
  <c r="A4545" i="1"/>
  <c r="F3679" i="1"/>
  <c r="E3679" i="1"/>
  <c r="D3679" i="1"/>
  <c r="C3679" i="1"/>
  <c r="B3679" i="1"/>
  <c r="A3679" i="1"/>
  <c r="F3653" i="1"/>
  <c r="E3653" i="1"/>
  <c r="D3653" i="1"/>
  <c r="C3653" i="1"/>
  <c r="B3653" i="1"/>
  <c r="A3653" i="1"/>
  <c r="F3645" i="1"/>
  <c r="E3645" i="1"/>
  <c r="D3645" i="1"/>
  <c r="C3645" i="1"/>
  <c r="B3645" i="1"/>
  <c r="A3645" i="1"/>
  <c r="F3607" i="1"/>
  <c r="E3607" i="1"/>
  <c r="D3607" i="1"/>
  <c r="C3607" i="1"/>
  <c r="B3607" i="1"/>
  <c r="A3607" i="1"/>
  <c r="F3605" i="1"/>
  <c r="E3605" i="1"/>
  <c r="D3605" i="1"/>
  <c r="C3605" i="1"/>
  <c r="B3605" i="1"/>
  <c r="A3605" i="1"/>
  <c r="F3593" i="1"/>
  <c r="E3593" i="1"/>
  <c r="D3593" i="1"/>
  <c r="C3593" i="1"/>
  <c r="B3593" i="1"/>
  <c r="A3593" i="1"/>
  <c r="F3550" i="1"/>
  <c r="E3550" i="1"/>
  <c r="D3550" i="1"/>
  <c r="C3550" i="1"/>
  <c r="B3550" i="1"/>
  <c r="A3550" i="1"/>
  <c r="F3533" i="1"/>
  <c r="E3533" i="1"/>
  <c r="D3533" i="1"/>
  <c r="C3533" i="1"/>
  <c r="B3533" i="1"/>
  <c r="A3533" i="1"/>
  <c r="F3501" i="1"/>
  <c r="E3501" i="1"/>
  <c r="D3501" i="1"/>
  <c r="C3501" i="1"/>
  <c r="B3501" i="1"/>
  <c r="A3501" i="1"/>
  <c r="F3432" i="1"/>
  <c r="E3432" i="1"/>
  <c r="D3432" i="1"/>
  <c r="C3432" i="1"/>
  <c r="B3432" i="1"/>
  <c r="A3432" i="1"/>
  <c r="F3376" i="1"/>
  <c r="E3376" i="1"/>
  <c r="D3376" i="1"/>
  <c r="C3376" i="1"/>
  <c r="B3376" i="1"/>
  <c r="A3376" i="1"/>
  <c r="F3338" i="1"/>
  <c r="E3338" i="1"/>
  <c r="D3338" i="1"/>
  <c r="C3338" i="1"/>
  <c r="B3338" i="1"/>
  <c r="A3338" i="1"/>
  <c r="F3321" i="1"/>
  <c r="E3321" i="1"/>
  <c r="D3321" i="1"/>
  <c r="C3321" i="1"/>
  <c r="B3321" i="1"/>
  <c r="A3321" i="1"/>
  <c r="F3308" i="1"/>
  <c r="E3308" i="1"/>
  <c r="D3308" i="1"/>
  <c r="C3308" i="1"/>
  <c r="B3308" i="1"/>
  <c r="A3308" i="1"/>
  <c r="F3296" i="1"/>
  <c r="E3296" i="1"/>
  <c r="D3296" i="1"/>
  <c r="C3296" i="1"/>
  <c r="B3296" i="1"/>
  <c r="A3296" i="1"/>
  <c r="F3229" i="1"/>
  <c r="E3229" i="1"/>
  <c r="D3229" i="1"/>
  <c r="C3229" i="1"/>
  <c r="B3229" i="1"/>
  <c r="A3229" i="1"/>
  <c r="F3090" i="1"/>
  <c r="E3090" i="1"/>
  <c r="D3090" i="1"/>
  <c r="C3090" i="1"/>
  <c r="B3090" i="1"/>
  <c r="A3090" i="1"/>
  <c r="F3058" i="1"/>
  <c r="E3058" i="1"/>
  <c r="D3058" i="1"/>
  <c r="C3058" i="1"/>
  <c r="B3058" i="1"/>
  <c r="A3058" i="1"/>
  <c r="F3044" i="1"/>
  <c r="E3044" i="1"/>
  <c r="D3044" i="1"/>
  <c r="C3044" i="1"/>
  <c r="B3044" i="1"/>
  <c r="A3044" i="1"/>
  <c r="F3042" i="1"/>
  <c r="E3042" i="1"/>
  <c r="D3042" i="1"/>
  <c r="C3042" i="1"/>
  <c r="B3042" i="1"/>
  <c r="A3042" i="1"/>
  <c r="F3037" i="1"/>
  <c r="E3037" i="1"/>
  <c r="D3037" i="1"/>
  <c r="C3037" i="1"/>
  <c r="B3037" i="1"/>
  <c r="A3037" i="1"/>
  <c r="F3032" i="1"/>
  <c r="E3032" i="1"/>
  <c r="D3032" i="1"/>
  <c r="C3032" i="1"/>
  <c r="B3032" i="1"/>
  <c r="A3032" i="1"/>
  <c r="F3026" i="1"/>
  <c r="E3026" i="1"/>
  <c r="D3026" i="1"/>
  <c r="C3026" i="1"/>
  <c r="B3026" i="1"/>
  <c r="A3026" i="1"/>
  <c r="F3023" i="1"/>
  <c r="E3023" i="1"/>
  <c r="D3023" i="1"/>
  <c r="C3023" i="1"/>
  <c r="B3023" i="1"/>
  <c r="A3023" i="1"/>
  <c r="F3021" i="1"/>
  <c r="E3021" i="1"/>
  <c r="D3021" i="1"/>
  <c r="C3021" i="1"/>
  <c r="B3021" i="1"/>
  <c r="A3021" i="1"/>
  <c r="F3015" i="1"/>
  <c r="E3015" i="1"/>
  <c r="D3015" i="1"/>
  <c r="C3015" i="1"/>
  <c r="B3015" i="1"/>
  <c r="A3015" i="1"/>
  <c r="F3011" i="1"/>
  <c r="E3011" i="1"/>
  <c r="D3011" i="1"/>
  <c r="C3011" i="1"/>
  <c r="B3011" i="1"/>
  <c r="A3011" i="1"/>
  <c r="F3003" i="1"/>
  <c r="E3003" i="1"/>
  <c r="D3003" i="1"/>
  <c r="C3003" i="1"/>
  <c r="B3003" i="1"/>
  <c r="A3003" i="1"/>
  <c r="F2493" i="1"/>
  <c r="E2493" i="1"/>
  <c r="D2493" i="1"/>
  <c r="C2493" i="1"/>
  <c r="B2493" i="1"/>
  <c r="A2493" i="1"/>
  <c r="F2492" i="1"/>
  <c r="E2492" i="1"/>
  <c r="D2492" i="1"/>
  <c r="C2492" i="1"/>
  <c r="B2492" i="1"/>
  <c r="A2492" i="1"/>
  <c r="F2484" i="1"/>
  <c r="E2484" i="1"/>
  <c r="D2484" i="1"/>
  <c r="C2484" i="1"/>
  <c r="B2484" i="1"/>
  <c r="A2484" i="1"/>
  <c r="F2483" i="1"/>
  <c r="E2483" i="1"/>
  <c r="D2483" i="1"/>
  <c r="C2483" i="1"/>
  <c r="B2483" i="1"/>
  <c r="A2483" i="1"/>
  <c r="F2478" i="1"/>
  <c r="E2478" i="1"/>
  <c r="D2478" i="1"/>
  <c r="C2478" i="1"/>
  <c r="B2478" i="1"/>
  <c r="A2478" i="1"/>
  <c r="F2476" i="1"/>
  <c r="E2476" i="1"/>
  <c r="D2476" i="1"/>
  <c r="C2476" i="1"/>
  <c r="B2476" i="1"/>
  <c r="A2476" i="1"/>
  <c r="F2472" i="1"/>
  <c r="E2472" i="1"/>
  <c r="D2472" i="1"/>
  <c r="C2472" i="1"/>
  <c r="B2472" i="1"/>
  <c r="A2472" i="1"/>
  <c r="F2467" i="1"/>
  <c r="E2467" i="1"/>
  <c r="D2467" i="1"/>
  <c r="C2467" i="1"/>
  <c r="B2467" i="1"/>
  <c r="A2467" i="1"/>
  <c r="F2462" i="1"/>
  <c r="E2462" i="1"/>
  <c r="D2462" i="1"/>
  <c r="C2462" i="1"/>
  <c r="B2462" i="1"/>
  <c r="A2462" i="1"/>
  <c r="F2460" i="1"/>
  <c r="E2460" i="1"/>
  <c r="D2460" i="1"/>
  <c r="C2460" i="1"/>
  <c r="B2460" i="1"/>
  <c r="A2460" i="1"/>
  <c r="F2457" i="1"/>
  <c r="E2457" i="1"/>
  <c r="D2457" i="1"/>
  <c r="C2457" i="1"/>
  <c r="B2457" i="1"/>
  <c r="A2457" i="1"/>
  <c r="F2456" i="1"/>
  <c r="E2456" i="1"/>
  <c r="D2456" i="1"/>
  <c r="C2456" i="1"/>
  <c r="B2456" i="1"/>
  <c r="A2456" i="1"/>
  <c r="F2440" i="1"/>
  <c r="E2440" i="1"/>
  <c r="D2440" i="1"/>
  <c r="C2440" i="1"/>
  <c r="B2440" i="1"/>
  <c r="A2440" i="1"/>
  <c r="F2431" i="1"/>
  <c r="E2431" i="1"/>
  <c r="D2431" i="1"/>
  <c r="C2431" i="1"/>
  <c r="B2431" i="1"/>
  <c r="A2431" i="1"/>
  <c r="F2429" i="1"/>
  <c r="E2429" i="1"/>
  <c r="D2429" i="1"/>
  <c r="C2429" i="1"/>
  <c r="B2429" i="1"/>
  <c r="A2429" i="1"/>
  <c r="F2428" i="1"/>
  <c r="E2428" i="1"/>
  <c r="D2428" i="1"/>
  <c r="C2428" i="1"/>
  <c r="B2428" i="1"/>
  <c r="A2428" i="1"/>
  <c r="F2421" i="1"/>
  <c r="E2421" i="1"/>
  <c r="D2421" i="1"/>
  <c r="C2421" i="1"/>
  <c r="B2421" i="1"/>
  <c r="A2421" i="1"/>
  <c r="F2420" i="1"/>
  <c r="E2420" i="1"/>
  <c r="D2420" i="1"/>
  <c r="C2420" i="1"/>
  <c r="B2420" i="1"/>
  <c r="A2420" i="1"/>
  <c r="F2415" i="1"/>
  <c r="E2415" i="1"/>
  <c r="D2415" i="1"/>
  <c r="C2415" i="1"/>
  <c r="B2415" i="1"/>
  <c r="A2415" i="1"/>
  <c r="F2413" i="1"/>
  <c r="E2413" i="1"/>
  <c r="D2413" i="1"/>
  <c r="C2413" i="1"/>
  <c r="B2413" i="1"/>
  <c r="A2413" i="1"/>
  <c r="F2402" i="1"/>
  <c r="E2402" i="1"/>
  <c r="D2402" i="1"/>
  <c r="C2402" i="1"/>
  <c r="B2402" i="1"/>
  <c r="A2402" i="1"/>
  <c r="F2392" i="1"/>
  <c r="E2392" i="1"/>
  <c r="D2392" i="1"/>
  <c r="C2392" i="1"/>
  <c r="B2392" i="1"/>
  <c r="A2392" i="1"/>
  <c r="F2385" i="1"/>
  <c r="E2385" i="1"/>
  <c r="D2385" i="1"/>
  <c r="C2385" i="1"/>
  <c r="B2385" i="1"/>
  <c r="A2385" i="1"/>
  <c r="F2383" i="1"/>
  <c r="E2383" i="1"/>
  <c r="D2383" i="1"/>
  <c r="C2383" i="1"/>
  <c r="B2383" i="1"/>
  <c r="A2383" i="1"/>
  <c r="F2375" i="1"/>
  <c r="E2375" i="1"/>
  <c r="D2375" i="1"/>
  <c r="C2375" i="1"/>
  <c r="B2375" i="1"/>
  <c r="A2375" i="1"/>
  <c r="F2368" i="1"/>
  <c r="E2368" i="1"/>
  <c r="D2368" i="1"/>
  <c r="C2368" i="1"/>
  <c r="B2368" i="1"/>
  <c r="A2368" i="1"/>
  <c r="F2367" i="1"/>
  <c r="E2367" i="1"/>
  <c r="D2367" i="1"/>
  <c r="C2367" i="1"/>
  <c r="B2367" i="1"/>
  <c r="A2367" i="1"/>
  <c r="F2355" i="1"/>
  <c r="E2355" i="1"/>
  <c r="D2355" i="1"/>
  <c r="C2355" i="1"/>
  <c r="B2355" i="1"/>
  <c r="A2355" i="1"/>
  <c r="F2328" i="1"/>
  <c r="E2328" i="1"/>
  <c r="D2328" i="1"/>
  <c r="C2328" i="1"/>
  <c r="B2328" i="1"/>
  <c r="A2328" i="1"/>
  <c r="F2327" i="1"/>
  <c r="E2327" i="1"/>
  <c r="D2327" i="1"/>
  <c r="C2327" i="1"/>
  <c r="B2327" i="1"/>
  <c r="A2327" i="1"/>
  <c r="F2316" i="1"/>
  <c r="E2316" i="1"/>
  <c r="D2316" i="1"/>
  <c r="C2316" i="1"/>
  <c r="B2316" i="1"/>
  <c r="A2316" i="1"/>
  <c r="F2313" i="1"/>
  <c r="E2313" i="1"/>
  <c r="D2313" i="1"/>
  <c r="C2313" i="1"/>
  <c r="B2313" i="1"/>
  <c r="A2313" i="1"/>
  <c r="F2308" i="1"/>
  <c r="E2308" i="1"/>
  <c r="D2308" i="1"/>
  <c r="C2308" i="1"/>
  <c r="B2308" i="1"/>
  <c r="A2308" i="1"/>
  <c r="F2059" i="1"/>
  <c r="E2059" i="1"/>
  <c r="D2059" i="1"/>
  <c r="C2059" i="1"/>
  <c r="B2059" i="1"/>
  <c r="A2059" i="1"/>
  <c r="F1582" i="1"/>
  <c r="E1582" i="1"/>
  <c r="D1582" i="1"/>
  <c r="C1582" i="1"/>
  <c r="B1582" i="1"/>
  <c r="A1582" i="1"/>
  <c r="F1471" i="1"/>
  <c r="E1471" i="1"/>
  <c r="D1471" i="1"/>
  <c r="C1471" i="1"/>
  <c r="B1471" i="1"/>
  <c r="A1471" i="1"/>
  <c r="F8101" i="1"/>
  <c r="E8101" i="1"/>
  <c r="D8101" i="1"/>
  <c r="C8101" i="1"/>
  <c r="B8101" i="1"/>
  <c r="A8101" i="1"/>
  <c r="F8011" i="1"/>
  <c r="E8011" i="1"/>
  <c r="D8011" i="1"/>
  <c r="C8011" i="1"/>
  <c r="B8011" i="1"/>
  <c r="A8011" i="1"/>
  <c r="F6674" i="1"/>
  <c r="E6674" i="1"/>
  <c r="D6674" i="1"/>
  <c r="C6674" i="1"/>
  <c r="B6674" i="1"/>
  <c r="A6674" i="1"/>
  <c r="F6442" i="1"/>
  <c r="E6442" i="1"/>
  <c r="D6442" i="1"/>
  <c r="C6442" i="1"/>
  <c r="B6442" i="1"/>
  <c r="A6442" i="1"/>
  <c r="F6416" i="1"/>
  <c r="E6416" i="1"/>
  <c r="D6416" i="1"/>
  <c r="C6416" i="1"/>
  <c r="B6416" i="1"/>
  <c r="A6416" i="1"/>
  <c r="F6285" i="1"/>
  <c r="E6285" i="1"/>
  <c r="D6285" i="1"/>
  <c r="C6285" i="1"/>
  <c r="B6285" i="1"/>
  <c r="A6285" i="1"/>
  <c r="F6216" i="1"/>
  <c r="E6216" i="1"/>
  <c r="D6216" i="1"/>
  <c r="C6216" i="1"/>
  <c r="B6216" i="1"/>
  <c r="A6216" i="1"/>
  <c r="F6152" i="1"/>
  <c r="E6152" i="1"/>
  <c r="D6152" i="1"/>
  <c r="C6152" i="1"/>
  <c r="B6152" i="1"/>
  <c r="A6152" i="1"/>
  <c r="F6142" i="1"/>
  <c r="E6142" i="1"/>
  <c r="D6142" i="1"/>
  <c r="C6142" i="1"/>
  <c r="B6142" i="1"/>
  <c r="A6142" i="1"/>
  <c r="F6136" i="1"/>
  <c r="E6136" i="1"/>
  <c r="D6136" i="1"/>
  <c r="C6136" i="1"/>
  <c r="B6136" i="1"/>
  <c r="A6136" i="1"/>
  <c r="F5388" i="1"/>
  <c r="E5388" i="1"/>
  <c r="D5388" i="1"/>
  <c r="C5388" i="1"/>
  <c r="B5388" i="1"/>
  <c r="A5388" i="1"/>
  <c r="F4977" i="1"/>
  <c r="E4977" i="1"/>
  <c r="D4977" i="1"/>
  <c r="C4977" i="1"/>
  <c r="B4977" i="1"/>
  <c r="A4977" i="1"/>
  <c r="F4906" i="1"/>
  <c r="E4906" i="1"/>
  <c r="D4906" i="1"/>
  <c r="C4906" i="1"/>
  <c r="B4906" i="1"/>
  <c r="A4906" i="1"/>
  <c r="F4904" i="1"/>
  <c r="E4904" i="1"/>
  <c r="D4904" i="1"/>
  <c r="C4904" i="1"/>
  <c r="B4904" i="1"/>
  <c r="A4904" i="1"/>
  <c r="F3704" i="1"/>
  <c r="E3704" i="1"/>
  <c r="D3704" i="1"/>
  <c r="C3704" i="1"/>
  <c r="B3704" i="1"/>
  <c r="A3704" i="1"/>
  <c r="F3694" i="1"/>
  <c r="E3694" i="1"/>
  <c r="D3694" i="1"/>
  <c r="C3694" i="1"/>
  <c r="B3694" i="1"/>
  <c r="A3694" i="1"/>
  <c r="F3682" i="1"/>
  <c r="E3682" i="1"/>
  <c r="D3682" i="1"/>
  <c r="C3682" i="1"/>
  <c r="B3682" i="1"/>
  <c r="A3682" i="1"/>
  <c r="F3596" i="1"/>
  <c r="E3596" i="1"/>
  <c r="D3596" i="1"/>
  <c r="C3596" i="1"/>
  <c r="B3596" i="1"/>
  <c r="A3596" i="1"/>
  <c r="F3419" i="1"/>
  <c r="E3419" i="1"/>
  <c r="D3419" i="1"/>
  <c r="C3419" i="1"/>
  <c r="B3419" i="1"/>
  <c r="A3419" i="1"/>
  <c r="F3380" i="1"/>
  <c r="E3380" i="1"/>
  <c r="D3380" i="1"/>
  <c r="C3380" i="1"/>
  <c r="B3380" i="1"/>
  <c r="A3380" i="1"/>
  <c r="F3311" i="1"/>
  <c r="E3311" i="1"/>
  <c r="D3311" i="1"/>
  <c r="C3311" i="1"/>
  <c r="B3311" i="1"/>
  <c r="A3311" i="1"/>
  <c r="F3062" i="1"/>
  <c r="E3062" i="1"/>
  <c r="D3062" i="1"/>
  <c r="C3062" i="1"/>
  <c r="B3062" i="1"/>
  <c r="A3062" i="1"/>
  <c r="F3047" i="1"/>
  <c r="E3047" i="1"/>
  <c r="D3047" i="1"/>
  <c r="C3047" i="1"/>
  <c r="B3047" i="1"/>
  <c r="A3047" i="1"/>
  <c r="F3045" i="1"/>
  <c r="E3045" i="1"/>
  <c r="D3045" i="1"/>
  <c r="C3045" i="1"/>
  <c r="B3045" i="1"/>
  <c r="A3045" i="1"/>
  <c r="F3027" i="1"/>
  <c r="E3027" i="1"/>
  <c r="D3027" i="1"/>
  <c r="C3027" i="1"/>
  <c r="B3027" i="1"/>
  <c r="A3027" i="1"/>
  <c r="F3025" i="1"/>
  <c r="E3025" i="1"/>
  <c r="D3025" i="1"/>
  <c r="C3025" i="1"/>
  <c r="B3025" i="1"/>
  <c r="A3025" i="1"/>
  <c r="F2498" i="1"/>
  <c r="E2498" i="1"/>
  <c r="D2498" i="1"/>
  <c r="C2498" i="1"/>
  <c r="B2498" i="1"/>
  <c r="A2498" i="1"/>
  <c r="F2485" i="1"/>
  <c r="E2485" i="1"/>
  <c r="D2485" i="1"/>
  <c r="C2485" i="1"/>
  <c r="B2485" i="1"/>
  <c r="A2485" i="1"/>
  <c r="F2455" i="1"/>
  <c r="E2455" i="1"/>
  <c r="D2455" i="1"/>
  <c r="C2455" i="1"/>
  <c r="B2455" i="1"/>
  <c r="A2455" i="1"/>
  <c r="F2450" i="1"/>
  <c r="E2450" i="1"/>
  <c r="D2450" i="1"/>
  <c r="C2450" i="1"/>
  <c r="B2450" i="1"/>
  <c r="A2450" i="1"/>
  <c r="F2444" i="1"/>
  <c r="E2444" i="1"/>
  <c r="D2444" i="1"/>
  <c r="C2444" i="1"/>
  <c r="B2444" i="1"/>
  <c r="A2444" i="1"/>
  <c r="F2439" i="1"/>
  <c r="E2439" i="1"/>
  <c r="D2439" i="1"/>
  <c r="C2439" i="1"/>
  <c r="B2439" i="1"/>
  <c r="A2439" i="1"/>
  <c r="F2419" i="1"/>
  <c r="E2419" i="1"/>
  <c r="D2419" i="1"/>
  <c r="C2419" i="1"/>
  <c r="B2419" i="1"/>
  <c r="A2419" i="1"/>
  <c r="F2412" i="1"/>
  <c r="E2412" i="1"/>
  <c r="D2412" i="1"/>
  <c r="C2412" i="1"/>
  <c r="B2412" i="1"/>
  <c r="A2412" i="1"/>
  <c r="F2345" i="1"/>
  <c r="E2345" i="1"/>
  <c r="D2345" i="1"/>
  <c r="C2345" i="1"/>
  <c r="B2345" i="1"/>
  <c r="A2345" i="1"/>
  <c r="F2332" i="1"/>
  <c r="E2332" i="1"/>
  <c r="D2332" i="1"/>
  <c r="C2332" i="1"/>
  <c r="B2332" i="1"/>
  <c r="A2332" i="1"/>
  <c r="F2321" i="1"/>
  <c r="E2321" i="1"/>
  <c r="D2321" i="1"/>
  <c r="C2321" i="1"/>
  <c r="B2321" i="1"/>
  <c r="A2321" i="1"/>
  <c r="F2314" i="1"/>
  <c r="E2314" i="1"/>
  <c r="D2314" i="1"/>
  <c r="C2314" i="1"/>
  <c r="B2314" i="1"/>
  <c r="A2314" i="1"/>
  <c r="F8215" i="1"/>
  <c r="E8215" i="1"/>
  <c r="D8215" i="1"/>
  <c r="C8215" i="1"/>
  <c r="B8215" i="1"/>
  <c r="A8215" i="1"/>
  <c r="F8105" i="1"/>
  <c r="E8105" i="1"/>
  <c r="D8105" i="1"/>
  <c r="C8105" i="1"/>
  <c r="B8105" i="1"/>
  <c r="A8105" i="1"/>
  <c r="F8104" i="1"/>
  <c r="E8104" i="1"/>
  <c r="D8104" i="1"/>
  <c r="C8104" i="1"/>
  <c r="B8104" i="1"/>
  <c r="A8104" i="1"/>
  <c r="F6706" i="1"/>
  <c r="E6706" i="1"/>
  <c r="D6706" i="1"/>
  <c r="C6706" i="1"/>
  <c r="B6706" i="1"/>
  <c r="A6706" i="1"/>
  <c r="F6668" i="1"/>
  <c r="E6668" i="1"/>
  <c r="D6668" i="1"/>
  <c r="C6668" i="1"/>
  <c r="B6668" i="1"/>
  <c r="A6668" i="1"/>
  <c r="F6477" i="1"/>
  <c r="E6477" i="1"/>
  <c r="D6477" i="1"/>
  <c r="C6477" i="1"/>
  <c r="B6477" i="1"/>
  <c r="A6477" i="1"/>
  <c r="F6456" i="1"/>
  <c r="E6456" i="1"/>
  <c r="D6456" i="1"/>
  <c r="C6456" i="1"/>
  <c r="B6456" i="1"/>
  <c r="A6456" i="1"/>
  <c r="F6443" i="1"/>
  <c r="E6443" i="1"/>
  <c r="D6443" i="1"/>
  <c r="C6443" i="1"/>
  <c r="B6443" i="1"/>
  <c r="A6443" i="1"/>
  <c r="F6431" i="1"/>
  <c r="E6431" i="1"/>
  <c r="D6431" i="1"/>
  <c r="C6431" i="1"/>
  <c r="B6431" i="1"/>
  <c r="A6431" i="1"/>
  <c r="F6405" i="1"/>
  <c r="E6405" i="1"/>
  <c r="D6405" i="1"/>
  <c r="C6405" i="1"/>
  <c r="B6405" i="1"/>
  <c r="A6405" i="1"/>
  <c r="F6289" i="1"/>
  <c r="E6289" i="1"/>
  <c r="D6289" i="1"/>
  <c r="C6289" i="1"/>
  <c r="B6289" i="1"/>
  <c r="A6289" i="1"/>
  <c r="F6278" i="1"/>
  <c r="E6278" i="1"/>
  <c r="D6278" i="1"/>
  <c r="C6278" i="1"/>
  <c r="B6278" i="1"/>
  <c r="A6278" i="1"/>
  <c r="F6226" i="1"/>
  <c r="E6226" i="1"/>
  <c r="D6226" i="1"/>
  <c r="C6226" i="1"/>
  <c r="B6226" i="1"/>
  <c r="A6226" i="1"/>
  <c r="F6225" i="1"/>
  <c r="E6225" i="1"/>
  <c r="D6225" i="1"/>
  <c r="C6225" i="1"/>
  <c r="B6225" i="1"/>
  <c r="A6225" i="1"/>
  <c r="F6209" i="1"/>
  <c r="E6209" i="1"/>
  <c r="D6209" i="1"/>
  <c r="C6209" i="1"/>
  <c r="B6209" i="1"/>
  <c r="A6209" i="1"/>
  <c r="F6176" i="1"/>
  <c r="E6176" i="1"/>
  <c r="D6176" i="1"/>
  <c r="C6176" i="1"/>
  <c r="B6176" i="1"/>
  <c r="A6176" i="1"/>
  <c r="F6168" i="1"/>
  <c r="E6168" i="1"/>
  <c r="D6168" i="1"/>
  <c r="C6168" i="1"/>
  <c r="B6168" i="1"/>
  <c r="A6168" i="1"/>
  <c r="F6164" i="1"/>
  <c r="E6164" i="1"/>
  <c r="D6164" i="1"/>
  <c r="C6164" i="1"/>
  <c r="B6164" i="1"/>
  <c r="A6164" i="1"/>
  <c r="F6131" i="1"/>
  <c r="E6131" i="1"/>
  <c r="D6131" i="1"/>
  <c r="C6131" i="1"/>
  <c r="B6131" i="1"/>
  <c r="A6131" i="1"/>
  <c r="F6120" i="1"/>
  <c r="E6120" i="1"/>
  <c r="D6120" i="1"/>
  <c r="C6120" i="1"/>
  <c r="B6120" i="1"/>
  <c r="A6120" i="1"/>
  <c r="F6116" i="1"/>
  <c r="E6116" i="1"/>
  <c r="D6116" i="1"/>
  <c r="C6116" i="1"/>
  <c r="B6116" i="1"/>
  <c r="A6116" i="1"/>
  <c r="F5484" i="1"/>
  <c r="E5484" i="1"/>
  <c r="D5484" i="1"/>
  <c r="C5484" i="1"/>
  <c r="B5484" i="1"/>
  <c r="A5484" i="1"/>
  <c r="F5243" i="1"/>
  <c r="E5243" i="1"/>
  <c r="D5243" i="1"/>
  <c r="C5243" i="1"/>
  <c r="B5243" i="1"/>
  <c r="A5243" i="1"/>
  <c r="F5234" i="1"/>
  <c r="E5234" i="1"/>
  <c r="D5234" i="1"/>
  <c r="C5234" i="1"/>
  <c r="B5234" i="1"/>
  <c r="A5234" i="1"/>
  <c r="F4976" i="1"/>
  <c r="E4976" i="1"/>
  <c r="D4976" i="1"/>
  <c r="C4976" i="1"/>
  <c r="B4976" i="1"/>
  <c r="A4976" i="1"/>
  <c r="F4960" i="1"/>
  <c r="E4960" i="1"/>
  <c r="D4960" i="1"/>
  <c r="C4960" i="1"/>
  <c r="B4960" i="1"/>
  <c r="A4960" i="1"/>
  <c r="F4956" i="1"/>
  <c r="E4956" i="1"/>
  <c r="D4956" i="1"/>
  <c r="C4956" i="1"/>
  <c r="B4956" i="1"/>
  <c r="A4956" i="1"/>
  <c r="F4942" i="1"/>
  <c r="E4942" i="1"/>
  <c r="D4942" i="1"/>
  <c r="C4942" i="1"/>
  <c r="B4942" i="1"/>
  <c r="A4942" i="1"/>
  <c r="F4935" i="1"/>
  <c r="E4935" i="1"/>
  <c r="D4935" i="1"/>
  <c r="C4935" i="1"/>
  <c r="B4935" i="1"/>
  <c r="A4935" i="1"/>
  <c r="F4934" i="1"/>
  <c r="E4934" i="1"/>
  <c r="D4934" i="1"/>
  <c r="C4934" i="1"/>
  <c r="B4934" i="1"/>
  <c r="A4934" i="1"/>
  <c r="F3698" i="1"/>
  <c r="E3698" i="1"/>
  <c r="D3698" i="1"/>
  <c r="C3698" i="1"/>
  <c r="B3698" i="1"/>
  <c r="A3698" i="1"/>
  <c r="F3673" i="1"/>
  <c r="E3673" i="1"/>
  <c r="D3673" i="1"/>
  <c r="C3673" i="1"/>
  <c r="B3673" i="1"/>
  <c r="A3673" i="1"/>
  <c r="F3669" i="1"/>
  <c r="E3669" i="1"/>
  <c r="D3669" i="1"/>
  <c r="C3669" i="1"/>
  <c r="B3669" i="1"/>
  <c r="A3669" i="1"/>
  <c r="F3622" i="1"/>
  <c r="E3622" i="1"/>
  <c r="D3622" i="1"/>
  <c r="C3622" i="1"/>
  <c r="B3622" i="1"/>
  <c r="A3622" i="1"/>
  <c r="F3591" i="1"/>
  <c r="E3591" i="1"/>
  <c r="D3591" i="1"/>
  <c r="C3591" i="1"/>
  <c r="B3591" i="1"/>
  <c r="A3591" i="1"/>
  <c r="F3576" i="1"/>
  <c r="E3576" i="1"/>
  <c r="D3576" i="1"/>
  <c r="C3576" i="1"/>
  <c r="B3576" i="1"/>
  <c r="A3576" i="1"/>
  <c r="F3563" i="1"/>
  <c r="E3563" i="1"/>
  <c r="D3563" i="1"/>
  <c r="C3563" i="1"/>
  <c r="B3563" i="1"/>
  <c r="A3563" i="1"/>
  <c r="F3557" i="1"/>
  <c r="E3557" i="1"/>
  <c r="D3557" i="1"/>
  <c r="C3557" i="1"/>
  <c r="B3557" i="1"/>
  <c r="A3557" i="1"/>
  <c r="F3543" i="1"/>
  <c r="E3543" i="1"/>
  <c r="D3543" i="1"/>
  <c r="C3543" i="1"/>
  <c r="B3543" i="1"/>
  <c r="A3543" i="1"/>
  <c r="F3535" i="1"/>
  <c r="E3535" i="1"/>
  <c r="D3535" i="1"/>
  <c r="C3535" i="1"/>
  <c r="B3535" i="1"/>
  <c r="A3535" i="1"/>
  <c r="F3504" i="1"/>
  <c r="E3504" i="1"/>
  <c r="D3504" i="1"/>
  <c r="C3504" i="1"/>
  <c r="B3504" i="1"/>
  <c r="A3504" i="1"/>
  <c r="F3481" i="1"/>
  <c r="E3481" i="1"/>
  <c r="D3481" i="1"/>
  <c r="C3481" i="1"/>
  <c r="B3481" i="1"/>
  <c r="A3481" i="1"/>
  <c r="F3454" i="1"/>
  <c r="E3454" i="1"/>
  <c r="D3454" i="1"/>
  <c r="C3454" i="1"/>
  <c r="B3454" i="1"/>
  <c r="A3454" i="1"/>
  <c r="F3437" i="1"/>
  <c r="E3437" i="1"/>
  <c r="D3437" i="1"/>
  <c r="C3437" i="1"/>
  <c r="B3437" i="1"/>
  <c r="A3437" i="1"/>
  <c r="F3406" i="1"/>
  <c r="E3406" i="1"/>
  <c r="D3406" i="1"/>
  <c r="C3406" i="1"/>
  <c r="B3406" i="1"/>
  <c r="A3406" i="1"/>
  <c r="F3383" i="1"/>
  <c r="E3383" i="1"/>
  <c r="D3383" i="1"/>
  <c r="C3383" i="1"/>
  <c r="B3383" i="1"/>
  <c r="A3383" i="1"/>
  <c r="F3356" i="1"/>
  <c r="E3356" i="1"/>
  <c r="D3356" i="1"/>
  <c r="C3356" i="1"/>
  <c r="B3356" i="1"/>
  <c r="A3356" i="1"/>
  <c r="F3149" i="1"/>
  <c r="E3149" i="1"/>
  <c r="D3149" i="1"/>
  <c r="C3149" i="1"/>
  <c r="B3149" i="1"/>
  <c r="A3149" i="1"/>
  <c r="F3059" i="1"/>
  <c r="E3059" i="1"/>
  <c r="D3059" i="1"/>
  <c r="C3059" i="1"/>
  <c r="B3059" i="1"/>
  <c r="A3059" i="1"/>
  <c r="F3051" i="1"/>
  <c r="E3051" i="1"/>
  <c r="D3051" i="1"/>
  <c r="C3051" i="1"/>
  <c r="B3051" i="1"/>
  <c r="A3051" i="1"/>
  <c r="F3050" i="1"/>
  <c r="E3050" i="1"/>
  <c r="D3050" i="1"/>
  <c r="C3050" i="1"/>
  <c r="B3050" i="1"/>
  <c r="A3050" i="1"/>
  <c r="F3049" i="1"/>
  <c r="E3049" i="1"/>
  <c r="D3049" i="1"/>
  <c r="C3049" i="1"/>
  <c r="B3049" i="1"/>
  <c r="A3049" i="1"/>
  <c r="F3038" i="1"/>
  <c r="E3038" i="1"/>
  <c r="D3038" i="1"/>
  <c r="C3038" i="1"/>
  <c r="B3038" i="1"/>
  <c r="A3038" i="1"/>
  <c r="F3031" i="1"/>
  <c r="E3031" i="1"/>
  <c r="D3031" i="1"/>
  <c r="C3031" i="1"/>
  <c r="B3031" i="1"/>
  <c r="A3031" i="1"/>
  <c r="F3024" i="1"/>
  <c r="E3024" i="1"/>
  <c r="D3024" i="1"/>
  <c r="C3024" i="1"/>
  <c r="B3024" i="1"/>
  <c r="A3024" i="1"/>
  <c r="F3019" i="1"/>
  <c r="E3019" i="1"/>
  <c r="D3019" i="1"/>
  <c r="C3019" i="1"/>
  <c r="B3019" i="1"/>
  <c r="A3019" i="1"/>
  <c r="F3008" i="1"/>
  <c r="E3008" i="1"/>
  <c r="D3008" i="1"/>
  <c r="C3008" i="1"/>
  <c r="B3008" i="1"/>
  <c r="A3008" i="1"/>
  <c r="F2491" i="1"/>
  <c r="E2491" i="1"/>
  <c r="D2491" i="1"/>
  <c r="C2491" i="1"/>
  <c r="B2491" i="1"/>
  <c r="A2491" i="1"/>
  <c r="F2489" i="1"/>
  <c r="E2489" i="1"/>
  <c r="D2489" i="1"/>
  <c r="C2489" i="1"/>
  <c r="B2489" i="1"/>
  <c r="A2489" i="1"/>
  <c r="F2486" i="1"/>
  <c r="E2486" i="1"/>
  <c r="D2486" i="1"/>
  <c r="C2486" i="1"/>
  <c r="B2486" i="1"/>
  <c r="A2486" i="1"/>
  <c r="F2466" i="1"/>
  <c r="E2466" i="1"/>
  <c r="D2466" i="1"/>
  <c r="C2466" i="1"/>
  <c r="B2466" i="1"/>
  <c r="A2466" i="1"/>
  <c r="F2448" i="1"/>
  <c r="E2448" i="1"/>
  <c r="D2448" i="1"/>
  <c r="C2448" i="1"/>
  <c r="B2448" i="1"/>
  <c r="A2448" i="1"/>
  <c r="F2438" i="1"/>
  <c r="E2438" i="1"/>
  <c r="D2438" i="1"/>
  <c r="C2438" i="1"/>
  <c r="B2438" i="1"/>
  <c r="A2438" i="1"/>
  <c r="F2426" i="1"/>
  <c r="E2426" i="1"/>
  <c r="D2426" i="1"/>
  <c r="C2426" i="1"/>
  <c r="B2426" i="1"/>
  <c r="A2426" i="1"/>
  <c r="F2409" i="1"/>
  <c r="E2409" i="1"/>
  <c r="D2409" i="1"/>
  <c r="C2409" i="1"/>
  <c r="B2409" i="1"/>
  <c r="A2409" i="1"/>
  <c r="F2406" i="1"/>
  <c r="E2406" i="1"/>
  <c r="D2406" i="1"/>
  <c r="C2406" i="1"/>
  <c r="B2406" i="1"/>
  <c r="A2406" i="1"/>
  <c r="F2393" i="1"/>
  <c r="E2393" i="1"/>
  <c r="D2393" i="1"/>
  <c r="C2393" i="1"/>
  <c r="B2393" i="1"/>
  <c r="A2393" i="1"/>
  <c r="F2374" i="1"/>
  <c r="E2374" i="1"/>
  <c r="D2374" i="1"/>
  <c r="C2374" i="1"/>
  <c r="B2374" i="1"/>
  <c r="A2374" i="1"/>
  <c r="F2349" i="1"/>
  <c r="E2349" i="1"/>
  <c r="D2349" i="1"/>
  <c r="C2349" i="1"/>
  <c r="B2349" i="1"/>
  <c r="A2349" i="1"/>
  <c r="F2340" i="1"/>
  <c r="E2340" i="1"/>
  <c r="D2340" i="1"/>
  <c r="C2340" i="1"/>
  <c r="B2340" i="1"/>
  <c r="A2340" i="1"/>
  <c r="F2323" i="1"/>
  <c r="E2323" i="1"/>
  <c r="D2323" i="1"/>
  <c r="C2323" i="1"/>
  <c r="B2323" i="1"/>
  <c r="A2323" i="1"/>
  <c r="F9912" i="1"/>
  <c r="E9912" i="1"/>
  <c r="D9912" i="1"/>
  <c r="C9912" i="1"/>
  <c r="B9912" i="1"/>
  <c r="A9912" i="1"/>
  <c r="F8210" i="1"/>
  <c r="E8210" i="1"/>
  <c r="D8210" i="1"/>
  <c r="C8210" i="1"/>
  <c r="B8210" i="1"/>
  <c r="A8210" i="1"/>
  <c r="F8163" i="1"/>
  <c r="E8163" i="1"/>
  <c r="D8163" i="1"/>
  <c r="C8163" i="1"/>
  <c r="B8163" i="1"/>
  <c r="A8163" i="1"/>
  <c r="F8114" i="1"/>
  <c r="E8114" i="1"/>
  <c r="D8114" i="1"/>
  <c r="C8114" i="1"/>
  <c r="B8114" i="1"/>
  <c r="A8114" i="1"/>
  <c r="F6669" i="1"/>
  <c r="E6669" i="1"/>
  <c r="D6669" i="1"/>
  <c r="C6669" i="1"/>
  <c r="B6669" i="1"/>
  <c r="A6669" i="1"/>
  <c r="F6591" i="1"/>
  <c r="E6591" i="1"/>
  <c r="D6591" i="1"/>
  <c r="C6591" i="1"/>
  <c r="B6591" i="1"/>
  <c r="A6591" i="1"/>
  <c r="F6579" i="1"/>
  <c r="E6579" i="1"/>
  <c r="D6579" i="1"/>
  <c r="C6579" i="1"/>
  <c r="B6579" i="1"/>
  <c r="A6579" i="1"/>
  <c r="F6414" i="1"/>
  <c r="E6414" i="1"/>
  <c r="D6414" i="1"/>
  <c r="C6414" i="1"/>
  <c r="B6414" i="1"/>
  <c r="A6414" i="1"/>
  <c r="F6277" i="1"/>
  <c r="E6277" i="1"/>
  <c r="D6277" i="1"/>
  <c r="C6277" i="1"/>
  <c r="B6277" i="1"/>
  <c r="A6277" i="1"/>
  <c r="F6235" i="1"/>
  <c r="E6235" i="1"/>
  <c r="D6235" i="1"/>
  <c r="C6235" i="1"/>
  <c r="B6235" i="1"/>
  <c r="A6235" i="1"/>
  <c r="F6230" i="1"/>
  <c r="E6230" i="1"/>
  <c r="D6230" i="1"/>
  <c r="C6230" i="1"/>
  <c r="B6230" i="1"/>
  <c r="A6230" i="1"/>
  <c r="F6206" i="1"/>
  <c r="E6206" i="1"/>
  <c r="D6206" i="1"/>
  <c r="C6206" i="1"/>
  <c r="B6206" i="1"/>
  <c r="A6206" i="1"/>
  <c r="F6172" i="1"/>
  <c r="E6172" i="1"/>
  <c r="D6172" i="1"/>
  <c r="C6172" i="1"/>
  <c r="B6172" i="1"/>
  <c r="A6172" i="1"/>
  <c r="F6166" i="1"/>
  <c r="E6166" i="1"/>
  <c r="D6166" i="1"/>
  <c r="C6166" i="1"/>
  <c r="B6166" i="1"/>
  <c r="A6166" i="1"/>
  <c r="F6128" i="1"/>
  <c r="E6128" i="1"/>
  <c r="D6128" i="1"/>
  <c r="C6128" i="1"/>
  <c r="B6128" i="1"/>
  <c r="A6128" i="1"/>
  <c r="F6117" i="1"/>
  <c r="E6117" i="1"/>
  <c r="D6117" i="1"/>
  <c r="C6117" i="1"/>
  <c r="B6117" i="1"/>
  <c r="A6117" i="1"/>
  <c r="F5264" i="1"/>
  <c r="E5264" i="1"/>
  <c r="D5264" i="1"/>
  <c r="C5264" i="1"/>
  <c r="B5264" i="1"/>
  <c r="A5264" i="1"/>
  <c r="F5258" i="1"/>
  <c r="E5258" i="1"/>
  <c r="D5258" i="1"/>
  <c r="C5258" i="1"/>
  <c r="B5258" i="1"/>
  <c r="A5258" i="1"/>
  <c r="F5215" i="1"/>
  <c r="E5215" i="1"/>
  <c r="D5215" i="1"/>
  <c r="C5215" i="1"/>
  <c r="B5215" i="1"/>
  <c r="A5215" i="1"/>
  <c r="F4938" i="1"/>
  <c r="E4938" i="1"/>
  <c r="D4938" i="1"/>
  <c r="C4938" i="1"/>
  <c r="B4938" i="1"/>
  <c r="A4938" i="1"/>
  <c r="F4916" i="1"/>
  <c r="E4916" i="1"/>
  <c r="D4916" i="1"/>
  <c r="C4916" i="1"/>
  <c r="B4916" i="1"/>
  <c r="A4916" i="1"/>
  <c r="F3712" i="1"/>
  <c r="E3712" i="1"/>
  <c r="D3712" i="1"/>
  <c r="C3712" i="1"/>
  <c r="B3712" i="1"/>
  <c r="A3712" i="1"/>
  <c r="F3706" i="1"/>
  <c r="E3706" i="1"/>
  <c r="D3706" i="1"/>
  <c r="C3706" i="1"/>
  <c r="B3706" i="1"/>
  <c r="A3706" i="1"/>
  <c r="F3701" i="1"/>
  <c r="E3701" i="1"/>
  <c r="D3701" i="1"/>
  <c r="C3701" i="1"/>
  <c r="B3701" i="1"/>
  <c r="A3701" i="1"/>
  <c r="F3515" i="1"/>
  <c r="E3515" i="1"/>
  <c r="D3515" i="1"/>
  <c r="C3515" i="1"/>
  <c r="B3515" i="1"/>
  <c r="A3515" i="1"/>
  <c r="F3494" i="1"/>
  <c r="E3494" i="1"/>
  <c r="D3494" i="1"/>
  <c r="C3494" i="1"/>
  <c r="B3494" i="1"/>
  <c r="A3494" i="1"/>
  <c r="F3416" i="1"/>
  <c r="E3416" i="1"/>
  <c r="D3416" i="1"/>
  <c r="C3416" i="1"/>
  <c r="B3416" i="1"/>
  <c r="A3416" i="1"/>
  <c r="F3231" i="1"/>
  <c r="E3231" i="1"/>
  <c r="D3231" i="1"/>
  <c r="C3231" i="1"/>
  <c r="B3231" i="1"/>
  <c r="A3231" i="1"/>
  <c r="F3060" i="1"/>
  <c r="E3060" i="1"/>
  <c r="D3060" i="1"/>
  <c r="C3060" i="1"/>
  <c r="B3060" i="1"/>
  <c r="A3060" i="1"/>
  <c r="F3057" i="1"/>
  <c r="E3057" i="1"/>
  <c r="D3057" i="1"/>
  <c r="C3057" i="1"/>
  <c r="B3057" i="1"/>
  <c r="A3057" i="1"/>
  <c r="F3046" i="1"/>
  <c r="E3046" i="1"/>
  <c r="D3046" i="1"/>
  <c r="C3046" i="1"/>
  <c r="B3046" i="1"/>
  <c r="A3046" i="1"/>
  <c r="F3022" i="1"/>
  <c r="E3022" i="1"/>
  <c r="D3022" i="1"/>
  <c r="C3022" i="1"/>
  <c r="B3022" i="1"/>
  <c r="A3022" i="1"/>
  <c r="F3017" i="1"/>
  <c r="E3017" i="1"/>
  <c r="D3017" i="1"/>
  <c r="C3017" i="1"/>
  <c r="B3017" i="1"/>
  <c r="A3017" i="1"/>
  <c r="F3013" i="1"/>
  <c r="E3013" i="1"/>
  <c r="D3013" i="1"/>
  <c r="C3013" i="1"/>
  <c r="B3013" i="1"/>
  <c r="A3013" i="1"/>
  <c r="F3005" i="1"/>
  <c r="E3005" i="1"/>
  <c r="D3005" i="1"/>
  <c r="C3005" i="1"/>
  <c r="B3005" i="1"/>
  <c r="A3005" i="1"/>
  <c r="F3002" i="1"/>
  <c r="E3002" i="1"/>
  <c r="D3002" i="1"/>
  <c r="C3002" i="1"/>
  <c r="B3002" i="1"/>
  <c r="A3002" i="1"/>
  <c r="F2465" i="1"/>
  <c r="E2465" i="1"/>
  <c r="D2465" i="1"/>
  <c r="C2465" i="1"/>
  <c r="B2465" i="1"/>
  <c r="A2465" i="1"/>
  <c r="F2442" i="1"/>
  <c r="E2442" i="1"/>
  <c r="D2442" i="1"/>
  <c r="C2442" i="1"/>
  <c r="B2442" i="1"/>
  <c r="A2442" i="1"/>
  <c r="F2425" i="1"/>
  <c r="E2425" i="1"/>
  <c r="D2425" i="1"/>
  <c r="C2425" i="1"/>
  <c r="B2425" i="1"/>
  <c r="A2425" i="1"/>
  <c r="F2424" i="1"/>
  <c r="E2424" i="1"/>
  <c r="D2424" i="1"/>
  <c r="C2424" i="1"/>
  <c r="B2424" i="1"/>
  <c r="A2424" i="1"/>
  <c r="F2417" i="1"/>
  <c r="E2417" i="1"/>
  <c r="D2417" i="1"/>
  <c r="C2417" i="1"/>
  <c r="B2417" i="1"/>
  <c r="A2417" i="1"/>
  <c r="F2405" i="1"/>
  <c r="E2405" i="1"/>
  <c r="D2405" i="1"/>
  <c r="C2405" i="1"/>
  <c r="B2405" i="1"/>
  <c r="A2405" i="1"/>
  <c r="F2399" i="1"/>
  <c r="E2399" i="1"/>
  <c r="D2399" i="1"/>
  <c r="C2399" i="1"/>
  <c r="B2399" i="1"/>
  <c r="A2399" i="1"/>
  <c r="F2397" i="1"/>
  <c r="E2397" i="1"/>
  <c r="D2397" i="1"/>
  <c r="C2397" i="1"/>
  <c r="B2397" i="1"/>
  <c r="A2397" i="1"/>
  <c r="F2395" i="1"/>
  <c r="E2395" i="1"/>
  <c r="D2395" i="1"/>
  <c r="C2395" i="1"/>
  <c r="B2395" i="1"/>
  <c r="A2395" i="1"/>
  <c r="F2387" i="1"/>
  <c r="E2387" i="1"/>
  <c r="D2387" i="1"/>
  <c r="C2387" i="1"/>
  <c r="B2387" i="1"/>
  <c r="A2387" i="1"/>
  <c r="F2382" i="1"/>
  <c r="E2382" i="1"/>
  <c r="D2382" i="1"/>
  <c r="C2382" i="1"/>
  <c r="B2382" i="1"/>
  <c r="A2382" i="1"/>
  <c r="F2380" i="1"/>
  <c r="E2380" i="1"/>
  <c r="D2380" i="1"/>
  <c r="C2380" i="1"/>
  <c r="B2380" i="1"/>
  <c r="A2380" i="1"/>
  <c r="F2377" i="1"/>
  <c r="E2377" i="1"/>
  <c r="D2377" i="1"/>
  <c r="C2377" i="1"/>
  <c r="B2377" i="1"/>
  <c r="A2377" i="1"/>
  <c r="F2376" i="1"/>
  <c r="E2376" i="1"/>
  <c r="D2376" i="1"/>
  <c r="C2376" i="1"/>
  <c r="B2376" i="1"/>
  <c r="A2376" i="1"/>
  <c r="F2365" i="1"/>
  <c r="E2365" i="1"/>
  <c r="D2365" i="1"/>
  <c r="C2365" i="1"/>
  <c r="B2365" i="1"/>
  <c r="A2365" i="1"/>
  <c r="F2364" i="1"/>
  <c r="E2364" i="1"/>
  <c r="D2364" i="1"/>
  <c r="C2364" i="1"/>
  <c r="B2364" i="1"/>
  <c r="A2364" i="1"/>
  <c r="F2362" i="1"/>
  <c r="E2362" i="1"/>
  <c r="D2362" i="1"/>
  <c r="C2362" i="1"/>
  <c r="B2362" i="1"/>
  <c r="A2362" i="1"/>
  <c r="F2357" i="1"/>
  <c r="E2357" i="1"/>
  <c r="D2357" i="1"/>
  <c r="C2357" i="1"/>
  <c r="B2357" i="1"/>
  <c r="A2357" i="1"/>
  <c r="F2356" i="1"/>
  <c r="E2356" i="1"/>
  <c r="D2356" i="1"/>
  <c r="C2356" i="1"/>
  <c r="B2356" i="1"/>
  <c r="A2356" i="1"/>
  <c r="F2353" i="1"/>
  <c r="E2353" i="1"/>
  <c r="D2353" i="1"/>
  <c r="C2353" i="1"/>
  <c r="B2353" i="1"/>
  <c r="A2353" i="1"/>
  <c r="F2352" i="1"/>
  <c r="E2352" i="1"/>
  <c r="D2352" i="1"/>
  <c r="C2352" i="1"/>
  <c r="B2352" i="1"/>
  <c r="A2352" i="1"/>
  <c r="F2331" i="1"/>
  <c r="E2331" i="1"/>
  <c r="D2331" i="1"/>
  <c r="C2331" i="1"/>
  <c r="B2331" i="1"/>
  <c r="A2331" i="1"/>
  <c r="F2324" i="1"/>
  <c r="E2324" i="1"/>
  <c r="D2324" i="1"/>
  <c r="C2324" i="1"/>
  <c r="B2324" i="1"/>
  <c r="A2324" i="1"/>
  <c r="F2305" i="1"/>
  <c r="E2305" i="1"/>
  <c r="D2305" i="1"/>
  <c r="C2305" i="1"/>
  <c r="B2305" i="1"/>
  <c r="A2305" i="1"/>
  <c r="F2301" i="1"/>
  <c r="E2301" i="1"/>
  <c r="D2301" i="1"/>
  <c r="C2301" i="1"/>
  <c r="B2301" i="1"/>
  <c r="A2301" i="1"/>
  <c r="F8271" i="1"/>
  <c r="E8271" i="1"/>
  <c r="D8271" i="1"/>
  <c r="C8271" i="1"/>
  <c r="B8271" i="1"/>
  <c r="A8271" i="1"/>
  <c r="F8261" i="1"/>
  <c r="E8261" i="1"/>
  <c r="D8261" i="1"/>
  <c r="C8261" i="1"/>
  <c r="B8261" i="1"/>
  <c r="A8261" i="1"/>
  <c r="F8150" i="1"/>
  <c r="E8150" i="1"/>
  <c r="D8150" i="1"/>
  <c r="C8150" i="1"/>
  <c r="B8150" i="1"/>
  <c r="A8150" i="1"/>
  <c r="F8131" i="1"/>
  <c r="E8131" i="1"/>
  <c r="D8131" i="1"/>
  <c r="C8131" i="1"/>
  <c r="B8131" i="1"/>
  <c r="A8131" i="1"/>
  <c r="F8110" i="1"/>
  <c r="E8110" i="1"/>
  <c r="D8110" i="1"/>
  <c r="C8110" i="1"/>
  <c r="B8110" i="1"/>
  <c r="A8110" i="1"/>
  <c r="F8081" i="1"/>
  <c r="E8081" i="1"/>
  <c r="D8081" i="1"/>
  <c r="C8081" i="1"/>
  <c r="B8081" i="1"/>
  <c r="A8081" i="1"/>
  <c r="F8028" i="1"/>
  <c r="E8028" i="1"/>
  <c r="D8028" i="1"/>
  <c r="C8028" i="1"/>
  <c r="B8028" i="1"/>
  <c r="A8028" i="1"/>
  <c r="F8016" i="1"/>
  <c r="E8016" i="1"/>
  <c r="D8016" i="1"/>
  <c r="C8016" i="1"/>
  <c r="B8016" i="1"/>
  <c r="A8016" i="1"/>
  <c r="F6573" i="1"/>
  <c r="E6573" i="1"/>
  <c r="D6573" i="1"/>
  <c r="C6573" i="1"/>
  <c r="B6573" i="1"/>
  <c r="A6573" i="1"/>
  <c r="F6552" i="1"/>
  <c r="E6552" i="1"/>
  <c r="D6552" i="1"/>
  <c r="C6552" i="1"/>
  <c r="B6552" i="1"/>
  <c r="A6552" i="1"/>
  <c r="F6533" i="1"/>
  <c r="E6533" i="1"/>
  <c r="D6533" i="1"/>
  <c r="C6533" i="1"/>
  <c r="B6533" i="1"/>
  <c r="A6533" i="1"/>
  <c r="F6531" i="1"/>
  <c r="E6531" i="1"/>
  <c r="D6531" i="1"/>
  <c r="C6531" i="1"/>
  <c r="B6531" i="1"/>
  <c r="A6531" i="1"/>
  <c r="F6525" i="1"/>
  <c r="E6525" i="1"/>
  <c r="D6525" i="1"/>
  <c r="C6525" i="1"/>
  <c r="B6525" i="1"/>
  <c r="A6525" i="1"/>
  <c r="F6451" i="1"/>
  <c r="E6451" i="1"/>
  <c r="D6451" i="1"/>
  <c r="C6451" i="1"/>
  <c r="B6451" i="1"/>
  <c r="A6451" i="1"/>
  <c r="F6415" i="1"/>
  <c r="E6415" i="1"/>
  <c r="D6415" i="1"/>
  <c r="C6415" i="1"/>
  <c r="B6415" i="1"/>
  <c r="A6415" i="1"/>
  <c r="F6271" i="1"/>
  <c r="E6271" i="1"/>
  <c r="D6271" i="1"/>
  <c r="C6271" i="1"/>
  <c r="B6271" i="1"/>
  <c r="A6271" i="1"/>
  <c r="F6257" i="1"/>
  <c r="E6257" i="1"/>
  <c r="D6257" i="1"/>
  <c r="C6257" i="1"/>
  <c r="B6257" i="1"/>
  <c r="A6257" i="1"/>
  <c r="F6243" i="1"/>
  <c r="E6243" i="1"/>
  <c r="D6243" i="1"/>
  <c r="C6243" i="1"/>
  <c r="B6243" i="1"/>
  <c r="A6243" i="1"/>
  <c r="F6239" i="1"/>
  <c r="E6239" i="1"/>
  <c r="D6239" i="1"/>
  <c r="C6239" i="1"/>
  <c r="B6239" i="1"/>
  <c r="A6239" i="1"/>
  <c r="F6202" i="1"/>
  <c r="E6202" i="1"/>
  <c r="D6202" i="1"/>
  <c r="C6202" i="1"/>
  <c r="B6202" i="1"/>
  <c r="A6202" i="1"/>
  <c r="F5471" i="1"/>
  <c r="E5471" i="1"/>
  <c r="D5471" i="1"/>
  <c r="C5471" i="1"/>
  <c r="B5471" i="1"/>
  <c r="A5471" i="1"/>
  <c r="F5305" i="1"/>
  <c r="E5305" i="1"/>
  <c r="D5305" i="1"/>
  <c r="C5305" i="1"/>
  <c r="B5305" i="1"/>
  <c r="A5305" i="1"/>
  <c r="F5285" i="1"/>
  <c r="E5285" i="1"/>
  <c r="D5285" i="1"/>
  <c r="C5285" i="1"/>
  <c r="B5285" i="1"/>
  <c r="A5285" i="1"/>
  <c r="F5269" i="1"/>
  <c r="E5269" i="1"/>
  <c r="D5269" i="1"/>
  <c r="C5269" i="1"/>
  <c r="B5269" i="1"/>
  <c r="A5269" i="1"/>
  <c r="F4968" i="1"/>
  <c r="E4968" i="1"/>
  <c r="D4968" i="1"/>
  <c r="C4968" i="1"/>
  <c r="B4968" i="1"/>
  <c r="A4968" i="1"/>
  <c r="F4967" i="1"/>
  <c r="E4967" i="1"/>
  <c r="D4967" i="1"/>
  <c r="C4967" i="1"/>
  <c r="B4967" i="1"/>
  <c r="A4967" i="1"/>
  <c r="F4961" i="1"/>
  <c r="E4961" i="1"/>
  <c r="D4961" i="1"/>
  <c r="C4961" i="1"/>
  <c r="B4961" i="1"/>
  <c r="A4961" i="1"/>
  <c r="F4952" i="1"/>
  <c r="E4952" i="1"/>
  <c r="D4952" i="1"/>
  <c r="C4952" i="1"/>
  <c r="B4952" i="1"/>
  <c r="A4952" i="1"/>
  <c r="F4919" i="1"/>
  <c r="E4919" i="1"/>
  <c r="D4919" i="1"/>
  <c r="C4919" i="1"/>
  <c r="B4919" i="1"/>
  <c r="A4919" i="1"/>
  <c r="F3711" i="1"/>
  <c r="E3711" i="1"/>
  <c r="D3711" i="1"/>
  <c r="C3711" i="1"/>
  <c r="B3711" i="1"/>
  <c r="A3711" i="1"/>
  <c r="F3686" i="1"/>
  <c r="E3686" i="1"/>
  <c r="D3686" i="1"/>
  <c r="C3686" i="1"/>
  <c r="B3686" i="1"/>
  <c r="A3686" i="1"/>
  <c r="F3661" i="1"/>
  <c r="E3661" i="1"/>
  <c r="D3661" i="1"/>
  <c r="C3661" i="1"/>
  <c r="B3661" i="1"/>
  <c r="A3661" i="1"/>
  <c r="F3588" i="1"/>
  <c r="E3588" i="1"/>
  <c r="D3588" i="1"/>
  <c r="C3588" i="1"/>
  <c r="B3588" i="1"/>
  <c r="A3588" i="1"/>
  <c r="F3583" i="1"/>
  <c r="E3583" i="1"/>
  <c r="D3583" i="1"/>
  <c r="C3583" i="1"/>
  <c r="B3583" i="1"/>
  <c r="A3583" i="1"/>
  <c r="F3545" i="1"/>
  <c r="E3545" i="1"/>
  <c r="D3545" i="1"/>
  <c r="C3545" i="1"/>
  <c r="B3545" i="1"/>
  <c r="A3545" i="1"/>
  <c r="F3536" i="1"/>
  <c r="E3536" i="1"/>
  <c r="D3536" i="1"/>
  <c r="C3536" i="1"/>
  <c r="B3536" i="1"/>
  <c r="A3536" i="1"/>
  <c r="F3532" i="1"/>
  <c r="E3532" i="1"/>
  <c r="D3532" i="1"/>
  <c r="C3532" i="1"/>
  <c r="B3532" i="1"/>
  <c r="A3532" i="1"/>
  <c r="F3530" i="1"/>
  <c r="E3530" i="1"/>
  <c r="D3530" i="1"/>
  <c r="C3530" i="1"/>
  <c r="B3530" i="1"/>
  <c r="A3530" i="1"/>
  <c r="F3443" i="1"/>
  <c r="E3443" i="1"/>
  <c r="D3443" i="1"/>
  <c r="C3443" i="1"/>
  <c r="B3443" i="1"/>
  <c r="A3443" i="1"/>
  <c r="F3413" i="1"/>
  <c r="E3413" i="1"/>
  <c r="D3413" i="1"/>
  <c r="C3413" i="1"/>
  <c r="B3413" i="1"/>
  <c r="A3413" i="1"/>
  <c r="F3257" i="1"/>
  <c r="E3257" i="1"/>
  <c r="D3257" i="1"/>
  <c r="C3257" i="1"/>
  <c r="B3257" i="1"/>
  <c r="A3257" i="1"/>
  <c r="F3189" i="1"/>
  <c r="E3189" i="1"/>
  <c r="D3189" i="1"/>
  <c r="C3189" i="1"/>
  <c r="B3189" i="1"/>
  <c r="A3189" i="1"/>
  <c r="F3094" i="1"/>
  <c r="E3094" i="1"/>
  <c r="D3094" i="1"/>
  <c r="C3094" i="1"/>
  <c r="B3094" i="1"/>
  <c r="A3094" i="1"/>
  <c r="F3054" i="1"/>
  <c r="E3054" i="1"/>
  <c r="D3054" i="1"/>
  <c r="C3054" i="1"/>
  <c r="B3054" i="1"/>
  <c r="A3054" i="1"/>
  <c r="F3041" i="1"/>
  <c r="E3041" i="1"/>
  <c r="D3041" i="1"/>
  <c r="C3041" i="1"/>
  <c r="B3041" i="1"/>
  <c r="A3041" i="1"/>
  <c r="F3035" i="1"/>
  <c r="E3035" i="1"/>
  <c r="D3035" i="1"/>
  <c r="C3035" i="1"/>
  <c r="B3035" i="1"/>
  <c r="A3035" i="1"/>
  <c r="F3034" i="1"/>
  <c r="E3034" i="1"/>
  <c r="D3034" i="1"/>
  <c r="C3034" i="1"/>
  <c r="B3034" i="1"/>
  <c r="A3034" i="1"/>
  <c r="F3016" i="1"/>
  <c r="E3016" i="1"/>
  <c r="D3016" i="1"/>
  <c r="C3016" i="1"/>
  <c r="B3016" i="1"/>
  <c r="A3016" i="1"/>
  <c r="F3014" i="1"/>
  <c r="E3014" i="1"/>
  <c r="D3014" i="1"/>
  <c r="C3014" i="1"/>
  <c r="B3014" i="1"/>
  <c r="A3014" i="1"/>
  <c r="F3006" i="1"/>
  <c r="E3006" i="1"/>
  <c r="D3006" i="1"/>
  <c r="C3006" i="1"/>
  <c r="B3006" i="1"/>
  <c r="A3006" i="1"/>
  <c r="F2481" i="1"/>
  <c r="E2481" i="1"/>
  <c r="D2481" i="1"/>
  <c r="C2481" i="1"/>
  <c r="B2481" i="1"/>
  <c r="A2481" i="1"/>
  <c r="F2458" i="1"/>
  <c r="E2458" i="1"/>
  <c r="D2458" i="1"/>
  <c r="C2458" i="1"/>
  <c r="B2458" i="1"/>
  <c r="A2458" i="1"/>
  <c r="F2454" i="1"/>
  <c r="E2454" i="1"/>
  <c r="D2454" i="1"/>
  <c r="C2454" i="1"/>
  <c r="B2454" i="1"/>
  <c r="A2454" i="1"/>
  <c r="F2451" i="1"/>
  <c r="E2451" i="1"/>
  <c r="D2451" i="1"/>
  <c r="C2451" i="1"/>
  <c r="B2451" i="1"/>
  <c r="A2451" i="1"/>
  <c r="F2449" i="1"/>
  <c r="E2449" i="1"/>
  <c r="D2449" i="1"/>
  <c r="C2449" i="1"/>
  <c r="B2449" i="1"/>
  <c r="A2449" i="1"/>
  <c r="F2441" i="1"/>
  <c r="E2441" i="1"/>
  <c r="D2441" i="1"/>
  <c r="C2441" i="1"/>
  <c r="B2441" i="1"/>
  <c r="A2441" i="1"/>
  <c r="F2436" i="1"/>
  <c r="E2436" i="1"/>
  <c r="D2436" i="1"/>
  <c r="C2436" i="1"/>
  <c r="B2436" i="1"/>
  <c r="A2436" i="1"/>
  <c r="F2434" i="1"/>
  <c r="E2434" i="1"/>
  <c r="D2434" i="1"/>
  <c r="C2434" i="1"/>
  <c r="B2434" i="1"/>
  <c r="A2434" i="1"/>
  <c r="F2408" i="1"/>
  <c r="E2408" i="1"/>
  <c r="D2408" i="1"/>
  <c r="C2408" i="1"/>
  <c r="B2408" i="1"/>
  <c r="A2408" i="1"/>
  <c r="F2401" i="1"/>
  <c r="E2401" i="1"/>
  <c r="D2401" i="1"/>
  <c r="C2401" i="1"/>
  <c r="B2401" i="1"/>
  <c r="A2401" i="1"/>
  <c r="F2388" i="1"/>
  <c r="E2388" i="1"/>
  <c r="D2388" i="1"/>
  <c r="C2388" i="1"/>
  <c r="B2388" i="1"/>
  <c r="A2388" i="1"/>
  <c r="F2379" i="1"/>
  <c r="E2379" i="1"/>
  <c r="D2379" i="1"/>
  <c r="C2379" i="1"/>
  <c r="B2379" i="1"/>
  <c r="A2379" i="1"/>
  <c r="F2369" i="1"/>
  <c r="E2369" i="1"/>
  <c r="D2369" i="1"/>
  <c r="C2369" i="1"/>
  <c r="B2369" i="1"/>
  <c r="A2369" i="1"/>
  <c r="F2363" i="1"/>
  <c r="E2363" i="1"/>
  <c r="D2363" i="1"/>
  <c r="C2363" i="1"/>
  <c r="B2363" i="1"/>
  <c r="A2363" i="1"/>
  <c r="F2351" i="1"/>
  <c r="E2351" i="1"/>
  <c r="D2351" i="1"/>
  <c r="C2351" i="1"/>
  <c r="B2351" i="1"/>
  <c r="A2351" i="1"/>
  <c r="F2344" i="1"/>
  <c r="E2344" i="1"/>
  <c r="D2344" i="1"/>
  <c r="C2344" i="1"/>
  <c r="B2344" i="1"/>
  <c r="A2344" i="1"/>
  <c r="F2342" i="1"/>
  <c r="E2342" i="1"/>
  <c r="D2342" i="1"/>
  <c r="C2342" i="1"/>
  <c r="B2342" i="1"/>
  <c r="A2342" i="1"/>
  <c r="F2338" i="1"/>
  <c r="E2338" i="1"/>
  <c r="D2338" i="1"/>
  <c r="C2338" i="1"/>
  <c r="B2338" i="1"/>
  <c r="A2338" i="1"/>
  <c r="F2337" i="1"/>
  <c r="E2337" i="1"/>
  <c r="D2337" i="1"/>
  <c r="C2337" i="1"/>
  <c r="B2337" i="1"/>
  <c r="A2337" i="1"/>
  <c r="F2330" i="1"/>
  <c r="E2330" i="1"/>
  <c r="D2330" i="1"/>
  <c r="C2330" i="1"/>
  <c r="B2330" i="1"/>
  <c r="A2330" i="1"/>
  <c r="F2329" i="1"/>
  <c r="E2329" i="1"/>
  <c r="D2329" i="1"/>
  <c r="C2329" i="1"/>
  <c r="B2329" i="1"/>
  <c r="A2329" i="1"/>
  <c r="F2303" i="1"/>
  <c r="E2303" i="1"/>
  <c r="D2303" i="1"/>
  <c r="C2303" i="1"/>
  <c r="B2303" i="1"/>
  <c r="A2303" i="1"/>
  <c r="F2302" i="1"/>
  <c r="E2302" i="1"/>
  <c r="D2302" i="1"/>
  <c r="C2302" i="1"/>
  <c r="B2302" i="1"/>
  <c r="A2302" i="1"/>
  <c r="F6605" i="1"/>
  <c r="E6605" i="1"/>
  <c r="D6605" i="1"/>
  <c r="C6605" i="1"/>
  <c r="B6605" i="1"/>
  <c r="A6605" i="1"/>
  <c r="F6288" i="1"/>
  <c r="E6288" i="1"/>
  <c r="D6288" i="1"/>
  <c r="C6288" i="1"/>
  <c r="B6288" i="1"/>
  <c r="A6288" i="1"/>
  <c r="F4581" i="1"/>
  <c r="E4581" i="1"/>
  <c r="D4581" i="1"/>
  <c r="C4581" i="1"/>
  <c r="B4581" i="1"/>
  <c r="A4581" i="1"/>
  <c r="F4557" i="1"/>
  <c r="E4557" i="1"/>
  <c r="D4557" i="1"/>
  <c r="C4557" i="1"/>
  <c r="B4557" i="1"/>
  <c r="A4557" i="1"/>
  <c r="F4551" i="1"/>
  <c r="E4551" i="1"/>
  <c r="D4551" i="1"/>
  <c r="C4551" i="1"/>
  <c r="B4551" i="1"/>
  <c r="A4551" i="1"/>
  <c r="F3346" i="1"/>
  <c r="E3346" i="1"/>
  <c r="D3346" i="1"/>
  <c r="C3346" i="1"/>
  <c r="B3346" i="1"/>
  <c r="A3346" i="1"/>
  <c r="F2497" i="1"/>
  <c r="E2497" i="1"/>
  <c r="D2497" i="1"/>
  <c r="C2497" i="1"/>
  <c r="B2497" i="1"/>
  <c r="A2497" i="1"/>
  <c r="F2243" i="1"/>
  <c r="E2243" i="1"/>
  <c r="D2243" i="1"/>
  <c r="C2243" i="1"/>
  <c r="B2243" i="1"/>
  <c r="A2243" i="1"/>
  <c r="F2239" i="1"/>
  <c r="E2239" i="1"/>
  <c r="D2239" i="1"/>
  <c r="C2239" i="1"/>
  <c r="B2239" i="1"/>
  <c r="A2239" i="1"/>
  <c r="F2236" i="1"/>
  <c r="E2236" i="1"/>
  <c r="D2236" i="1"/>
  <c r="C2236" i="1"/>
  <c r="B2236" i="1"/>
  <c r="A2236" i="1"/>
  <c r="F2233" i="1"/>
  <c r="E2233" i="1"/>
  <c r="D2233" i="1"/>
  <c r="C2233" i="1"/>
  <c r="B2233" i="1"/>
  <c r="A2233" i="1"/>
  <c r="F2231" i="1"/>
  <c r="E2231" i="1"/>
  <c r="D2231" i="1"/>
  <c r="C2231" i="1"/>
  <c r="B2231" i="1"/>
  <c r="A2231" i="1"/>
  <c r="F2228" i="1"/>
  <c r="E2228" i="1"/>
  <c r="D2228" i="1"/>
  <c r="C2228" i="1"/>
  <c r="B2228" i="1"/>
  <c r="A2228" i="1"/>
  <c r="F2227" i="1"/>
  <c r="E2227" i="1"/>
  <c r="D2227" i="1"/>
  <c r="C2227" i="1"/>
  <c r="B2227" i="1"/>
  <c r="A2227" i="1"/>
  <c r="F2207" i="1"/>
  <c r="E2207" i="1"/>
  <c r="D2207" i="1"/>
  <c r="C2207" i="1"/>
  <c r="B2207" i="1"/>
  <c r="A2207" i="1"/>
  <c r="F2206" i="1"/>
  <c r="E2206" i="1"/>
  <c r="D2206" i="1"/>
  <c r="C2206" i="1"/>
  <c r="B2206" i="1"/>
  <c r="A2206" i="1"/>
  <c r="F2204" i="1"/>
  <c r="E2204" i="1"/>
  <c r="D2204" i="1"/>
  <c r="C2204" i="1"/>
  <c r="B2204" i="1"/>
  <c r="A2204" i="1"/>
  <c r="F2201" i="1"/>
  <c r="E2201" i="1"/>
  <c r="D2201" i="1"/>
  <c r="C2201" i="1"/>
  <c r="B2201" i="1"/>
  <c r="A2201" i="1"/>
  <c r="F2115" i="1"/>
  <c r="E2115" i="1"/>
  <c r="D2115" i="1"/>
  <c r="C2115" i="1"/>
  <c r="B2115" i="1"/>
  <c r="A2115" i="1"/>
  <c r="F1592" i="1"/>
  <c r="E1592" i="1"/>
  <c r="D1592" i="1"/>
  <c r="C1592" i="1"/>
  <c r="B1592" i="1"/>
  <c r="A1592" i="1"/>
  <c r="F1587" i="1"/>
  <c r="E1587" i="1"/>
  <c r="D1587" i="1"/>
  <c r="C1587" i="1"/>
  <c r="B1587" i="1"/>
  <c r="A1587" i="1"/>
  <c r="F1568" i="1"/>
  <c r="E1568" i="1"/>
  <c r="D1568" i="1"/>
  <c r="C1568" i="1"/>
  <c r="B1568" i="1"/>
  <c r="A1568" i="1"/>
  <c r="F1536" i="1"/>
  <c r="E1536" i="1"/>
  <c r="D1536" i="1"/>
  <c r="C1536" i="1"/>
  <c r="B1536" i="1"/>
  <c r="A1536" i="1"/>
  <c r="F1533" i="1"/>
  <c r="E1533" i="1"/>
  <c r="D1533" i="1"/>
  <c r="C1533" i="1"/>
  <c r="B1533" i="1"/>
  <c r="A1533" i="1"/>
  <c r="F1525" i="1"/>
  <c r="E1525" i="1"/>
  <c r="D1525" i="1"/>
  <c r="C1525" i="1"/>
  <c r="B1525" i="1"/>
  <c r="A1525" i="1"/>
  <c r="F1524" i="1"/>
  <c r="E1524" i="1"/>
  <c r="D1524" i="1"/>
  <c r="C1524" i="1"/>
  <c r="B1524" i="1"/>
  <c r="A1524" i="1"/>
  <c r="F1522" i="1"/>
  <c r="E1522" i="1"/>
  <c r="D1522" i="1"/>
  <c r="C1522" i="1"/>
  <c r="B1522" i="1"/>
  <c r="A1522" i="1"/>
  <c r="F1521" i="1"/>
  <c r="E1521" i="1"/>
  <c r="D1521" i="1"/>
  <c r="C1521" i="1"/>
  <c r="B1521" i="1"/>
  <c r="A1521" i="1"/>
  <c r="F1512" i="1"/>
  <c r="E1512" i="1"/>
  <c r="D1512" i="1"/>
  <c r="C1512" i="1"/>
  <c r="B1512" i="1"/>
  <c r="A1512" i="1"/>
  <c r="F1339" i="1"/>
  <c r="E1339" i="1"/>
  <c r="D1339" i="1"/>
  <c r="C1339" i="1"/>
  <c r="B1339" i="1"/>
  <c r="A1339" i="1"/>
  <c r="F1338" i="1"/>
  <c r="E1338" i="1"/>
  <c r="D1338" i="1"/>
  <c r="C1338" i="1"/>
  <c r="B1338" i="1"/>
  <c r="A1338" i="1"/>
  <c r="F1319" i="1"/>
  <c r="E1319" i="1"/>
  <c r="D1319" i="1"/>
  <c r="C1319" i="1"/>
  <c r="B1319" i="1"/>
  <c r="A1319" i="1"/>
  <c r="F6582" i="1"/>
  <c r="E6582" i="1"/>
  <c r="D6582" i="1"/>
  <c r="C6582" i="1"/>
  <c r="B6582" i="1"/>
  <c r="A6582" i="1"/>
  <c r="F2114" i="1"/>
  <c r="E2114" i="1"/>
  <c r="D2114" i="1"/>
  <c r="C2114" i="1"/>
  <c r="B2114" i="1"/>
  <c r="A2114" i="1"/>
  <c r="F2109" i="1"/>
  <c r="E2109" i="1"/>
  <c r="D2109" i="1"/>
  <c r="C2109" i="1"/>
  <c r="B2109" i="1"/>
  <c r="A2109" i="1"/>
  <c r="F2108" i="1"/>
  <c r="E2108" i="1"/>
  <c r="D2108" i="1"/>
  <c r="C2108" i="1"/>
  <c r="B2108" i="1"/>
  <c r="A2108" i="1"/>
  <c r="F2107" i="1"/>
  <c r="E2107" i="1"/>
  <c r="D2107" i="1"/>
  <c r="C2107" i="1"/>
  <c r="B2107" i="1"/>
  <c r="A2107" i="1"/>
  <c r="F2106" i="1"/>
  <c r="E2106" i="1"/>
  <c r="D2106" i="1"/>
  <c r="C2106" i="1"/>
  <c r="B2106" i="1"/>
  <c r="A2106" i="1"/>
  <c r="F2105" i="1"/>
  <c r="E2105" i="1"/>
  <c r="D2105" i="1"/>
  <c r="C2105" i="1"/>
  <c r="B2105" i="1"/>
  <c r="A2105" i="1"/>
  <c r="F2104" i="1"/>
  <c r="E2104" i="1"/>
  <c r="D2104" i="1"/>
  <c r="C2104" i="1"/>
  <c r="B2104" i="1"/>
  <c r="A2104" i="1"/>
  <c r="F2103" i="1"/>
  <c r="E2103" i="1"/>
  <c r="D2103" i="1"/>
  <c r="C2103" i="1"/>
  <c r="B2103" i="1"/>
  <c r="A2103" i="1"/>
  <c r="F2102" i="1"/>
  <c r="E2102" i="1"/>
  <c r="D2102" i="1"/>
  <c r="C2102" i="1"/>
  <c r="B2102" i="1"/>
  <c r="A2102" i="1"/>
  <c r="F2101" i="1"/>
  <c r="E2101" i="1"/>
  <c r="D2101" i="1"/>
  <c r="C2101" i="1"/>
  <c r="B2101" i="1"/>
  <c r="A2101" i="1"/>
  <c r="F9958" i="1"/>
  <c r="E9958" i="1"/>
  <c r="D9958" i="1"/>
  <c r="C9958" i="1"/>
  <c r="B9958" i="1"/>
  <c r="A9958" i="1"/>
  <c r="F5538" i="1"/>
  <c r="E5538" i="1"/>
  <c r="D5538" i="1"/>
  <c r="C5538" i="1"/>
  <c r="B5538" i="1"/>
  <c r="A5538" i="1"/>
  <c r="F5007" i="1"/>
  <c r="E5007" i="1"/>
  <c r="D5007" i="1"/>
  <c r="C5007" i="1"/>
  <c r="B5007" i="1"/>
  <c r="A5007" i="1"/>
  <c r="F3004" i="1"/>
  <c r="E3004" i="1"/>
  <c r="D3004" i="1"/>
  <c r="C3004" i="1"/>
  <c r="B3004" i="1"/>
  <c r="A3004" i="1"/>
  <c r="F2069" i="1"/>
  <c r="E2069" i="1"/>
  <c r="D2069" i="1"/>
  <c r="C2069" i="1"/>
  <c r="B2069" i="1"/>
  <c r="A2069" i="1"/>
  <c r="F2038" i="1"/>
  <c r="E2038" i="1"/>
  <c r="D2038" i="1"/>
  <c r="C2038" i="1"/>
  <c r="B2038" i="1"/>
  <c r="A2038" i="1"/>
  <c r="F2034" i="1"/>
  <c r="E2034" i="1"/>
  <c r="D2034" i="1"/>
  <c r="C2034" i="1"/>
  <c r="B2034" i="1"/>
  <c r="A2034" i="1"/>
  <c r="F2033" i="1"/>
  <c r="E2033" i="1"/>
  <c r="D2033" i="1"/>
  <c r="C2033" i="1"/>
  <c r="B2033" i="1"/>
  <c r="A2033" i="1"/>
  <c r="F2032" i="1"/>
  <c r="E2032" i="1"/>
  <c r="D2032" i="1"/>
  <c r="C2032" i="1"/>
  <c r="B2032" i="1"/>
  <c r="A2032" i="1"/>
  <c r="F2031" i="1"/>
  <c r="E2031" i="1"/>
  <c r="D2031" i="1"/>
  <c r="C2031" i="1"/>
  <c r="B2031" i="1"/>
  <c r="A2031" i="1"/>
  <c r="F2030" i="1"/>
  <c r="E2030" i="1"/>
  <c r="D2030" i="1"/>
  <c r="C2030" i="1"/>
  <c r="B2030" i="1"/>
  <c r="A2030" i="1"/>
  <c r="F2029" i="1"/>
  <c r="E2029" i="1"/>
  <c r="D2029" i="1"/>
  <c r="C2029" i="1"/>
  <c r="B2029" i="1"/>
  <c r="A2029" i="1"/>
  <c r="F2028" i="1"/>
  <c r="E2028" i="1"/>
  <c r="D2028" i="1"/>
  <c r="C2028" i="1"/>
  <c r="B2028" i="1"/>
  <c r="A2028" i="1"/>
  <c r="F2027" i="1"/>
  <c r="E2027" i="1"/>
  <c r="D2027" i="1"/>
  <c r="C2027" i="1"/>
  <c r="B2027" i="1"/>
  <c r="A2027" i="1"/>
  <c r="F2025" i="1"/>
  <c r="E2025" i="1"/>
  <c r="D2025" i="1"/>
  <c r="C2025" i="1"/>
  <c r="B2025" i="1"/>
  <c r="A2025" i="1"/>
  <c r="F2024" i="1"/>
  <c r="E2024" i="1"/>
  <c r="D2024" i="1"/>
  <c r="C2024" i="1"/>
  <c r="B2024" i="1"/>
  <c r="A2024" i="1"/>
  <c r="F2023" i="1"/>
  <c r="E2023" i="1"/>
  <c r="D2023" i="1"/>
  <c r="C2023" i="1"/>
  <c r="B2023" i="1"/>
  <c r="A2023" i="1"/>
  <c r="F2022" i="1"/>
  <c r="E2022" i="1"/>
  <c r="D2022" i="1"/>
  <c r="C2022" i="1"/>
  <c r="B2022" i="1"/>
  <c r="A2022" i="1"/>
  <c r="F2020" i="1"/>
  <c r="E2020" i="1"/>
  <c r="D2020" i="1"/>
  <c r="C2020" i="1"/>
  <c r="B2020" i="1"/>
  <c r="A2020" i="1"/>
  <c r="F2017" i="1"/>
  <c r="E2017" i="1"/>
  <c r="D2017" i="1"/>
  <c r="C2017" i="1"/>
  <c r="B2017" i="1"/>
  <c r="A2017" i="1"/>
  <c r="F2015" i="1"/>
  <c r="E2015" i="1"/>
  <c r="D2015" i="1"/>
  <c r="C2015" i="1"/>
  <c r="B2015" i="1"/>
  <c r="A2015" i="1"/>
  <c r="F2014" i="1"/>
  <c r="E2014" i="1"/>
  <c r="D2014" i="1"/>
  <c r="C2014" i="1"/>
  <c r="B2014" i="1"/>
  <c r="A2014" i="1"/>
  <c r="F2013" i="1"/>
  <c r="E2013" i="1"/>
  <c r="D2013" i="1"/>
  <c r="C2013" i="1"/>
  <c r="B2013" i="1"/>
  <c r="A2013" i="1"/>
  <c r="F2012" i="1"/>
  <c r="E2012" i="1"/>
  <c r="D2012" i="1"/>
  <c r="C2012" i="1"/>
  <c r="B2012" i="1"/>
  <c r="A2012" i="1"/>
  <c r="F2010" i="1"/>
  <c r="E2010" i="1"/>
  <c r="D2010" i="1"/>
  <c r="C2010" i="1"/>
  <c r="B2010" i="1"/>
  <c r="A2010" i="1"/>
  <c r="F2009" i="1"/>
  <c r="E2009" i="1"/>
  <c r="D2009" i="1"/>
  <c r="C2009" i="1"/>
  <c r="B2009" i="1"/>
  <c r="A2009" i="1"/>
  <c r="F2008" i="1"/>
  <c r="E2008" i="1"/>
  <c r="D2008" i="1"/>
  <c r="C2008" i="1"/>
  <c r="B2008" i="1"/>
  <c r="A2008" i="1"/>
  <c r="F2007" i="1"/>
  <c r="E2007" i="1"/>
  <c r="D2007" i="1"/>
  <c r="C2007" i="1"/>
  <c r="B2007" i="1"/>
  <c r="A2007" i="1"/>
  <c r="F2006" i="1"/>
  <c r="E2006" i="1"/>
  <c r="D2006" i="1"/>
  <c r="C2006" i="1"/>
  <c r="B2006" i="1"/>
  <c r="A2006" i="1"/>
  <c r="F2002" i="1"/>
  <c r="E2002" i="1"/>
  <c r="D2002" i="1"/>
  <c r="C2002" i="1"/>
  <c r="B2002" i="1"/>
  <c r="A2002" i="1"/>
  <c r="F1909" i="1"/>
  <c r="E1909" i="1"/>
  <c r="D1909" i="1"/>
  <c r="C1909" i="1"/>
  <c r="B1909" i="1"/>
  <c r="A1909" i="1"/>
  <c r="F1907" i="1"/>
  <c r="E1907" i="1"/>
  <c r="D1907" i="1"/>
  <c r="C1907" i="1"/>
  <c r="B1907" i="1"/>
  <c r="A1907" i="1"/>
  <c r="F1906" i="1"/>
  <c r="E1906" i="1"/>
  <c r="D1906" i="1"/>
  <c r="C1906" i="1"/>
  <c r="B1906" i="1"/>
  <c r="A1906" i="1"/>
  <c r="F1905" i="1"/>
  <c r="E1905" i="1"/>
  <c r="D1905" i="1"/>
  <c r="C1905" i="1"/>
  <c r="B1905" i="1"/>
  <c r="A1905" i="1"/>
  <c r="F1904" i="1"/>
  <c r="E1904" i="1"/>
  <c r="D1904" i="1"/>
  <c r="C1904" i="1"/>
  <c r="B1904" i="1"/>
  <c r="A1904" i="1"/>
  <c r="F1903" i="1"/>
  <c r="E1903" i="1"/>
  <c r="D1903" i="1"/>
  <c r="C1903" i="1"/>
  <c r="B1903" i="1"/>
  <c r="A1903" i="1"/>
  <c r="F1902" i="1"/>
  <c r="E1902" i="1"/>
  <c r="D1902" i="1"/>
  <c r="C1902" i="1"/>
  <c r="B1902" i="1"/>
  <c r="A1902" i="1"/>
  <c r="F1817" i="1"/>
  <c r="E1817" i="1"/>
  <c r="D1817" i="1"/>
  <c r="C1817" i="1"/>
  <c r="B1817" i="1"/>
  <c r="A1817" i="1"/>
  <c r="F1810" i="1"/>
  <c r="E1810" i="1"/>
  <c r="D1810" i="1"/>
  <c r="C1810" i="1"/>
  <c r="B1810" i="1"/>
  <c r="A1810" i="1"/>
  <c r="F1809" i="1"/>
  <c r="E1809" i="1"/>
  <c r="D1809" i="1"/>
  <c r="C1809" i="1"/>
  <c r="B1809" i="1"/>
  <c r="A1809" i="1"/>
  <c r="F1806" i="1"/>
  <c r="E1806" i="1"/>
  <c r="D1806" i="1"/>
  <c r="C1806" i="1"/>
  <c r="B1806" i="1"/>
  <c r="A1806" i="1"/>
  <c r="F1802" i="1"/>
  <c r="E1802" i="1"/>
  <c r="D1802" i="1"/>
  <c r="C1802" i="1"/>
  <c r="B1802" i="1"/>
  <c r="A1802" i="1"/>
  <c r="F6666" i="1"/>
  <c r="E6666" i="1"/>
  <c r="D6666" i="1"/>
  <c r="C6666" i="1"/>
  <c r="B6666" i="1"/>
  <c r="A6666" i="1"/>
  <c r="F6541" i="1"/>
  <c r="E6541" i="1"/>
  <c r="D6541" i="1"/>
  <c r="C6541" i="1"/>
  <c r="B6541" i="1"/>
  <c r="A6541" i="1"/>
  <c r="F6491" i="1"/>
  <c r="E6491" i="1"/>
  <c r="D6491" i="1"/>
  <c r="C6491" i="1"/>
  <c r="B6491" i="1"/>
  <c r="A6491" i="1"/>
  <c r="F6452" i="1"/>
  <c r="E6452" i="1"/>
  <c r="D6452" i="1"/>
  <c r="C6452" i="1"/>
  <c r="B6452" i="1"/>
  <c r="A6452" i="1"/>
  <c r="F4746" i="1"/>
  <c r="E4746" i="1"/>
  <c r="D4746" i="1"/>
  <c r="C4746" i="1"/>
  <c r="B4746" i="1"/>
  <c r="A4746" i="1"/>
  <c r="F4737" i="1"/>
  <c r="E4737" i="1"/>
  <c r="D4737" i="1"/>
  <c r="C4737" i="1"/>
  <c r="B4737" i="1"/>
  <c r="A4737" i="1"/>
  <c r="F4190" i="1"/>
  <c r="E4190" i="1"/>
  <c r="D4190" i="1"/>
  <c r="C4190" i="1"/>
  <c r="B4190" i="1"/>
  <c r="A4190" i="1"/>
  <c r="F4164" i="1"/>
  <c r="E4164" i="1"/>
  <c r="D4164" i="1"/>
  <c r="C4164" i="1"/>
  <c r="B4164" i="1"/>
  <c r="A4164" i="1"/>
  <c r="F4155" i="1"/>
  <c r="E4155" i="1"/>
  <c r="D4155" i="1"/>
  <c r="C4155" i="1"/>
  <c r="B4155" i="1"/>
  <c r="A4155" i="1"/>
  <c r="F4148" i="1"/>
  <c r="E4148" i="1"/>
  <c r="D4148" i="1"/>
  <c r="C4148" i="1"/>
  <c r="B4148" i="1"/>
  <c r="A4148" i="1"/>
  <c r="F4144" i="1"/>
  <c r="E4144" i="1"/>
  <c r="D4144" i="1"/>
  <c r="C4144" i="1"/>
  <c r="B4144" i="1"/>
  <c r="A4144" i="1"/>
  <c r="F4142" i="1"/>
  <c r="E4142" i="1"/>
  <c r="D4142" i="1"/>
  <c r="C4142" i="1"/>
  <c r="B4142" i="1"/>
  <c r="A4142" i="1"/>
  <c r="F4141" i="1"/>
  <c r="E4141" i="1"/>
  <c r="D4141" i="1"/>
  <c r="C4141" i="1"/>
  <c r="B4141" i="1"/>
  <c r="A4141" i="1"/>
  <c r="F4137" i="1"/>
  <c r="E4137" i="1"/>
  <c r="D4137" i="1"/>
  <c r="C4137" i="1"/>
  <c r="B4137" i="1"/>
  <c r="A4137" i="1"/>
  <c r="F4133" i="1"/>
  <c r="E4133" i="1"/>
  <c r="D4133" i="1"/>
  <c r="C4133" i="1"/>
  <c r="B4133" i="1"/>
  <c r="A4133" i="1"/>
  <c r="F4119" i="1"/>
  <c r="E4119" i="1"/>
  <c r="D4119" i="1"/>
  <c r="C4119" i="1"/>
  <c r="B4119" i="1"/>
  <c r="A4119" i="1"/>
  <c r="F4108" i="1"/>
  <c r="E4108" i="1"/>
  <c r="D4108" i="1"/>
  <c r="C4108" i="1"/>
  <c r="B4108" i="1"/>
  <c r="A4108" i="1"/>
  <c r="F4106" i="1"/>
  <c r="E4106" i="1"/>
  <c r="D4106" i="1"/>
  <c r="C4106" i="1"/>
  <c r="B4106" i="1"/>
  <c r="A4106" i="1"/>
  <c r="F4104" i="1"/>
  <c r="E4104" i="1"/>
  <c r="D4104" i="1"/>
  <c r="C4104" i="1"/>
  <c r="B4104" i="1"/>
  <c r="A4104" i="1"/>
  <c r="F3705" i="1"/>
  <c r="E3705" i="1"/>
  <c r="D3705" i="1"/>
  <c r="C3705" i="1"/>
  <c r="B3705" i="1"/>
  <c r="A3705" i="1"/>
  <c r="F3164" i="1"/>
  <c r="E3164" i="1"/>
  <c r="D3164" i="1"/>
  <c r="C3164" i="1"/>
  <c r="B3164" i="1"/>
  <c r="A3164" i="1"/>
  <c r="F1795" i="1"/>
  <c r="E1795" i="1"/>
  <c r="D1795" i="1"/>
  <c r="C1795" i="1"/>
  <c r="B1795" i="1"/>
  <c r="A1795" i="1"/>
  <c r="F1789" i="1"/>
  <c r="E1789" i="1"/>
  <c r="D1789" i="1"/>
  <c r="C1789" i="1"/>
  <c r="B1789" i="1"/>
  <c r="A1789" i="1"/>
  <c r="F1786" i="1"/>
  <c r="E1786" i="1"/>
  <c r="D1786" i="1"/>
  <c r="C1786" i="1"/>
  <c r="B1786" i="1"/>
  <c r="A1786" i="1"/>
  <c r="F1783" i="1"/>
  <c r="E1783" i="1"/>
  <c r="D1783" i="1"/>
  <c r="C1783" i="1"/>
  <c r="B1783" i="1"/>
  <c r="A1783" i="1"/>
  <c r="F1762" i="1"/>
  <c r="E1762" i="1"/>
  <c r="D1762" i="1"/>
  <c r="C1762" i="1"/>
  <c r="B1762" i="1"/>
  <c r="A1762" i="1"/>
  <c r="F1760" i="1"/>
  <c r="E1760" i="1"/>
  <c r="D1760" i="1"/>
  <c r="C1760" i="1"/>
  <c r="B1760" i="1"/>
  <c r="A1760" i="1"/>
  <c r="F1736" i="1"/>
  <c r="E1736" i="1"/>
  <c r="D1736" i="1"/>
  <c r="C1736" i="1"/>
  <c r="B1736" i="1"/>
  <c r="A1736" i="1"/>
  <c r="F1734" i="1"/>
  <c r="E1734" i="1"/>
  <c r="D1734" i="1"/>
  <c r="C1734" i="1"/>
  <c r="B1734" i="1"/>
  <c r="A1734" i="1"/>
  <c r="F1733" i="1"/>
  <c r="E1733" i="1"/>
  <c r="D1733" i="1"/>
  <c r="C1733" i="1"/>
  <c r="B1733" i="1"/>
  <c r="A1733" i="1"/>
  <c r="F1731" i="1"/>
  <c r="E1731" i="1"/>
  <c r="D1731" i="1"/>
  <c r="C1731" i="1"/>
  <c r="B1731" i="1"/>
  <c r="A1731" i="1"/>
  <c r="F1720" i="1"/>
  <c r="E1720" i="1"/>
  <c r="D1720" i="1"/>
  <c r="C1720" i="1"/>
  <c r="B1720" i="1"/>
  <c r="A1720" i="1"/>
  <c r="F1707" i="1"/>
  <c r="E1707" i="1"/>
  <c r="D1707" i="1"/>
  <c r="C1707" i="1"/>
  <c r="B1707" i="1"/>
  <c r="A1707" i="1"/>
  <c r="F1701" i="1"/>
  <c r="E1701" i="1"/>
  <c r="D1701" i="1"/>
  <c r="C1701" i="1"/>
  <c r="B1701" i="1"/>
  <c r="A1701" i="1"/>
  <c r="F1598" i="1"/>
  <c r="E1598" i="1"/>
  <c r="D1598" i="1"/>
  <c r="C1598" i="1"/>
  <c r="B1598" i="1"/>
  <c r="A1598" i="1"/>
  <c r="F4766" i="1"/>
  <c r="E4766" i="1"/>
  <c r="D4766" i="1"/>
  <c r="C4766" i="1"/>
  <c r="B4766" i="1"/>
  <c r="A4766" i="1"/>
  <c r="F4764" i="1"/>
  <c r="E4764" i="1"/>
  <c r="D4764" i="1"/>
  <c r="C4764" i="1"/>
  <c r="B4764" i="1"/>
  <c r="A4764" i="1"/>
  <c r="F4763" i="1"/>
  <c r="E4763" i="1"/>
  <c r="D4763" i="1"/>
  <c r="C4763" i="1"/>
  <c r="B4763" i="1"/>
  <c r="A4763" i="1"/>
  <c r="F4755" i="1"/>
  <c r="E4755" i="1"/>
  <c r="D4755" i="1"/>
  <c r="C4755" i="1"/>
  <c r="B4755" i="1"/>
  <c r="A4755" i="1"/>
  <c r="F4739" i="1"/>
  <c r="E4739" i="1"/>
  <c r="D4739" i="1"/>
  <c r="C4739" i="1"/>
  <c r="B4739" i="1"/>
  <c r="A4739" i="1"/>
  <c r="F4725" i="1"/>
  <c r="E4725" i="1"/>
  <c r="D4725" i="1"/>
  <c r="C4725" i="1"/>
  <c r="B4725" i="1"/>
  <c r="A4725" i="1"/>
  <c r="F4722" i="1"/>
  <c r="E4722" i="1"/>
  <c r="D4722" i="1"/>
  <c r="C4722" i="1"/>
  <c r="B4722" i="1"/>
  <c r="A4722" i="1"/>
  <c r="F4720" i="1"/>
  <c r="E4720" i="1"/>
  <c r="D4720" i="1"/>
  <c r="C4720" i="1"/>
  <c r="B4720" i="1"/>
  <c r="A4720" i="1"/>
  <c r="F3708" i="1"/>
  <c r="E3708" i="1"/>
  <c r="D3708" i="1"/>
  <c r="C3708" i="1"/>
  <c r="B3708" i="1"/>
  <c r="A3708" i="1"/>
  <c r="F1776" i="1"/>
  <c r="E1776" i="1"/>
  <c r="D1776" i="1"/>
  <c r="C1776" i="1"/>
  <c r="B1776" i="1"/>
  <c r="A1776" i="1"/>
  <c r="F1773" i="1"/>
  <c r="E1773" i="1"/>
  <c r="D1773" i="1"/>
  <c r="C1773" i="1"/>
  <c r="B1773" i="1"/>
  <c r="A1773" i="1"/>
  <c r="F1735" i="1"/>
  <c r="E1735" i="1"/>
  <c r="D1735" i="1"/>
  <c r="C1735" i="1"/>
  <c r="B1735" i="1"/>
  <c r="A1735" i="1"/>
  <c r="F1732" i="1"/>
  <c r="E1732" i="1"/>
  <c r="D1732" i="1"/>
  <c r="C1732" i="1"/>
  <c r="B1732" i="1"/>
  <c r="A1732" i="1"/>
  <c r="F1730" i="1"/>
  <c r="E1730" i="1"/>
  <c r="D1730" i="1"/>
  <c r="C1730" i="1"/>
  <c r="B1730" i="1"/>
  <c r="A1730" i="1"/>
  <c r="F1727" i="1"/>
  <c r="E1727" i="1"/>
  <c r="D1727" i="1"/>
  <c r="C1727" i="1"/>
  <c r="B1727" i="1"/>
  <c r="A1727" i="1"/>
  <c r="F1726" i="1"/>
  <c r="E1726" i="1"/>
  <c r="D1726" i="1"/>
  <c r="C1726" i="1"/>
  <c r="B1726" i="1"/>
  <c r="A1726" i="1"/>
  <c r="F1725" i="1"/>
  <c r="E1725" i="1"/>
  <c r="D1725" i="1"/>
  <c r="C1725" i="1"/>
  <c r="B1725" i="1"/>
  <c r="A1725" i="1"/>
  <c r="F1724" i="1"/>
  <c r="E1724" i="1"/>
  <c r="D1724" i="1"/>
  <c r="C1724" i="1"/>
  <c r="B1724" i="1"/>
  <c r="A1724" i="1"/>
  <c r="F1723" i="1"/>
  <c r="E1723" i="1"/>
  <c r="D1723" i="1"/>
  <c r="C1723" i="1"/>
  <c r="B1723" i="1"/>
  <c r="A1723" i="1"/>
  <c r="F1722" i="1"/>
  <c r="E1722" i="1"/>
  <c r="D1722" i="1"/>
  <c r="C1722" i="1"/>
  <c r="B1722" i="1"/>
  <c r="A1722" i="1"/>
  <c r="F1721" i="1"/>
  <c r="E1721" i="1"/>
  <c r="D1721" i="1"/>
  <c r="C1721" i="1"/>
  <c r="B1721" i="1"/>
  <c r="A1721" i="1"/>
  <c r="F1718" i="1"/>
  <c r="E1718" i="1"/>
  <c r="D1718" i="1"/>
  <c r="C1718" i="1"/>
  <c r="B1718" i="1"/>
  <c r="A1718" i="1"/>
  <c r="F1717" i="1"/>
  <c r="E1717" i="1"/>
  <c r="D1717" i="1"/>
  <c r="C1717" i="1"/>
  <c r="B1717" i="1"/>
  <c r="A1717" i="1"/>
  <c r="F1714" i="1"/>
  <c r="E1714" i="1"/>
  <c r="D1714" i="1"/>
  <c r="C1714" i="1"/>
  <c r="B1714" i="1"/>
  <c r="A1714" i="1"/>
  <c r="F1713" i="1"/>
  <c r="E1713" i="1"/>
  <c r="D1713" i="1"/>
  <c r="C1713" i="1"/>
  <c r="B1713" i="1"/>
  <c r="A1713" i="1"/>
  <c r="F1712" i="1"/>
  <c r="E1712" i="1"/>
  <c r="D1712" i="1"/>
  <c r="C1712" i="1"/>
  <c r="B1712" i="1"/>
  <c r="A1712" i="1"/>
  <c r="F1711" i="1"/>
  <c r="E1711" i="1"/>
  <c r="D1711" i="1"/>
  <c r="C1711" i="1"/>
  <c r="B1711" i="1"/>
  <c r="A1711" i="1"/>
  <c r="F1710" i="1"/>
  <c r="E1710" i="1"/>
  <c r="D1710" i="1"/>
  <c r="C1710" i="1"/>
  <c r="B1710" i="1"/>
  <c r="A1710" i="1"/>
  <c r="F1709" i="1"/>
  <c r="E1709" i="1"/>
  <c r="D1709" i="1"/>
  <c r="C1709" i="1"/>
  <c r="B1709" i="1"/>
  <c r="A1709" i="1"/>
  <c r="F1708" i="1"/>
  <c r="E1708" i="1"/>
  <c r="D1708" i="1"/>
  <c r="C1708" i="1"/>
  <c r="B1708" i="1"/>
  <c r="A1708" i="1"/>
  <c r="F5283" i="1"/>
  <c r="E5283" i="1"/>
  <c r="D5283" i="1"/>
  <c r="C5283" i="1"/>
  <c r="B5283" i="1"/>
  <c r="A5283" i="1"/>
  <c r="F4930" i="1"/>
  <c r="E4930" i="1"/>
  <c r="D4930" i="1"/>
  <c r="C4930" i="1"/>
  <c r="B4930" i="1"/>
  <c r="A4930" i="1"/>
  <c r="F1626" i="1"/>
  <c r="E1626" i="1"/>
  <c r="D1626" i="1"/>
  <c r="C1626" i="1"/>
  <c r="B1626" i="1"/>
  <c r="A1626" i="1"/>
  <c r="F1618" i="1"/>
  <c r="E1618" i="1"/>
  <c r="D1618" i="1"/>
  <c r="C1618" i="1"/>
  <c r="B1618" i="1"/>
  <c r="A1618" i="1"/>
  <c r="F1617" i="1"/>
  <c r="E1617" i="1"/>
  <c r="D1617" i="1"/>
  <c r="C1617" i="1"/>
  <c r="B1617" i="1"/>
  <c r="A1617" i="1"/>
  <c r="F1616" i="1"/>
  <c r="E1616" i="1"/>
  <c r="D1616" i="1"/>
  <c r="C1616" i="1"/>
  <c r="B1616" i="1"/>
  <c r="A1616" i="1"/>
  <c r="F1615" i="1"/>
  <c r="E1615" i="1"/>
  <c r="D1615" i="1"/>
  <c r="C1615" i="1"/>
  <c r="B1615" i="1"/>
  <c r="A1615" i="1"/>
  <c r="F1614" i="1"/>
  <c r="E1614" i="1"/>
  <c r="D1614" i="1"/>
  <c r="C1614" i="1"/>
  <c r="B1614" i="1"/>
  <c r="A1614" i="1"/>
  <c r="F1612" i="1"/>
  <c r="E1612" i="1"/>
  <c r="D1612" i="1"/>
  <c r="C1612" i="1"/>
  <c r="B1612" i="1"/>
  <c r="A1612" i="1"/>
  <c r="F1611" i="1"/>
  <c r="E1611" i="1"/>
  <c r="D1611" i="1"/>
  <c r="C1611" i="1"/>
  <c r="B1611" i="1"/>
  <c r="A1611" i="1"/>
  <c r="F1609" i="1"/>
  <c r="E1609" i="1"/>
  <c r="D1609" i="1"/>
  <c r="C1609" i="1"/>
  <c r="B1609" i="1"/>
  <c r="A1609" i="1"/>
  <c r="F1608" i="1"/>
  <c r="E1608" i="1"/>
  <c r="D1608" i="1"/>
  <c r="C1608" i="1"/>
  <c r="B1608" i="1"/>
  <c r="A1608" i="1"/>
  <c r="F1605" i="1"/>
  <c r="E1605" i="1"/>
  <c r="D1605" i="1"/>
  <c r="C1605" i="1"/>
  <c r="B1605" i="1"/>
  <c r="A1605" i="1"/>
  <c r="F1604" i="1"/>
  <c r="E1604" i="1"/>
  <c r="D1604" i="1"/>
  <c r="C1604" i="1"/>
  <c r="B1604" i="1"/>
  <c r="A1604" i="1"/>
  <c r="F1603" i="1"/>
  <c r="E1603" i="1"/>
  <c r="D1603" i="1"/>
  <c r="C1603" i="1"/>
  <c r="B1603" i="1"/>
  <c r="A1603" i="1"/>
  <c r="F8996" i="1"/>
  <c r="E8996" i="1"/>
  <c r="D8996" i="1"/>
  <c r="C8996" i="1"/>
  <c r="B8996" i="1"/>
  <c r="A8996" i="1"/>
  <c r="F8374" i="1"/>
  <c r="E8374" i="1"/>
  <c r="D8374" i="1"/>
  <c r="C8374" i="1"/>
  <c r="B8374" i="1"/>
  <c r="A8374" i="1"/>
  <c r="F8222" i="1"/>
  <c r="E8222" i="1"/>
  <c r="D8222" i="1"/>
  <c r="C8222" i="1"/>
  <c r="B8222" i="1"/>
  <c r="A8222" i="1"/>
  <c r="F5288" i="1"/>
  <c r="E5288" i="1"/>
  <c r="D5288" i="1"/>
  <c r="C5288" i="1"/>
  <c r="B5288" i="1"/>
  <c r="A5288" i="1"/>
  <c r="F4576" i="1"/>
  <c r="E4576" i="1"/>
  <c r="D4576" i="1"/>
  <c r="C4576" i="1"/>
  <c r="B4576" i="1"/>
  <c r="A4576" i="1"/>
  <c r="F4572" i="1"/>
  <c r="E4572" i="1"/>
  <c r="D4572" i="1"/>
  <c r="C4572" i="1"/>
  <c r="B4572" i="1"/>
  <c r="A4572" i="1"/>
  <c r="F4571" i="1"/>
  <c r="E4571" i="1"/>
  <c r="D4571" i="1"/>
  <c r="C4571" i="1"/>
  <c r="B4571" i="1"/>
  <c r="A4571" i="1"/>
  <c r="F4566" i="1"/>
  <c r="E4566" i="1"/>
  <c r="D4566" i="1"/>
  <c r="C4566" i="1"/>
  <c r="B4566" i="1"/>
  <c r="A4566" i="1"/>
  <c r="F4564" i="1"/>
  <c r="E4564" i="1"/>
  <c r="D4564" i="1"/>
  <c r="C4564" i="1"/>
  <c r="B4564" i="1"/>
  <c r="A4564" i="1"/>
  <c r="F4562" i="1"/>
  <c r="E4562" i="1"/>
  <c r="D4562" i="1"/>
  <c r="C4562" i="1"/>
  <c r="B4562" i="1"/>
  <c r="A4562" i="1"/>
  <c r="F4560" i="1"/>
  <c r="E4560" i="1"/>
  <c r="D4560" i="1"/>
  <c r="C4560" i="1"/>
  <c r="B4560" i="1"/>
  <c r="A4560" i="1"/>
  <c r="F4555" i="1"/>
  <c r="E4555" i="1"/>
  <c r="D4555" i="1"/>
  <c r="C4555" i="1"/>
  <c r="B4555" i="1"/>
  <c r="A4555" i="1"/>
  <c r="F4552" i="1"/>
  <c r="E4552" i="1"/>
  <c r="D4552" i="1"/>
  <c r="C4552" i="1"/>
  <c r="B4552" i="1"/>
  <c r="A4552" i="1"/>
  <c r="F4540" i="1"/>
  <c r="E4540" i="1"/>
  <c r="D4540" i="1"/>
  <c r="C4540" i="1"/>
  <c r="B4540" i="1"/>
  <c r="A4540" i="1"/>
  <c r="F4532" i="1"/>
  <c r="E4532" i="1"/>
  <c r="D4532" i="1"/>
  <c r="C4532" i="1"/>
  <c r="B4532" i="1"/>
  <c r="A4532" i="1"/>
  <c r="F4526" i="1"/>
  <c r="E4526" i="1"/>
  <c r="D4526" i="1"/>
  <c r="C4526" i="1"/>
  <c r="B4526" i="1"/>
  <c r="A4526" i="1"/>
  <c r="F3167" i="1"/>
  <c r="E3167" i="1"/>
  <c r="D3167" i="1"/>
  <c r="C3167" i="1"/>
  <c r="B3167" i="1"/>
  <c r="A3167" i="1"/>
  <c r="F2371" i="1"/>
  <c r="E2371" i="1"/>
  <c r="D2371" i="1"/>
  <c r="C2371" i="1"/>
  <c r="B2371" i="1"/>
  <c r="A2371" i="1"/>
  <c r="F2049" i="1"/>
  <c r="E2049" i="1"/>
  <c r="D2049" i="1"/>
  <c r="C2049" i="1"/>
  <c r="B2049" i="1"/>
  <c r="A2049" i="1"/>
  <c r="F1590" i="1"/>
  <c r="E1590" i="1"/>
  <c r="D1590" i="1"/>
  <c r="C1590" i="1"/>
  <c r="B1590" i="1"/>
  <c r="A1590" i="1"/>
  <c r="F1589" i="1"/>
  <c r="E1589" i="1"/>
  <c r="D1589" i="1"/>
  <c r="C1589" i="1"/>
  <c r="B1589" i="1"/>
  <c r="A1589" i="1"/>
  <c r="F1583" i="1"/>
  <c r="E1583" i="1"/>
  <c r="D1583" i="1"/>
  <c r="C1583" i="1"/>
  <c r="B1583" i="1"/>
  <c r="A1583" i="1"/>
  <c r="F1560" i="1"/>
  <c r="E1560" i="1"/>
  <c r="D1560" i="1"/>
  <c r="C1560" i="1"/>
  <c r="B1560" i="1"/>
  <c r="A1560" i="1"/>
  <c r="F1558" i="1"/>
  <c r="E1558" i="1"/>
  <c r="D1558" i="1"/>
  <c r="C1558" i="1"/>
  <c r="B1558" i="1"/>
  <c r="A1558" i="1"/>
  <c r="F1541" i="1"/>
  <c r="E1541" i="1"/>
  <c r="D1541" i="1"/>
  <c r="C1541" i="1"/>
  <c r="B1541" i="1"/>
  <c r="A1541" i="1"/>
  <c r="F1540" i="1"/>
  <c r="E1540" i="1"/>
  <c r="D1540" i="1"/>
  <c r="C1540" i="1"/>
  <c r="B1540" i="1"/>
  <c r="A1540" i="1"/>
  <c r="F1539" i="1"/>
  <c r="E1539" i="1"/>
  <c r="D1539" i="1"/>
  <c r="C1539" i="1"/>
  <c r="B1539" i="1"/>
  <c r="A1539" i="1"/>
  <c r="F1538" i="1"/>
  <c r="E1538" i="1"/>
  <c r="D1538" i="1"/>
  <c r="C1538" i="1"/>
  <c r="B1538" i="1"/>
  <c r="A1538" i="1"/>
  <c r="F1537" i="1"/>
  <c r="E1537" i="1"/>
  <c r="D1537" i="1"/>
  <c r="C1537" i="1"/>
  <c r="B1537" i="1"/>
  <c r="A1537" i="1"/>
  <c r="F1535" i="1"/>
  <c r="E1535" i="1"/>
  <c r="D1535" i="1"/>
  <c r="C1535" i="1"/>
  <c r="B1535" i="1"/>
  <c r="A1535" i="1"/>
  <c r="F1532" i="1"/>
  <c r="E1532" i="1"/>
  <c r="D1532" i="1"/>
  <c r="C1532" i="1"/>
  <c r="B1532" i="1"/>
  <c r="A1532" i="1"/>
  <c r="F1531" i="1"/>
  <c r="E1531" i="1"/>
  <c r="D1531" i="1"/>
  <c r="C1531" i="1"/>
  <c r="B1531" i="1"/>
  <c r="A1531" i="1"/>
  <c r="F1530" i="1"/>
  <c r="E1530" i="1"/>
  <c r="D1530" i="1"/>
  <c r="C1530" i="1"/>
  <c r="B1530" i="1"/>
  <c r="A1530" i="1"/>
  <c r="F1529" i="1"/>
  <c r="E1529" i="1"/>
  <c r="D1529" i="1"/>
  <c r="C1529" i="1"/>
  <c r="B1529" i="1"/>
  <c r="A1529" i="1"/>
  <c r="F1528" i="1"/>
  <c r="E1528" i="1"/>
  <c r="D1528" i="1"/>
  <c r="C1528" i="1"/>
  <c r="B1528" i="1"/>
  <c r="A1528" i="1"/>
  <c r="F1527" i="1"/>
  <c r="E1527" i="1"/>
  <c r="D1527" i="1"/>
  <c r="C1527" i="1"/>
  <c r="B1527" i="1"/>
  <c r="A1527" i="1"/>
  <c r="F1526" i="1"/>
  <c r="E1526" i="1"/>
  <c r="D1526" i="1"/>
  <c r="C1526" i="1"/>
  <c r="B1526" i="1"/>
  <c r="A1526" i="1"/>
  <c r="F1519" i="1"/>
  <c r="E1519" i="1"/>
  <c r="D1519" i="1"/>
  <c r="C1519" i="1"/>
  <c r="B1519" i="1"/>
  <c r="A1519" i="1"/>
  <c r="F1517" i="1"/>
  <c r="E1517" i="1"/>
  <c r="D1517" i="1"/>
  <c r="C1517" i="1"/>
  <c r="B1517" i="1"/>
  <c r="A1517" i="1"/>
  <c r="F1515" i="1"/>
  <c r="E1515" i="1"/>
  <c r="D1515" i="1"/>
  <c r="C1515" i="1"/>
  <c r="B1515" i="1"/>
  <c r="A1515" i="1"/>
  <c r="F1514" i="1"/>
  <c r="E1514" i="1"/>
  <c r="D1514" i="1"/>
  <c r="C1514" i="1"/>
  <c r="B1514" i="1"/>
  <c r="A1514" i="1"/>
  <c r="F1513" i="1"/>
  <c r="E1513" i="1"/>
  <c r="D1513" i="1"/>
  <c r="C1513" i="1"/>
  <c r="B1513" i="1"/>
  <c r="A1513" i="1"/>
  <c r="F1507" i="1"/>
  <c r="E1507" i="1"/>
  <c r="D1507" i="1"/>
  <c r="C1507" i="1"/>
  <c r="B1507" i="1"/>
  <c r="A1507" i="1"/>
  <c r="F1506" i="1"/>
  <c r="E1506" i="1"/>
  <c r="D1506" i="1"/>
  <c r="C1506" i="1"/>
  <c r="B1506" i="1"/>
  <c r="A1506" i="1"/>
  <c r="F1504" i="1"/>
  <c r="E1504" i="1"/>
  <c r="D1504" i="1"/>
  <c r="C1504" i="1"/>
  <c r="B1504" i="1"/>
  <c r="A1504" i="1"/>
  <c r="F1503" i="1"/>
  <c r="E1503" i="1"/>
  <c r="D1503" i="1"/>
  <c r="C1503" i="1"/>
  <c r="B1503" i="1"/>
  <c r="A1503" i="1"/>
  <c r="F4439" i="1"/>
  <c r="E4439" i="1"/>
  <c r="D4439" i="1"/>
  <c r="C4439" i="1"/>
  <c r="B4439" i="1"/>
  <c r="A4439" i="1"/>
  <c r="F4438" i="1"/>
  <c r="E4438" i="1"/>
  <c r="D4438" i="1"/>
  <c r="C4438" i="1"/>
  <c r="B4438" i="1"/>
  <c r="A4438" i="1"/>
  <c r="F4426" i="1"/>
  <c r="E4426" i="1"/>
  <c r="D4426" i="1"/>
  <c r="C4426" i="1"/>
  <c r="B4426" i="1"/>
  <c r="A4426" i="1"/>
  <c r="F4414" i="1"/>
  <c r="E4414" i="1"/>
  <c r="D4414" i="1"/>
  <c r="C4414" i="1"/>
  <c r="B4414" i="1"/>
  <c r="A4414" i="1"/>
  <c r="F1477" i="1"/>
  <c r="E1477" i="1"/>
  <c r="D1477" i="1"/>
  <c r="C1477" i="1"/>
  <c r="B1477" i="1"/>
  <c r="A1477" i="1"/>
  <c r="F1476" i="1"/>
  <c r="E1476" i="1"/>
  <c r="D1476" i="1"/>
  <c r="C1476" i="1"/>
  <c r="B1476" i="1"/>
  <c r="A1476" i="1"/>
  <c r="F1475" i="1"/>
  <c r="E1475" i="1"/>
  <c r="D1475" i="1"/>
  <c r="C1475" i="1"/>
  <c r="B1475" i="1"/>
  <c r="A1475" i="1"/>
  <c r="F1474" i="1"/>
  <c r="E1474" i="1"/>
  <c r="D1474" i="1"/>
  <c r="C1474" i="1"/>
  <c r="B1474" i="1"/>
  <c r="A1474" i="1"/>
  <c r="F1473" i="1"/>
  <c r="E1473" i="1"/>
  <c r="D1473" i="1"/>
  <c r="C1473" i="1"/>
  <c r="B1473" i="1"/>
  <c r="A1473" i="1"/>
  <c r="F1472" i="1"/>
  <c r="E1472" i="1"/>
  <c r="D1472" i="1"/>
  <c r="C1472" i="1"/>
  <c r="B1472" i="1"/>
  <c r="A1472" i="1"/>
  <c r="F1470" i="1"/>
  <c r="E1470" i="1"/>
  <c r="D1470" i="1"/>
  <c r="C1470" i="1"/>
  <c r="B1470" i="1"/>
  <c r="A1470" i="1"/>
  <c r="F1468" i="1"/>
  <c r="E1468" i="1"/>
  <c r="D1468" i="1"/>
  <c r="C1468" i="1"/>
  <c r="B1468" i="1"/>
  <c r="A1468" i="1"/>
  <c r="F1467" i="1"/>
  <c r="E1467" i="1"/>
  <c r="D1467" i="1"/>
  <c r="C1467" i="1"/>
  <c r="B1467" i="1"/>
  <c r="A1467" i="1"/>
  <c r="F1466" i="1"/>
  <c r="E1466" i="1"/>
  <c r="D1466" i="1"/>
  <c r="C1466" i="1"/>
  <c r="B1466" i="1"/>
  <c r="A1466" i="1"/>
  <c r="F1465" i="1"/>
  <c r="E1465" i="1"/>
  <c r="D1465" i="1"/>
  <c r="C1465" i="1"/>
  <c r="B1465" i="1"/>
  <c r="A1465" i="1"/>
  <c r="F1464" i="1"/>
  <c r="E1464" i="1"/>
  <c r="D1464" i="1"/>
  <c r="C1464" i="1"/>
  <c r="B1464" i="1"/>
  <c r="A1464" i="1"/>
  <c r="F1463" i="1"/>
  <c r="E1463" i="1"/>
  <c r="D1463" i="1"/>
  <c r="C1463" i="1"/>
  <c r="B1463" i="1"/>
  <c r="A1463" i="1"/>
  <c r="F1460" i="1"/>
  <c r="E1460" i="1"/>
  <c r="D1460" i="1"/>
  <c r="C1460" i="1"/>
  <c r="B1460" i="1"/>
  <c r="A1460" i="1"/>
  <c r="F1459" i="1"/>
  <c r="E1459" i="1"/>
  <c r="D1459" i="1"/>
  <c r="C1459" i="1"/>
  <c r="B1459" i="1"/>
  <c r="A1459" i="1"/>
  <c r="F1457" i="1"/>
  <c r="E1457" i="1"/>
  <c r="D1457" i="1"/>
  <c r="C1457" i="1"/>
  <c r="B1457" i="1"/>
  <c r="A1457" i="1"/>
  <c r="F1456" i="1"/>
  <c r="E1456" i="1"/>
  <c r="D1456" i="1"/>
  <c r="C1456" i="1"/>
  <c r="B1456" i="1"/>
  <c r="A1456" i="1"/>
  <c r="F1455" i="1"/>
  <c r="E1455" i="1"/>
  <c r="D1455" i="1"/>
  <c r="C1455" i="1"/>
  <c r="B1455" i="1"/>
  <c r="A1455" i="1"/>
  <c r="F1454" i="1"/>
  <c r="E1454" i="1"/>
  <c r="D1454" i="1"/>
  <c r="C1454" i="1"/>
  <c r="B1454" i="1"/>
  <c r="A1454" i="1"/>
  <c r="F1453" i="1"/>
  <c r="E1453" i="1"/>
  <c r="D1453" i="1"/>
  <c r="C1453" i="1"/>
  <c r="B1453" i="1"/>
  <c r="A1453" i="1"/>
  <c r="F1452" i="1"/>
  <c r="E1452" i="1"/>
  <c r="D1452" i="1"/>
  <c r="C1452" i="1"/>
  <c r="B1452" i="1"/>
  <c r="A1452" i="1"/>
  <c r="F1451" i="1"/>
  <c r="E1451" i="1"/>
  <c r="D1451" i="1"/>
  <c r="C1451" i="1"/>
  <c r="B1451" i="1"/>
  <c r="A1451" i="1"/>
  <c r="F1449" i="1"/>
  <c r="E1449" i="1"/>
  <c r="D1449" i="1"/>
  <c r="C1449" i="1"/>
  <c r="B1449" i="1"/>
  <c r="A1449" i="1"/>
  <c r="F1447" i="1"/>
  <c r="E1447" i="1"/>
  <c r="D1447" i="1"/>
  <c r="C1447" i="1"/>
  <c r="B1447" i="1"/>
  <c r="A1447" i="1"/>
  <c r="F1446" i="1"/>
  <c r="E1446" i="1"/>
  <c r="D1446" i="1"/>
  <c r="C1446" i="1"/>
  <c r="B1446" i="1"/>
  <c r="A1446" i="1"/>
  <c r="F1445" i="1"/>
  <c r="E1445" i="1"/>
  <c r="D1445" i="1"/>
  <c r="C1445" i="1"/>
  <c r="B1445" i="1"/>
  <c r="A1445" i="1"/>
  <c r="F1444" i="1"/>
  <c r="E1444" i="1"/>
  <c r="D1444" i="1"/>
  <c r="C1444" i="1"/>
  <c r="B1444" i="1"/>
  <c r="A1444" i="1"/>
  <c r="F1443" i="1"/>
  <c r="E1443" i="1"/>
  <c r="D1443" i="1"/>
  <c r="C1443" i="1"/>
  <c r="B1443" i="1"/>
  <c r="A1443" i="1"/>
  <c r="F1441" i="1"/>
  <c r="E1441" i="1"/>
  <c r="D1441" i="1"/>
  <c r="C1441" i="1"/>
  <c r="B1441" i="1"/>
  <c r="A1441" i="1"/>
  <c r="F1440" i="1"/>
  <c r="E1440" i="1"/>
  <c r="D1440" i="1"/>
  <c r="C1440" i="1"/>
  <c r="B1440" i="1"/>
  <c r="A1440" i="1"/>
  <c r="F1439" i="1"/>
  <c r="E1439" i="1"/>
  <c r="D1439" i="1"/>
  <c r="C1439" i="1"/>
  <c r="B1439" i="1"/>
  <c r="A1439" i="1"/>
  <c r="F1434" i="1"/>
  <c r="E1434" i="1"/>
  <c r="D1434" i="1"/>
  <c r="C1434" i="1"/>
  <c r="B1434" i="1"/>
  <c r="A1434" i="1"/>
  <c r="F1423" i="1"/>
  <c r="E1423" i="1"/>
  <c r="D1423" i="1"/>
  <c r="C1423" i="1"/>
  <c r="B1423" i="1"/>
  <c r="A1423" i="1"/>
  <c r="F1419" i="1"/>
  <c r="E1419" i="1"/>
  <c r="D1419" i="1"/>
  <c r="C1419" i="1"/>
  <c r="B1419" i="1"/>
  <c r="A1419" i="1"/>
  <c r="F1418" i="1"/>
  <c r="E1418" i="1"/>
  <c r="D1418" i="1"/>
  <c r="C1418" i="1"/>
  <c r="B1418" i="1"/>
  <c r="A1418" i="1"/>
  <c r="F1417" i="1"/>
  <c r="E1417" i="1"/>
  <c r="D1417" i="1"/>
  <c r="C1417" i="1"/>
  <c r="B1417" i="1"/>
  <c r="A1417" i="1"/>
  <c r="F1416" i="1"/>
  <c r="E1416" i="1"/>
  <c r="D1416" i="1"/>
  <c r="C1416" i="1"/>
  <c r="B1416" i="1"/>
  <c r="A1416" i="1"/>
  <c r="F1414" i="1"/>
  <c r="E1414" i="1"/>
  <c r="D1414" i="1"/>
  <c r="C1414" i="1"/>
  <c r="B1414" i="1"/>
  <c r="A1414" i="1"/>
  <c r="F1413" i="1"/>
  <c r="E1413" i="1"/>
  <c r="D1413" i="1"/>
  <c r="C1413" i="1"/>
  <c r="B1413" i="1"/>
  <c r="A1413" i="1"/>
  <c r="F1410" i="1"/>
  <c r="E1410" i="1"/>
  <c r="D1410" i="1"/>
  <c r="C1410" i="1"/>
  <c r="B1410" i="1"/>
  <c r="A1410" i="1"/>
  <c r="F1409" i="1"/>
  <c r="E1409" i="1"/>
  <c r="D1409" i="1"/>
  <c r="C1409" i="1"/>
  <c r="B1409" i="1"/>
  <c r="A1409" i="1"/>
  <c r="F1402" i="1"/>
  <c r="E1402" i="1"/>
  <c r="D1402" i="1"/>
  <c r="C1402" i="1"/>
  <c r="B1402" i="1"/>
  <c r="A1402" i="1"/>
  <c r="F4306" i="1"/>
  <c r="E4306" i="1"/>
  <c r="D4306" i="1"/>
  <c r="C4306" i="1"/>
  <c r="B4306" i="1"/>
  <c r="A4306" i="1"/>
  <c r="F1341" i="1"/>
  <c r="E1341" i="1"/>
  <c r="D1341" i="1"/>
  <c r="C1341" i="1"/>
  <c r="B1341" i="1"/>
  <c r="A1341" i="1"/>
  <c r="F1340" i="1"/>
  <c r="E1340" i="1"/>
  <c r="D1340" i="1"/>
  <c r="C1340" i="1"/>
  <c r="B1340" i="1"/>
  <c r="A1340" i="1"/>
  <c r="F1337" i="1"/>
  <c r="E1337" i="1"/>
  <c r="D1337" i="1"/>
  <c r="C1337" i="1"/>
  <c r="B1337" i="1"/>
  <c r="A1337" i="1"/>
  <c r="F1326" i="1"/>
  <c r="E1326" i="1"/>
  <c r="D1326" i="1"/>
  <c r="C1326" i="1"/>
  <c r="B1326" i="1"/>
  <c r="A1326" i="1"/>
  <c r="F1325" i="1"/>
  <c r="E1325" i="1"/>
  <c r="D1325" i="1"/>
  <c r="C1325" i="1"/>
  <c r="B1325" i="1"/>
  <c r="A1325" i="1"/>
  <c r="F1324" i="1"/>
  <c r="E1324" i="1"/>
  <c r="D1324" i="1"/>
  <c r="C1324" i="1"/>
  <c r="B1324" i="1"/>
  <c r="A1324" i="1"/>
  <c r="F1323" i="1"/>
  <c r="E1323" i="1"/>
  <c r="D1323" i="1"/>
  <c r="C1323" i="1"/>
  <c r="B1323" i="1"/>
  <c r="A1323" i="1"/>
  <c r="F1321" i="1"/>
  <c r="E1321" i="1"/>
  <c r="D1321" i="1"/>
  <c r="C1321" i="1"/>
  <c r="B1321" i="1"/>
  <c r="A1321" i="1"/>
  <c r="F1315" i="1"/>
  <c r="E1315" i="1"/>
  <c r="D1315" i="1"/>
  <c r="C1315" i="1"/>
  <c r="B1315" i="1"/>
  <c r="A1315" i="1"/>
  <c r="F1314" i="1"/>
  <c r="E1314" i="1"/>
  <c r="D1314" i="1"/>
  <c r="C1314" i="1"/>
  <c r="B1314" i="1"/>
  <c r="A1314" i="1"/>
  <c r="F1313" i="1"/>
  <c r="E1313" i="1"/>
  <c r="D1313" i="1"/>
  <c r="C1313" i="1"/>
  <c r="B1313" i="1"/>
  <c r="A1313" i="1"/>
  <c r="F1312" i="1"/>
  <c r="E1312" i="1"/>
  <c r="D1312" i="1"/>
  <c r="C1312" i="1"/>
  <c r="B1312" i="1"/>
  <c r="A1312" i="1"/>
  <c r="F1310" i="1"/>
  <c r="E1310" i="1"/>
  <c r="D1310" i="1"/>
  <c r="C1310" i="1"/>
  <c r="B1310" i="1"/>
  <c r="A1310" i="1"/>
  <c r="F1309" i="1"/>
  <c r="E1309" i="1"/>
  <c r="D1309" i="1"/>
  <c r="C1309" i="1"/>
  <c r="B1309" i="1"/>
  <c r="A1309" i="1"/>
  <c r="F1308" i="1"/>
  <c r="E1308" i="1"/>
  <c r="D1308" i="1"/>
  <c r="C1308" i="1"/>
  <c r="B1308" i="1"/>
  <c r="A1308" i="1"/>
  <c r="F1307" i="1"/>
  <c r="E1307" i="1"/>
  <c r="D1307" i="1"/>
  <c r="C1307" i="1"/>
  <c r="B1307" i="1"/>
  <c r="A1307" i="1"/>
  <c r="F1305" i="1"/>
  <c r="E1305" i="1"/>
  <c r="D1305" i="1"/>
  <c r="C1305" i="1"/>
  <c r="B1305" i="1"/>
  <c r="A1305" i="1"/>
  <c r="F1304" i="1"/>
  <c r="E1304" i="1"/>
  <c r="D1304" i="1"/>
  <c r="C1304" i="1"/>
  <c r="B1304" i="1"/>
  <c r="A1304" i="1"/>
  <c r="F1303" i="1"/>
  <c r="E1303" i="1"/>
  <c r="D1303" i="1"/>
  <c r="C1303" i="1"/>
  <c r="B1303" i="1"/>
  <c r="A1303" i="1"/>
  <c r="F1301" i="1"/>
  <c r="E1301" i="1"/>
  <c r="D1301" i="1"/>
  <c r="C1301" i="1"/>
  <c r="B1301" i="1"/>
  <c r="A1301" i="1"/>
  <c r="F1737" i="1"/>
  <c r="E1737" i="1"/>
  <c r="D1737" i="1"/>
  <c r="C1737" i="1"/>
  <c r="B1737" i="1"/>
  <c r="A1737" i="1"/>
  <c r="F1702" i="1"/>
  <c r="E1702" i="1"/>
  <c r="D1702" i="1"/>
  <c r="C1702" i="1"/>
  <c r="B1702" i="1"/>
  <c r="A1702" i="1"/>
  <c r="F1256" i="1"/>
  <c r="E1256" i="1"/>
  <c r="D1256" i="1"/>
  <c r="C1256" i="1"/>
  <c r="B1256" i="1"/>
  <c r="A1256" i="1"/>
  <c r="F1236" i="1"/>
  <c r="E1236" i="1"/>
  <c r="D1236" i="1"/>
  <c r="C1236" i="1"/>
  <c r="B1236" i="1"/>
  <c r="A1236" i="1"/>
  <c r="F1235" i="1"/>
  <c r="E1235" i="1"/>
  <c r="D1235" i="1"/>
  <c r="C1235" i="1"/>
  <c r="B1235" i="1"/>
  <c r="A1235" i="1"/>
  <c r="F1234" i="1"/>
  <c r="E1234" i="1"/>
  <c r="D1234" i="1"/>
  <c r="C1234" i="1"/>
  <c r="B1234" i="1"/>
  <c r="A1234" i="1"/>
  <c r="F1233" i="1"/>
  <c r="E1233" i="1"/>
  <c r="D1233" i="1"/>
  <c r="C1233" i="1"/>
  <c r="B1233" i="1"/>
  <c r="A1233" i="1"/>
  <c r="F1232" i="1"/>
  <c r="E1232" i="1"/>
  <c r="D1232" i="1"/>
  <c r="C1232" i="1"/>
  <c r="B1232" i="1"/>
  <c r="A1232" i="1"/>
  <c r="F1231" i="1"/>
  <c r="E1231" i="1"/>
  <c r="D1231" i="1"/>
  <c r="C1231" i="1"/>
  <c r="B1231" i="1"/>
  <c r="A1231" i="1"/>
  <c r="F1229" i="1"/>
  <c r="E1229" i="1"/>
  <c r="D1229" i="1"/>
  <c r="C1229" i="1"/>
  <c r="B1229" i="1"/>
  <c r="A1229" i="1"/>
  <c r="F1227" i="1"/>
  <c r="E1227" i="1"/>
  <c r="D1227" i="1"/>
  <c r="C1227" i="1"/>
  <c r="B1227" i="1"/>
  <c r="A1227" i="1"/>
  <c r="F1225" i="1"/>
  <c r="E1225" i="1"/>
  <c r="D1225" i="1"/>
  <c r="C1225" i="1"/>
  <c r="B1225" i="1"/>
  <c r="A1225" i="1"/>
  <c r="F1220" i="1"/>
  <c r="E1220" i="1"/>
  <c r="D1220" i="1"/>
  <c r="C1220" i="1"/>
  <c r="B1220" i="1"/>
  <c r="A1220" i="1"/>
  <c r="F1219" i="1"/>
  <c r="E1219" i="1"/>
  <c r="D1219" i="1"/>
  <c r="C1219" i="1"/>
  <c r="B1219" i="1"/>
  <c r="A1219" i="1"/>
  <c r="F1218" i="1"/>
  <c r="E1218" i="1"/>
  <c r="D1218" i="1"/>
  <c r="C1218" i="1"/>
  <c r="B1218" i="1"/>
  <c r="A1218" i="1"/>
  <c r="F1217" i="1"/>
  <c r="E1217" i="1"/>
  <c r="D1217" i="1"/>
  <c r="C1217" i="1"/>
  <c r="B1217" i="1"/>
  <c r="A1217" i="1"/>
  <c r="F1216" i="1"/>
  <c r="E1216" i="1"/>
  <c r="D1216" i="1"/>
  <c r="C1216" i="1"/>
  <c r="B1216" i="1"/>
  <c r="A1216" i="1"/>
  <c r="F1215" i="1"/>
  <c r="E1215" i="1"/>
  <c r="D1215" i="1"/>
  <c r="C1215" i="1"/>
  <c r="B1215" i="1"/>
  <c r="A1215" i="1"/>
  <c r="F1213" i="1"/>
  <c r="E1213" i="1"/>
  <c r="D1213" i="1"/>
  <c r="C1213" i="1"/>
  <c r="B1213" i="1"/>
  <c r="A1213" i="1"/>
  <c r="F1210" i="1"/>
  <c r="E1210" i="1"/>
  <c r="D1210" i="1"/>
  <c r="C1210" i="1"/>
  <c r="B1210" i="1"/>
  <c r="A1210" i="1"/>
  <c r="F1203" i="1"/>
  <c r="E1203" i="1"/>
  <c r="D1203" i="1"/>
  <c r="C1203" i="1"/>
  <c r="B1203" i="1"/>
  <c r="A1203" i="1"/>
  <c r="F1201" i="1"/>
  <c r="E1201" i="1"/>
  <c r="D1201" i="1"/>
  <c r="C1201" i="1"/>
  <c r="B1201" i="1"/>
  <c r="A1201" i="1"/>
  <c r="F1110" i="1"/>
  <c r="E1110" i="1"/>
  <c r="D1110" i="1"/>
  <c r="C1110" i="1"/>
  <c r="B1110" i="1"/>
  <c r="A1110" i="1"/>
  <c r="F1109" i="1"/>
  <c r="E1109" i="1"/>
  <c r="D1109" i="1"/>
  <c r="C1109" i="1"/>
  <c r="B1109" i="1"/>
  <c r="A1109" i="1"/>
  <c r="F1108" i="1"/>
  <c r="E1108" i="1"/>
  <c r="D1108" i="1"/>
  <c r="C1108" i="1"/>
  <c r="B1108" i="1"/>
  <c r="A1108" i="1"/>
  <c r="F1104" i="1"/>
  <c r="E1104" i="1"/>
  <c r="D1104" i="1"/>
  <c r="C1104" i="1"/>
  <c r="B1104" i="1"/>
  <c r="A1104" i="1"/>
  <c r="F1103" i="1"/>
  <c r="E1103" i="1"/>
  <c r="D1103" i="1"/>
  <c r="C1103" i="1"/>
  <c r="B1103" i="1"/>
  <c r="A1103" i="1"/>
  <c r="F1102" i="1"/>
  <c r="E1102" i="1"/>
  <c r="D1102" i="1"/>
  <c r="C1102" i="1"/>
  <c r="B1102" i="1"/>
  <c r="A1102" i="1"/>
  <c r="F1101" i="1"/>
  <c r="E1101" i="1"/>
  <c r="D1101" i="1"/>
  <c r="C1101" i="1"/>
  <c r="B1101" i="1"/>
  <c r="A1101" i="1"/>
  <c r="E943" i="1" l="1"/>
  <c r="D943" i="1"/>
  <c r="C943" i="1"/>
  <c r="B943" i="1"/>
  <c r="A943" i="1"/>
  <c r="E942" i="1"/>
  <c r="D942" i="1"/>
  <c r="C942" i="1"/>
  <c r="B942" i="1"/>
  <c r="A942" i="1"/>
  <c r="E941" i="1"/>
  <c r="D941" i="1"/>
  <c r="C941" i="1"/>
  <c r="B941" i="1"/>
  <c r="A941" i="1"/>
  <c r="E940" i="1"/>
  <c r="D940" i="1"/>
  <c r="C940" i="1"/>
  <c r="B940" i="1"/>
  <c r="A940" i="1"/>
  <c r="E939" i="1"/>
  <c r="D939" i="1"/>
  <c r="C939" i="1"/>
  <c r="B939" i="1"/>
  <c r="A939" i="1"/>
  <c r="E938" i="1"/>
  <c r="D938" i="1"/>
  <c r="C938" i="1"/>
  <c r="B938" i="1"/>
  <c r="A938" i="1"/>
  <c r="E937" i="1"/>
  <c r="D937" i="1"/>
  <c r="C937" i="1"/>
  <c r="B937" i="1"/>
  <c r="A937" i="1"/>
  <c r="E936" i="1"/>
  <c r="D936" i="1"/>
  <c r="C936" i="1"/>
  <c r="B936" i="1"/>
  <c r="A936" i="1"/>
  <c r="E935" i="1"/>
  <c r="D935" i="1"/>
  <c r="C935" i="1"/>
  <c r="B935" i="1"/>
  <c r="A935" i="1"/>
  <c r="E934" i="1"/>
  <c r="D934" i="1"/>
  <c r="C934" i="1"/>
  <c r="B934" i="1"/>
  <c r="A934" i="1"/>
  <c r="E933" i="1"/>
  <c r="D933" i="1"/>
  <c r="C933" i="1"/>
  <c r="B933" i="1"/>
  <c r="A933" i="1"/>
  <c r="E932" i="1"/>
  <c r="D932" i="1"/>
  <c r="C932" i="1"/>
  <c r="B932" i="1"/>
  <c r="A932" i="1"/>
  <c r="E931" i="1"/>
  <c r="D931" i="1"/>
  <c r="C931" i="1"/>
  <c r="B931" i="1"/>
  <c r="A931" i="1"/>
  <c r="E930" i="1"/>
  <c r="D930" i="1"/>
  <c r="C930" i="1"/>
  <c r="B930" i="1"/>
  <c r="A930" i="1"/>
  <c r="E929" i="1"/>
  <c r="D929" i="1"/>
  <c r="C929" i="1"/>
  <c r="B929" i="1"/>
  <c r="A929" i="1"/>
  <c r="E928" i="1"/>
  <c r="D928" i="1"/>
  <c r="C928" i="1"/>
  <c r="B928" i="1"/>
  <c r="A928" i="1"/>
  <c r="E927" i="1"/>
  <c r="D927" i="1"/>
  <c r="C927" i="1"/>
  <c r="B927" i="1"/>
  <c r="A927" i="1"/>
  <c r="E926" i="1"/>
  <c r="D926" i="1"/>
  <c r="C926" i="1"/>
  <c r="B926" i="1"/>
  <c r="A926" i="1"/>
  <c r="E925" i="1"/>
  <c r="D925" i="1"/>
  <c r="C925" i="1"/>
  <c r="B925" i="1"/>
  <c r="A925" i="1"/>
  <c r="E924" i="1"/>
  <c r="D924" i="1"/>
  <c r="C924" i="1"/>
  <c r="B924" i="1"/>
  <c r="A924" i="1"/>
  <c r="E923" i="1"/>
  <c r="D923" i="1"/>
  <c r="C923" i="1"/>
  <c r="B923" i="1"/>
  <c r="A923" i="1"/>
  <c r="E922" i="1"/>
  <c r="D922" i="1"/>
  <c r="C922" i="1"/>
  <c r="B922" i="1"/>
  <c r="A922" i="1"/>
  <c r="E921" i="1"/>
  <c r="D921" i="1"/>
  <c r="C921" i="1"/>
  <c r="B921" i="1"/>
  <c r="A921" i="1"/>
  <c r="E920" i="1"/>
  <c r="D920" i="1"/>
  <c r="C920" i="1"/>
  <c r="B920" i="1"/>
  <c r="A920" i="1"/>
  <c r="E919" i="1"/>
  <c r="D919" i="1"/>
  <c r="C919" i="1"/>
  <c r="B919" i="1"/>
  <c r="A919" i="1"/>
  <c r="E918" i="1"/>
  <c r="D918" i="1"/>
  <c r="C918" i="1"/>
  <c r="B918" i="1"/>
  <c r="A918" i="1"/>
  <c r="E917" i="1"/>
  <c r="D917" i="1"/>
  <c r="C917" i="1"/>
  <c r="B917" i="1"/>
  <c r="A917" i="1"/>
  <c r="E916" i="1"/>
  <c r="D916" i="1"/>
  <c r="C916" i="1"/>
  <c r="B916" i="1"/>
  <c r="A916" i="1"/>
  <c r="E915" i="1"/>
  <c r="D915" i="1"/>
  <c r="C915" i="1"/>
  <c r="B915" i="1"/>
  <c r="A915" i="1"/>
  <c r="E914" i="1"/>
  <c r="D914" i="1"/>
  <c r="C914" i="1"/>
  <c r="B914" i="1"/>
  <c r="A914" i="1"/>
  <c r="E913" i="1"/>
  <c r="D913" i="1"/>
  <c r="C913" i="1"/>
  <c r="B913" i="1"/>
  <c r="A913" i="1"/>
  <c r="E912" i="1"/>
  <c r="D912" i="1"/>
  <c r="C912" i="1"/>
  <c r="B912" i="1"/>
  <c r="A912" i="1"/>
  <c r="E911" i="1"/>
  <c r="D911" i="1"/>
  <c r="C911" i="1"/>
  <c r="B911" i="1"/>
  <c r="A911" i="1"/>
  <c r="E910" i="1"/>
  <c r="D910" i="1"/>
  <c r="C910" i="1"/>
  <c r="B910" i="1"/>
  <c r="A910" i="1"/>
  <c r="E909" i="1"/>
  <c r="D909" i="1"/>
  <c r="C909" i="1"/>
  <c r="B909" i="1"/>
  <c r="A909" i="1"/>
  <c r="E908" i="1"/>
  <c r="D908" i="1"/>
  <c r="C908" i="1"/>
  <c r="B908" i="1"/>
  <c r="A908" i="1"/>
  <c r="E907" i="1"/>
  <c r="D907" i="1"/>
  <c r="C907" i="1"/>
  <c r="B907" i="1"/>
  <c r="A907" i="1"/>
  <c r="E906" i="1"/>
  <c r="D906" i="1"/>
  <c r="C906" i="1"/>
  <c r="B906" i="1"/>
  <c r="A906" i="1"/>
  <c r="E905" i="1"/>
  <c r="D905" i="1"/>
  <c r="C905" i="1"/>
  <c r="B905" i="1"/>
  <c r="A905" i="1"/>
  <c r="E904" i="1"/>
  <c r="D904" i="1"/>
  <c r="C904" i="1"/>
  <c r="B904" i="1"/>
  <c r="A904" i="1"/>
  <c r="E903" i="1"/>
  <c r="D903" i="1"/>
  <c r="C903" i="1"/>
  <c r="B903" i="1"/>
  <c r="A903" i="1"/>
  <c r="E902" i="1"/>
  <c r="D902" i="1"/>
  <c r="C902" i="1"/>
  <c r="B902" i="1"/>
  <c r="A902" i="1"/>
  <c r="E901" i="1"/>
  <c r="D901" i="1"/>
  <c r="C901" i="1"/>
  <c r="B901" i="1"/>
  <c r="A901" i="1"/>
  <c r="E900" i="1"/>
  <c r="D900" i="1"/>
  <c r="C900" i="1"/>
  <c r="B900" i="1"/>
  <c r="A900" i="1"/>
  <c r="E899" i="1"/>
  <c r="D899" i="1"/>
  <c r="C899" i="1"/>
  <c r="B899" i="1"/>
  <c r="A899" i="1"/>
  <c r="E898" i="1"/>
  <c r="D898" i="1"/>
  <c r="C898" i="1"/>
  <c r="B898" i="1"/>
  <c r="A898" i="1"/>
  <c r="E897" i="1"/>
  <c r="D897" i="1"/>
  <c r="C897" i="1"/>
  <c r="B897" i="1"/>
  <c r="A897" i="1"/>
  <c r="E896" i="1"/>
  <c r="D896" i="1"/>
  <c r="C896" i="1"/>
  <c r="B896" i="1"/>
  <c r="A896" i="1"/>
  <c r="E895" i="1"/>
  <c r="D895" i="1"/>
  <c r="C895" i="1"/>
  <c r="B895" i="1"/>
  <c r="A895" i="1"/>
  <c r="E894" i="1"/>
  <c r="D894" i="1"/>
  <c r="C894" i="1"/>
  <c r="B894" i="1"/>
  <c r="A894" i="1"/>
  <c r="E893" i="1"/>
  <c r="D893" i="1"/>
  <c r="C893" i="1"/>
  <c r="B893" i="1"/>
  <c r="A893" i="1"/>
  <c r="E892" i="1"/>
  <c r="D892" i="1"/>
  <c r="C892" i="1"/>
  <c r="B892" i="1"/>
  <c r="A892" i="1"/>
  <c r="E891" i="1"/>
  <c r="D891" i="1"/>
  <c r="C891" i="1"/>
  <c r="B891" i="1"/>
  <c r="A891" i="1"/>
  <c r="E890" i="1"/>
  <c r="D890" i="1"/>
  <c r="C890" i="1"/>
  <c r="B890" i="1"/>
  <c r="A890" i="1"/>
  <c r="E889" i="1"/>
  <c r="D889" i="1"/>
  <c r="C889" i="1"/>
  <c r="B889" i="1"/>
  <c r="A889" i="1"/>
  <c r="E888" i="1"/>
  <c r="D888" i="1"/>
  <c r="C888" i="1"/>
  <c r="B888" i="1"/>
  <c r="A888" i="1"/>
  <c r="E887" i="1"/>
  <c r="D887" i="1"/>
  <c r="C887" i="1"/>
  <c r="B887" i="1"/>
  <c r="A887" i="1"/>
  <c r="E886" i="1"/>
  <c r="D886" i="1"/>
  <c r="C886" i="1"/>
  <c r="B886" i="1"/>
  <c r="A886" i="1"/>
  <c r="E885" i="1"/>
  <c r="D885" i="1"/>
  <c r="C885" i="1"/>
  <c r="B885" i="1"/>
  <c r="A885" i="1"/>
  <c r="E884" i="1"/>
  <c r="D884" i="1"/>
  <c r="C884" i="1"/>
  <c r="B884" i="1"/>
  <c r="A884" i="1"/>
  <c r="E883" i="1"/>
  <c r="D883" i="1"/>
  <c r="C883" i="1"/>
  <c r="B883" i="1"/>
  <c r="A883" i="1"/>
  <c r="E882" i="1"/>
  <c r="D882" i="1"/>
  <c r="C882" i="1"/>
  <c r="B882" i="1"/>
  <c r="A882" i="1"/>
  <c r="E881" i="1"/>
  <c r="D881" i="1"/>
  <c r="C881" i="1"/>
  <c r="B881" i="1"/>
  <c r="A881" i="1"/>
  <c r="E880" i="1"/>
  <c r="D880" i="1"/>
  <c r="C880" i="1"/>
  <c r="B880" i="1"/>
  <c r="A880" i="1"/>
  <c r="E879" i="1"/>
  <c r="D879" i="1"/>
  <c r="C879" i="1"/>
  <c r="B879" i="1"/>
  <c r="A879" i="1"/>
  <c r="E878" i="1"/>
  <c r="D878" i="1"/>
  <c r="C878" i="1"/>
  <c r="B878" i="1"/>
  <c r="A878" i="1"/>
  <c r="E877" i="1"/>
  <c r="D877" i="1"/>
  <c r="C877" i="1"/>
  <c r="B877" i="1"/>
  <c r="A877" i="1"/>
  <c r="E876" i="1"/>
  <c r="D876" i="1"/>
  <c r="C876" i="1"/>
  <c r="B876" i="1"/>
  <c r="A876" i="1"/>
  <c r="E875" i="1"/>
  <c r="D875" i="1"/>
  <c r="C875" i="1"/>
  <c r="B875" i="1"/>
  <c r="A875" i="1"/>
  <c r="E874" i="1"/>
  <c r="D874" i="1"/>
  <c r="C874" i="1"/>
  <c r="B874" i="1"/>
  <c r="A874" i="1"/>
  <c r="E873" i="1"/>
  <c r="D873" i="1"/>
  <c r="C873" i="1"/>
  <c r="B873" i="1"/>
  <c r="A873" i="1"/>
  <c r="E872" i="1"/>
  <c r="D872" i="1"/>
  <c r="C872" i="1"/>
  <c r="B872" i="1"/>
  <c r="A872" i="1"/>
  <c r="E871" i="1"/>
  <c r="D871" i="1"/>
  <c r="C871" i="1"/>
  <c r="B871" i="1"/>
  <c r="A871" i="1"/>
  <c r="E870" i="1"/>
  <c r="D870" i="1"/>
  <c r="C870" i="1"/>
  <c r="B870" i="1"/>
  <c r="A870" i="1"/>
  <c r="E869" i="1"/>
  <c r="D869" i="1"/>
  <c r="C869" i="1"/>
  <c r="B869" i="1"/>
  <c r="A869" i="1"/>
  <c r="E868" i="1"/>
  <c r="D868" i="1"/>
  <c r="C868" i="1"/>
  <c r="B868" i="1"/>
  <c r="A868" i="1"/>
  <c r="E867" i="1"/>
  <c r="D867" i="1"/>
  <c r="C867" i="1"/>
  <c r="B867" i="1"/>
  <c r="A867" i="1"/>
  <c r="E866" i="1"/>
  <c r="D866" i="1"/>
  <c r="C866" i="1"/>
  <c r="B866" i="1"/>
  <c r="A866" i="1"/>
  <c r="E865" i="1"/>
  <c r="D865" i="1"/>
  <c r="C865" i="1"/>
  <c r="B865" i="1"/>
  <c r="A865" i="1"/>
  <c r="E864" i="1"/>
  <c r="D864" i="1"/>
  <c r="C864" i="1"/>
  <c r="B864" i="1"/>
  <c r="A864" i="1"/>
  <c r="E863" i="1"/>
  <c r="D863" i="1"/>
  <c r="C863" i="1"/>
  <c r="B863" i="1"/>
  <c r="A863" i="1"/>
  <c r="E862" i="1"/>
  <c r="D862" i="1"/>
  <c r="C862" i="1"/>
  <c r="B862" i="1"/>
  <c r="A862" i="1"/>
  <c r="E861" i="1"/>
  <c r="D861" i="1"/>
  <c r="C861" i="1"/>
  <c r="B861" i="1"/>
  <c r="A861" i="1"/>
  <c r="E860" i="1"/>
  <c r="D860" i="1"/>
  <c r="C860" i="1"/>
  <c r="B860" i="1"/>
  <c r="A860" i="1"/>
  <c r="E859" i="1"/>
  <c r="D859" i="1"/>
  <c r="C859" i="1"/>
  <c r="B859" i="1"/>
  <c r="A859" i="1"/>
  <c r="E858" i="1"/>
  <c r="D858" i="1"/>
  <c r="C858" i="1"/>
  <c r="B858" i="1"/>
  <c r="A858" i="1"/>
  <c r="E857" i="1"/>
  <c r="D857" i="1"/>
  <c r="C857" i="1"/>
  <c r="B857" i="1"/>
  <c r="A857" i="1"/>
  <c r="E856" i="1"/>
  <c r="D856" i="1"/>
  <c r="C856" i="1"/>
  <c r="B856" i="1"/>
  <c r="A856" i="1"/>
  <c r="E855" i="1"/>
  <c r="D855" i="1"/>
  <c r="C855" i="1"/>
  <c r="B855" i="1"/>
  <c r="A855" i="1"/>
  <c r="E854" i="1"/>
  <c r="D854" i="1"/>
  <c r="C854" i="1"/>
  <c r="B854" i="1"/>
  <c r="A854" i="1"/>
  <c r="E853" i="1"/>
  <c r="D853" i="1"/>
  <c r="C853" i="1"/>
  <c r="B853" i="1"/>
  <c r="A853" i="1"/>
  <c r="E852" i="1"/>
  <c r="D852" i="1"/>
  <c r="C852" i="1"/>
  <c r="B852" i="1"/>
  <c r="A852" i="1"/>
  <c r="E851" i="1"/>
  <c r="D851" i="1"/>
  <c r="C851" i="1"/>
  <c r="B851" i="1"/>
  <c r="A851" i="1"/>
  <c r="E850" i="1"/>
  <c r="D850" i="1"/>
  <c r="C850" i="1"/>
  <c r="B850" i="1"/>
  <c r="A850" i="1"/>
  <c r="E849" i="1"/>
  <c r="D849" i="1"/>
  <c r="C849" i="1"/>
  <c r="B849" i="1"/>
  <c r="A849" i="1"/>
  <c r="E848" i="1"/>
  <c r="D848" i="1"/>
  <c r="C848" i="1"/>
  <c r="B848" i="1"/>
  <c r="A848" i="1"/>
  <c r="E847" i="1"/>
  <c r="D847" i="1"/>
  <c r="C847" i="1"/>
  <c r="B847" i="1"/>
  <c r="A847" i="1"/>
  <c r="E846" i="1"/>
  <c r="D846" i="1"/>
  <c r="C846" i="1"/>
  <c r="B846" i="1"/>
  <c r="A846" i="1"/>
  <c r="E845" i="1"/>
  <c r="D845" i="1"/>
  <c r="C845" i="1"/>
  <c r="B845" i="1"/>
  <c r="A845" i="1"/>
  <c r="E844" i="1"/>
  <c r="D844" i="1"/>
  <c r="C844" i="1"/>
  <c r="B844" i="1"/>
  <c r="A844" i="1"/>
  <c r="E843" i="1"/>
  <c r="D843" i="1"/>
  <c r="C843" i="1"/>
  <c r="B843" i="1"/>
  <c r="A843" i="1"/>
  <c r="E842" i="1"/>
  <c r="D842" i="1"/>
  <c r="C842" i="1"/>
  <c r="B842" i="1"/>
  <c r="A842" i="1"/>
  <c r="E841" i="1"/>
  <c r="D841" i="1"/>
  <c r="C841" i="1"/>
  <c r="B841" i="1"/>
  <c r="A841" i="1"/>
  <c r="E840" i="1"/>
  <c r="D840" i="1"/>
  <c r="C840" i="1"/>
  <c r="B840" i="1"/>
  <c r="A840" i="1"/>
  <c r="E839" i="1"/>
  <c r="D839" i="1"/>
  <c r="C839" i="1"/>
  <c r="B839" i="1"/>
  <c r="A839" i="1"/>
  <c r="E838" i="1"/>
  <c r="D838" i="1"/>
  <c r="C838" i="1"/>
  <c r="B838" i="1"/>
  <c r="A838" i="1"/>
  <c r="E837" i="1"/>
  <c r="D837" i="1"/>
  <c r="C837" i="1"/>
  <c r="B837" i="1"/>
  <c r="A837" i="1"/>
  <c r="E836" i="1"/>
  <c r="D836" i="1"/>
  <c r="C836" i="1"/>
  <c r="B836" i="1"/>
  <c r="A836" i="1"/>
  <c r="E835" i="1"/>
  <c r="D835" i="1"/>
  <c r="C835" i="1"/>
  <c r="B835" i="1"/>
  <c r="A835" i="1"/>
  <c r="E834" i="1"/>
  <c r="D834" i="1"/>
  <c r="C834" i="1"/>
  <c r="B834" i="1"/>
  <c r="A834" i="1"/>
  <c r="E833" i="1"/>
  <c r="D833" i="1"/>
  <c r="C833" i="1"/>
  <c r="B833" i="1"/>
  <c r="A833" i="1"/>
  <c r="E832" i="1"/>
  <c r="D832" i="1"/>
  <c r="C832" i="1"/>
  <c r="B832" i="1"/>
  <c r="A832" i="1"/>
  <c r="E831" i="1"/>
  <c r="D831" i="1"/>
  <c r="C831" i="1"/>
  <c r="B831" i="1"/>
  <c r="A831" i="1"/>
  <c r="E830" i="1"/>
  <c r="D830" i="1"/>
  <c r="C830" i="1"/>
  <c r="B830" i="1"/>
  <c r="A830" i="1"/>
  <c r="E829" i="1"/>
  <c r="D829" i="1"/>
  <c r="C829" i="1"/>
  <c r="B829" i="1"/>
  <c r="A829" i="1"/>
  <c r="E828" i="1"/>
  <c r="D828" i="1"/>
  <c r="C828" i="1"/>
  <c r="B828" i="1"/>
  <c r="A828" i="1"/>
  <c r="E827" i="1"/>
  <c r="D827" i="1"/>
  <c r="C827" i="1"/>
  <c r="B827" i="1"/>
  <c r="A827" i="1"/>
  <c r="E826" i="1"/>
  <c r="D826" i="1"/>
  <c r="C826" i="1"/>
  <c r="B826" i="1"/>
  <c r="A826" i="1"/>
  <c r="E825" i="1"/>
  <c r="D825" i="1"/>
  <c r="C825" i="1"/>
  <c r="B825" i="1"/>
  <c r="A825" i="1"/>
  <c r="E824" i="1"/>
  <c r="D824" i="1"/>
  <c r="C824" i="1"/>
  <c r="B824" i="1"/>
  <c r="A824" i="1"/>
  <c r="E823" i="1"/>
  <c r="D823" i="1"/>
  <c r="C823" i="1"/>
  <c r="B823" i="1"/>
  <c r="A823" i="1"/>
  <c r="E822" i="1"/>
  <c r="D822" i="1"/>
  <c r="C822" i="1"/>
  <c r="B822" i="1"/>
  <c r="A822" i="1"/>
  <c r="E821" i="1"/>
  <c r="D821" i="1"/>
  <c r="C821" i="1"/>
  <c r="B821" i="1"/>
  <c r="A821" i="1"/>
  <c r="E820" i="1"/>
  <c r="D820" i="1"/>
  <c r="C820" i="1"/>
  <c r="B820" i="1"/>
  <c r="A820" i="1"/>
  <c r="E819" i="1"/>
  <c r="D819" i="1"/>
  <c r="C819" i="1"/>
  <c r="B819" i="1"/>
  <c r="A819" i="1"/>
  <c r="E818" i="1"/>
  <c r="D818" i="1"/>
  <c r="C818" i="1"/>
  <c r="B818" i="1"/>
  <c r="A818" i="1"/>
  <c r="E817" i="1"/>
  <c r="D817" i="1"/>
  <c r="C817" i="1"/>
  <c r="B817" i="1"/>
  <c r="A817" i="1"/>
  <c r="E816" i="1"/>
  <c r="D816" i="1"/>
  <c r="C816" i="1"/>
  <c r="B816" i="1"/>
  <c r="A816" i="1"/>
  <c r="E815" i="1"/>
  <c r="D815" i="1"/>
  <c r="C815" i="1"/>
  <c r="B815" i="1"/>
  <c r="A815" i="1"/>
  <c r="E814" i="1"/>
  <c r="D814" i="1"/>
  <c r="C814" i="1"/>
  <c r="B814" i="1"/>
  <c r="A814" i="1"/>
  <c r="E813" i="1"/>
  <c r="D813" i="1"/>
  <c r="C813" i="1"/>
  <c r="B813" i="1"/>
  <c r="A813" i="1"/>
  <c r="E812" i="1"/>
  <c r="D812" i="1"/>
  <c r="C812" i="1"/>
  <c r="B812" i="1"/>
  <c r="A812" i="1"/>
  <c r="E811" i="1"/>
  <c r="D811" i="1"/>
  <c r="C811" i="1"/>
  <c r="B811" i="1"/>
  <c r="A811" i="1"/>
  <c r="E810" i="1"/>
  <c r="D810" i="1"/>
  <c r="C810" i="1"/>
  <c r="B810" i="1"/>
  <c r="A810" i="1"/>
  <c r="E809" i="1"/>
  <c r="D809" i="1"/>
  <c r="C809" i="1"/>
  <c r="B809" i="1"/>
  <c r="A809" i="1"/>
  <c r="E808" i="1"/>
  <c r="D808" i="1"/>
  <c r="C808" i="1"/>
  <c r="B808" i="1"/>
  <c r="A808" i="1"/>
  <c r="E807" i="1"/>
  <c r="D807" i="1"/>
  <c r="C807" i="1"/>
  <c r="B807" i="1"/>
  <c r="A807" i="1"/>
  <c r="E806" i="1"/>
  <c r="D806" i="1"/>
  <c r="C806" i="1"/>
  <c r="B806" i="1"/>
  <c r="A806" i="1"/>
  <c r="E805" i="1"/>
  <c r="D805" i="1"/>
  <c r="C805" i="1"/>
  <c r="B805" i="1"/>
  <c r="A805" i="1"/>
  <c r="E804" i="1"/>
  <c r="D804" i="1"/>
  <c r="C804" i="1"/>
  <c r="B804" i="1"/>
  <c r="A804" i="1"/>
  <c r="E803" i="1"/>
  <c r="D803" i="1"/>
  <c r="C803" i="1"/>
  <c r="B803" i="1"/>
  <c r="A803" i="1"/>
  <c r="E802" i="1"/>
  <c r="D802" i="1"/>
  <c r="C802" i="1"/>
  <c r="B802" i="1"/>
  <c r="A802" i="1"/>
  <c r="E801" i="1"/>
  <c r="D801" i="1"/>
  <c r="C801" i="1"/>
  <c r="B801" i="1"/>
  <c r="A801" i="1"/>
  <c r="E800" i="1"/>
  <c r="D800" i="1"/>
  <c r="C800" i="1"/>
  <c r="B800" i="1"/>
  <c r="A800" i="1"/>
  <c r="E799" i="1"/>
  <c r="D799" i="1"/>
  <c r="C799" i="1"/>
  <c r="B799" i="1"/>
  <c r="A799" i="1"/>
  <c r="E798" i="1"/>
  <c r="D798" i="1"/>
  <c r="C798" i="1"/>
  <c r="B798" i="1"/>
  <c r="A798" i="1"/>
  <c r="E797" i="1"/>
  <c r="D797" i="1"/>
  <c r="C797" i="1"/>
  <c r="B797" i="1"/>
  <c r="A797" i="1"/>
  <c r="E796" i="1"/>
  <c r="D796" i="1"/>
  <c r="C796" i="1"/>
  <c r="B796" i="1"/>
  <c r="A796" i="1"/>
  <c r="E795" i="1"/>
  <c r="D795" i="1"/>
  <c r="C795" i="1"/>
  <c r="B795" i="1"/>
  <c r="A795" i="1"/>
  <c r="E794" i="1"/>
  <c r="D794" i="1"/>
  <c r="C794" i="1"/>
  <c r="B794" i="1"/>
  <c r="A794" i="1"/>
  <c r="E793" i="1"/>
  <c r="D793" i="1"/>
  <c r="C793" i="1"/>
  <c r="B793" i="1"/>
  <c r="A793" i="1"/>
  <c r="E792" i="1"/>
  <c r="D792" i="1"/>
  <c r="C792" i="1"/>
  <c r="B792" i="1"/>
  <c r="A792" i="1"/>
  <c r="E791" i="1"/>
  <c r="D791" i="1"/>
  <c r="C791" i="1"/>
  <c r="B791" i="1"/>
  <c r="A791" i="1"/>
  <c r="E790" i="1"/>
  <c r="D790" i="1"/>
  <c r="C790" i="1"/>
  <c r="B790" i="1"/>
  <c r="A790" i="1"/>
  <c r="E789" i="1"/>
  <c r="D789" i="1"/>
  <c r="C789" i="1"/>
  <c r="B789" i="1"/>
  <c r="A789" i="1"/>
  <c r="E788" i="1"/>
  <c r="D788" i="1"/>
  <c r="C788" i="1"/>
  <c r="B788" i="1"/>
  <c r="A788" i="1"/>
  <c r="E787" i="1"/>
  <c r="D787" i="1"/>
  <c r="C787" i="1"/>
  <c r="B787" i="1"/>
  <c r="A787" i="1"/>
  <c r="E786" i="1"/>
  <c r="D786" i="1"/>
  <c r="C786" i="1"/>
  <c r="B786" i="1"/>
  <c r="A786" i="1"/>
  <c r="E785" i="1"/>
  <c r="D785" i="1"/>
  <c r="C785" i="1"/>
  <c r="B785" i="1"/>
  <c r="A785" i="1"/>
  <c r="E784" i="1"/>
  <c r="D784" i="1"/>
  <c r="C784" i="1"/>
  <c r="B784" i="1"/>
  <c r="A784" i="1"/>
  <c r="E783" i="1"/>
  <c r="D783" i="1"/>
  <c r="C783" i="1"/>
  <c r="B783" i="1"/>
  <c r="A783" i="1"/>
  <c r="E782" i="1"/>
  <c r="D782" i="1"/>
  <c r="C782" i="1"/>
  <c r="B782" i="1"/>
  <c r="A782" i="1"/>
  <c r="E781" i="1"/>
  <c r="D781" i="1"/>
  <c r="C781" i="1"/>
  <c r="B781" i="1"/>
  <c r="A781" i="1"/>
  <c r="E780" i="1"/>
  <c r="D780" i="1"/>
  <c r="C780" i="1"/>
  <c r="B780" i="1"/>
  <c r="A780" i="1"/>
  <c r="E779" i="1"/>
  <c r="D779" i="1"/>
  <c r="C779" i="1"/>
  <c r="B779" i="1"/>
  <c r="A779" i="1"/>
  <c r="E778" i="1"/>
  <c r="D778" i="1"/>
  <c r="C778" i="1"/>
  <c r="B778" i="1"/>
  <c r="A778" i="1"/>
  <c r="E777" i="1"/>
  <c r="D777" i="1"/>
  <c r="C777" i="1"/>
  <c r="B777" i="1"/>
  <c r="A777" i="1"/>
  <c r="E776" i="1"/>
  <c r="D776" i="1"/>
  <c r="C776" i="1"/>
  <c r="B776" i="1"/>
  <c r="A776" i="1"/>
  <c r="E775" i="1"/>
  <c r="D775" i="1"/>
  <c r="C775" i="1"/>
  <c r="B775" i="1"/>
  <c r="A775" i="1"/>
  <c r="E774" i="1"/>
  <c r="D774" i="1"/>
  <c r="C774" i="1"/>
  <c r="B774" i="1"/>
  <c r="A774" i="1"/>
  <c r="E773" i="1"/>
  <c r="D773" i="1"/>
  <c r="C773" i="1"/>
  <c r="B773" i="1"/>
  <c r="A773" i="1"/>
  <c r="E772" i="1"/>
  <c r="D772" i="1"/>
  <c r="C772" i="1"/>
  <c r="B772" i="1"/>
  <c r="A772" i="1"/>
  <c r="E771" i="1"/>
  <c r="D771" i="1"/>
  <c r="C771" i="1"/>
  <c r="B771" i="1"/>
  <c r="A771" i="1"/>
  <c r="E770" i="1"/>
  <c r="D770" i="1"/>
  <c r="C770" i="1"/>
  <c r="B770" i="1"/>
  <c r="A770" i="1"/>
  <c r="E769" i="1"/>
  <c r="D769" i="1"/>
  <c r="C769" i="1"/>
  <c r="B769" i="1"/>
  <c r="A769" i="1"/>
  <c r="E768" i="1"/>
  <c r="D768" i="1"/>
  <c r="C768" i="1"/>
  <c r="B768" i="1"/>
  <c r="A768" i="1"/>
  <c r="E767" i="1"/>
  <c r="D767" i="1"/>
  <c r="C767" i="1"/>
  <c r="B767" i="1"/>
  <c r="A767" i="1"/>
  <c r="E766" i="1"/>
  <c r="D766" i="1"/>
  <c r="C766" i="1"/>
  <c r="B766" i="1"/>
  <c r="A766" i="1"/>
  <c r="E765" i="1"/>
  <c r="D765" i="1"/>
  <c r="C765" i="1"/>
  <c r="B765" i="1"/>
  <c r="A765" i="1"/>
  <c r="E764" i="1"/>
  <c r="D764" i="1"/>
  <c r="C764" i="1"/>
  <c r="B764" i="1"/>
  <c r="A764" i="1"/>
  <c r="E763" i="1"/>
  <c r="D763" i="1"/>
  <c r="C763" i="1"/>
  <c r="B763" i="1"/>
  <c r="A763" i="1"/>
  <c r="E762" i="1"/>
  <c r="D762" i="1"/>
  <c r="C762" i="1"/>
  <c r="B762" i="1"/>
  <c r="A762" i="1"/>
  <c r="E761" i="1"/>
  <c r="D761" i="1"/>
  <c r="C761" i="1"/>
  <c r="B761" i="1"/>
  <c r="A761" i="1"/>
  <c r="E760" i="1"/>
  <c r="D760" i="1"/>
  <c r="C760" i="1"/>
  <c r="B760" i="1"/>
  <c r="A760" i="1"/>
  <c r="E759" i="1"/>
  <c r="D759" i="1"/>
  <c r="C759" i="1"/>
  <c r="B759" i="1"/>
  <c r="A759" i="1"/>
  <c r="E758" i="1"/>
  <c r="D758" i="1"/>
  <c r="C758" i="1"/>
  <c r="B758" i="1"/>
  <c r="A758" i="1"/>
  <c r="E757" i="1"/>
  <c r="D757" i="1"/>
  <c r="C757" i="1"/>
  <c r="B757" i="1"/>
  <c r="A757" i="1"/>
  <c r="E756" i="1"/>
  <c r="D756" i="1"/>
  <c r="C756" i="1"/>
  <c r="B756" i="1"/>
  <c r="A756" i="1"/>
  <c r="E755" i="1"/>
  <c r="D755" i="1"/>
  <c r="C755" i="1"/>
  <c r="B755" i="1"/>
  <c r="A755" i="1"/>
  <c r="E754" i="1"/>
  <c r="D754" i="1"/>
  <c r="C754" i="1"/>
  <c r="B754" i="1"/>
  <c r="A754" i="1"/>
  <c r="E753" i="1"/>
  <c r="D753" i="1"/>
  <c r="C753" i="1"/>
  <c r="B753" i="1"/>
  <c r="A753" i="1"/>
  <c r="E752" i="1"/>
  <c r="D752" i="1"/>
  <c r="C752" i="1"/>
  <c r="B752" i="1"/>
  <c r="A752" i="1"/>
  <c r="E751" i="1"/>
  <c r="D751" i="1"/>
  <c r="C751" i="1"/>
  <c r="B751" i="1"/>
  <c r="A751" i="1"/>
  <c r="E750" i="1"/>
  <c r="D750" i="1"/>
  <c r="C750" i="1"/>
  <c r="B750" i="1"/>
  <c r="A750" i="1"/>
  <c r="E749" i="1"/>
  <c r="D749" i="1"/>
  <c r="C749" i="1"/>
  <c r="B749" i="1"/>
  <c r="A749" i="1"/>
  <c r="E748" i="1"/>
  <c r="D748" i="1"/>
  <c r="C748" i="1"/>
  <c r="B748" i="1"/>
  <c r="A748" i="1"/>
  <c r="E747" i="1"/>
  <c r="D747" i="1"/>
  <c r="C747" i="1"/>
  <c r="B747" i="1"/>
  <c r="A747" i="1"/>
  <c r="E746" i="1"/>
  <c r="D746" i="1"/>
  <c r="C746" i="1"/>
  <c r="B746" i="1"/>
  <c r="A746" i="1"/>
  <c r="E745" i="1"/>
  <c r="D745" i="1"/>
  <c r="C745" i="1"/>
  <c r="B745" i="1"/>
  <c r="A745" i="1"/>
  <c r="E744" i="1"/>
  <c r="D744" i="1"/>
  <c r="C744" i="1"/>
  <c r="B744" i="1"/>
  <c r="A744" i="1"/>
  <c r="E743" i="1"/>
  <c r="D743" i="1"/>
  <c r="C743" i="1"/>
  <c r="B743" i="1"/>
  <c r="A743" i="1"/>
  <c r="E742" i="1"/>
  <c r="D742" i="1"/>
  <c r="C742" i="1"/>
  <c r="B742" i="1"/>
  <c r="A742" i="1"/>
  <c r="E741" i="1"/>
  <c r="D741" i="1"/>
  <c r="C741" i="1"/>
  <c r="B741" i="1"/>
  <c r="A741" i="1"/>
  <c r="E740" i="1"/>
  <c r="D740" i="1"/>
  <c r="C740" i="1"/>
  <c r="B740" i="1"/>
  <c r="A740" i="1"/>
  <c r="E739" i="1"/>
  <c r="D739" i="1"/>
  <c r="C739" i="1"/>
  <c r="B739" i="1"/>
  <c r="A739" i="1"/>
  <c r="E738" i="1"/>
  <c r="D738" i="1"/>
  <c r="C738" i="1"/>
  <c r="B738" i="1"/>
  <c r="A738" i="1"/>
  <c r="E737" i="1"/>
  <c r="D737" i="1"/>
  <c r="C737" i="1"/>
  <c r="B737" i="1"/>
  <c r="A737" i="1"/>
  <c r="E736" i="1"/>
  <c r="D736" i="1"/>
  <c r="C736" i="1"/>
  <c r="B736" i="1"/>
  <c r="A736" i="1"/>
  <c r="E735" i="1"/>
  <c r="D735" i="1"/>
  <c r="C735" i="1"/>
  <c r="B735" i="1"/>
  <c r="A735" i="1"/>
  <c r="E734" i="1"/>
  <c r="D734" i="1"/>
  <c r="C734" i="1"/>
  <c r="B734" i="1"/>
  <c r="A734" i="1"/>
  <c r="E733" i="1"/>
  <c r="D733" i="1"/>
  <c r="C733" i="1"/>
  <c r="B733" i="1"/>
  <c r="A733" i="1"/>
  <c r="E732" i="1"/>
  <c r="D732" i="1"/>
  <c r="C732" i="1"/>
  <c r="B732" i="1"/>
  <c r="A732" i="1"/>
  <c r="E731" i="1"/>
  <c r="D731" i="1"/>
  <c r="C731" i="1"/>
  <c r="B731" i="1"/>
  <c r="A731" i="1"/>
  <c r="E730" i="1"/>
  <c r="D730" i="1"/>
  <c r="C730" i="1"/>
  <c r="B730" i="1"/>
  <c r="A730" i="1"/>
  <c r="E729" i="1"/>
  <c r="D729" i="1"/>
  <c r="C729" i="1"/>
  <c r="B729" i="1"/>
  <c r="A729" i="1"/>
  <c r="E728" i="1"/>
  <c r="D728" i="1"/>
  <c r="C728" i="1"/>
  <c r="B728" i="1"/>
  <c r="A728" i="1"/>
  <c r="E727" i="1"/>
  <c r="D727" i="1"/>
  <c r="C727" i="1"/>
  <c r="B727" i="1"/>
  <c r="A727" i="1"/>
  <c r="E726" i="1"/>
  <c r="D726" i="1"/>
  <c r="C726" i="1"/>
  <c r="B726" i="1"/>
  <c r="A726" i="1"/>
  <c r="E725" i="1"/>
  <c r="D725" i="1"/>
  <c r="C725" i="1"/>
  <c r="B725" i="1"/>
  <c r="A725" i="1"/>
  <c r="E724" i="1"/>
  <c r="D724" i="1"/>
  <c r="C724" i="1"/>
  <c r="B724" i="1"/>
  <c r="A724" i="1"/>
  <c r="E723" i="1"/>
  <c r="D723" i="1"/>
  <c r="C723" i="1"/>
  <c r="B723" i="1"/>
  <c r="A723" i="1"/>
  <c r="E722" i="1"/>
  <c r="D722" i="1"/>
  <c r="C722" i="1"/>
  <c r="B722" i="1"/>
  <c r="A722" i="1"/>
  <c r="E721" i="1"/>
  <c r="D721" i="1"/>
  <c r="C721" i="1"/>
  <c r="B721" i="1"/>
  <c r="A721" i="1"/>
  <c r="E720" i="1"/>
  <c r="D720" i="1"/>
  <c r="C720" i="1"/>
  <c r="B720" i="1"/>
  <c r="A720" i="1"/>
  <c r="E719" i="1"/>
  <c r="D719" i="1"/>
  <c r="C719" i="1"/>
  <c r="B719" i="1"/>
  <c r="A719" i="1"/>
  <c r="E718" i="1"/>
  <c r="D718" i="1"/>
  <c r="C718" i="1"/>
  <c r="B718" i="1"/>
  <c r="A718" i="1"/>
  <c r="E717" i="1"/>
  <c r="D717" i="1"/>
  <c r="C717" i="1"/>
  <c r="B717" i="1"/>
  <c r="A717" i="1"/>
  <c r="E716" i="1"/>
  <c r="D716" i="1"/>
  <c r="C716" i="1"/>
  <c r="B716" i="1"/>
  <c r="A716" i="1"/>
  <c r="E715" i="1"/>
  <c r="D715" i="1"/>
  <c r="C715" i="1"/>
  <c r="B715" i="1"/>
  <c r="A715" i="1"/>
  <c r="E714" i="1"/>
  <c r="D714" i="1"/>
  <c r="C714" i="1"/>
  <c r="B714" i="1"/>
  <c r="A714" i="1"/>
  <c r="E713" i="1"/>
  <c r="D713" i="1"/>
  <c r="C713" i="1"/>
  <c r="B713" i="1"/>
  <c r="A713" i="1"/>
  <c r="E712" i="1"/>
  <c r="D712" i="1"/>
  <c r="C712" i="1"/>
  <c r="B712" i="1"/>
  <c r="A712" i="1"/>
  <c r="E711" i="1"/>
  <c r="D711" i="1"/>
  <c r="C711" i="1"/>
  <c r="B711" i="1"/>
  <c r="A711" i="1"/>
  <c r="E710" i="1"/>
  <c r="D710" i="1"/>
  <c r="C710" i="1"/>
  <c r="B710" i="1"/>
  <c r="A710" i="1"/>
  <c r="E709" i="1"/>
  <c r="D709" i="1"/>
  <c r="C709" i="1"/>
  <c r="B709" i="1"/>
  <c r="A709" i="1"/>
  <c r="E708" i="1"/>
  <c r="D708" i="1"/>
  <c r="C708" i="1"/>
  <c r="B708" i="1"/>
  <c r="A708" i="1"/>
  <c r="E707" i="1"/>
  <c r="D707" i="1"/>
  <c r="C707" i="1"/>
  <c r="B707" i="1"/>
  <c r="A707" i="1"/>
  <c r="E706" i="1"/>
  <c r="D706" i="1"/>
  <c r="C706" i="1"/>
  <c r="B706" i="1"/>
  <c r="A706" i="1"/>
  <c r="E705" i="1"/>
  <c r="D705" i="1"/>
  <c r="C705" i="1"/>
  <c r="B705" i="1"/>
  <c r="A705" i="1"/>
  <c r="E704" i="1"/>
  <c r="D704" i="1"/>
  <c r="C704" i="1"/>
  <c r="B704" i="1"/>
  <c r="A704" i="1"/>
  <c r="E703" i="1"/>
  <c r="D703" i="1"/>
  <c r="C703" i="1"/>
  <c r="B703" i="1"/>
  <c r="A703" i="1"/>
  <c r="E702" i="1"/>
  <c r="D702" i="1"/>
  <c r="C702" i="1"/>
  <c r="B702" i="1"/>
  <c r="A702" i="1"/>
  <c r="E701" i="1"/>
  <c r="D701" i="1"/>
  <c r="C701" i="1"/>
  <c r="B701" i="1"/>
  <c r="A701" i="1"/>
  <c r="E700" i="1"/>
  <c r="D700" i="1"/>
  <c r="C700" i="1"/>
  <c r="B700" i="1"/>
  <c r="A700" i="1"/>
  <c r="E699" i="1"/>
  <c r="D699" i="1"/>
  <c r="C699" i="1"/>
  <c r="B699" i="1"/>
  <c r="A699" i="1"/>
  <c r="E698" i="1"/>
  <c r="D698" i="1"/>
  <c r="C698" i="1"/>
  <c r="B698" i="1"/>
  <c r="A698" i="1"/>
  <c r="E697" i="1"/>
  <c r="D697" i="1"/>
  <c r="C697" i="1"/>
  <c r="B697" i="1"/>
  <c r="A697" i="1"/>
  <c r="E696" i="1"/>
  <c r="D696" i="1"/>
  <c r="C696" i="1"/>
  <c r="B696" i="1"/>
  <c r="A696" i="1"/>
  <c r="E695" i="1"/>
  <c r="D695" i="1"/>
  <c r="C695" i="1"/>
  <c r="B695" i="1"/>
  <c r="A695" i="1"/>
  <c r="E694" i="1"/>
  <c r="D694" i="1"/>
  <c r="C694" i="1"/>
  <c r="B694" i="1"/>
  <c r="A694" i="1"/>
  <c r="E693" i="1"/>
  <c r="D693" i="1"/>
  <c r="C693" i="1"/>
  <c r="B693" i="1"/>
  <c r="A693" i="1"/>
  <c r="E692" i="1"/>
  <c r="D692" i="1"/>
  <c r="C692" i="1"/>
  <c r="B692" i="1"/>
  <c r="A692" i="1"/>
  <c r="E691" i="1"/>
  <c r="D691" i="1"/>
  <c r="C691" i="1"/>
  <c r="B691" i="1"/>
  <c r="A691" i="1"/>
  <c r="E690" i="1"/>
  <c r="D690" i="1"/>
  <c r="C690" i="1"/>
  <c r="B690" i="1"/>
  <c r="A690" i="1"/>
  <c r="E689" i="1"/>
  <c r="D689" i="1"/>
  <c r="C689" i="1"/>
  <c r="B689" i="1"/>
  <c r="A689" i="1"/>
  <c r="E688" i="1"/>
  <c r="D688" i="1"/>
  <c r="C688" i="1"/>
  <c r="B688" i="1"/>
  <c r="A688" i="1"/>
  <c r="E687" i="1"/>
  <c r="D687" i="1"/>
  <c r="C687" i="1"/>
  <c r="B687" i="1"/>
  <c r="A687" i="1"/>
  <c r="E686" i="1"/>
  <c r="D686" i="1"/>
  <c r="C686" i="1"/>
  <c r="B686" i="1"/>
  <c r="A686" i="1"/>
  <c r="E685" i="1"/>
  <c r="D685" i="1"/>
  <c r="C685" i="1"/>
  <c r="B685" i="1"/>
  <c r="A685" i="1"/>
  <c r="E684" i="1"/>
  <c r="D684" i="1"/>
  <c r="C684" i="1"/>
  <c r="B684" i="1"/>
  <c r="A684" i="1"/>
  <c r="E683" i="1"/>
  <c r="D683" i="1"/>
  <c r="C683" i="1"/>
  <c r="B683" i="1"/>
  <c r="A683" i="1"/>
  <c r="E682" i="1"/>
  <c r="D682" i="1"/>
  <c r="C682" i="1"/>
  <c r="B682" i="1"/>
  <c r="A682" i="1"/>
  <c r="E681" i="1"/>
  <c r="D681" i="1"/>
  <c r="C681" i="1"/>
  <c r="B681" i="1"/>
  <c r="A681" i="1"/>
  <c r="E680" i="1"/>
  <c r="D680" i="1"/>
  <c r="C680" i="1"/>
  <c r="B680" i="1"/>
  <c r="A680" i="1"/>
  <c r="E679" i="1"/>
  <c r="D679" i="1"/>
  <c r="C679" i="1"/>
  <c r="B679" i="1"/>
  <c r="A679" i="1"/>
  <c r="E678" i="1"/>
  <c r="D678" i="1"/>
  <c r="C678" i="1"/>
  <c r="B678" i="1"/>
  <c r="A678" i="1"/>
  <c r="E677" i="1"/>
  <c r="D677" i="1"/>
  <c r="C677" i="1"/>
  <c r="B677" i="1"/>
  <c r="A677" i="1"/>
  <c r="E676" i="1"/>
  <c r="D676" i="1"/>
  <c r="C676" i="1"/>
  <c r="B676" i="1"/>
  <c r="A676" i="1"/>
  <c r="E675" i="1"/>
  <c r="D675" i="1"/>
  <c r="C675" i="1"/>
  <c r="B675" i="1"/>
  <c r="A675" i="1"/>
  <c r="E674" i="1"/>
  <c r="D674" i="1"/>
  <c r="C674" i="1"/>
  <c r="B674" i="1"/>
  <c r="A674" i="1"/>
  <c r="E673" i="1"/>
  <c r="D673" i="1"/>
  <c r="C673" i="1"/>
  <c r="B673" i="1"/>
  <c r="A673" i="1"/>
  <c r="E672" i="1"/>
  <c r="D672" i="1"/>
  <c r="C672" i="1"/>
  <c r="B672" i="1"/>
  <c r="A672" i="1"/>
  <c r="E671" i="1"/>
  <c r="D671" i="1"/>
  <c r="C671" i="1"/>
  <c r="B671" i="1"/>
  <c r="A671" i="1"/>
  <c r="E670" i="1"/>
  <c r="D670" i="1"/>
  <c r="C670" i="1"/>
  <c r="B670" i="1"/>
  <c r="A670" i="1"/>
  <c r="E669" i="1"/>
  <c r="D669" i="1"/>
  <c r="C669" i="1"/>
  <c r="B669" i="1"/>
  <c r="A669" i="1"/>
  <c r="E668" i="1"/>
  <c r="D668" i="1"/>
  <c r="C668" i="1"/>
  <c r="B668" i="1"/>
  <c r="A668" i="1"/>
  <c r="E667" i="1"/>
  <c r="D667" i="1"/>
  <c r="C667" i="1"/>
  <c r="B667" i="1"/>
  <c r="A667" i="1"/>
  <c r="E666" i="1"/>
  <c r="D666" i="1"/>
  <c r="C666" i="1"/>
  <c r="B666" i="1"/>
  <c r="A666" i="1"/>
  <c r="E665" i="1"/>
  <c r="D665" i="1"/>
  <c r="C665" i="1"/>
  <c r="B665" i="1"/>
  <c r="A665" i="1"/>
  <c r="E664" i="1"/>
  <c r="D664" i="1"/>
  <c r="C664" i="1"/>
  <c r="B664" i="1"/>
  <c r="A664" i="1"/>
  <c r="E663" i="1"/>
  <c r="D663" i="1"/>
  <c r="C663" i="1"/>
  <c r="B663" i="1"/>
  <c r="A663" i="1"/>
  <c r="E662" i="1"/>
  <c r="D662" i="1"/>
  <c r="C662" i="1"/>
  <c r="B662" i="1"/>
  <c r="A662" i="1"/>
  <c r="E661" i="1"/>
  <c r="D661" i="1"/>
  <c r="C661" i="1"/>
  <c r="B661" i="1"/>
  <c r="A661" i="1"/>
  <c r="E660" i="1"/>
  <c r="D660" i="1"/>
  <c r="C660" i="1"/>
  <c r="B660" i="1"/>
  <c r="A660" i="1"/>
  <c r="E659" i="1"/>
  <c r="D659" i="1"/>
  <c r="C659" i="1"/>
  <c r="B659" i="1"/>
  <c r="A659" i="1"/>
  <c r="E658" i="1"/>
  <c r="D658" i="1"/>
  <c r="C658" i="1"/>
  <c r="B658" i="1"/>
  <c r="A658" i="1"/>
  <c r="E657" i="1"/>
  <c r="D657" i="1"/>
  <c r="C657" i="1"/>
  <c r="B657" i="1"/>
  <c r="A657" i="1"/>
  <c r="E656" i="1"/>
  <c r="D656" i="1"/>
  <c r="C656" i="1"/>
  <c r="B656" i="1"/>
  <c r="A656" i="1"/>
  <c r="E655" i="1"/>
  <c r="D655" i="1"/>
  <c r="C655" i="1"/>
  <c r="B655" i="1"/>
  <c r="A655" i="1"/>
  <c r="E654" i="1"/>
  <c r="D654" i="1"/>
  <c r="C654" i="1"/>
  <c r="B654" i="1"/>
  <c r="A654" i="1"/>
  <c r="E653" i="1"/>
  <c r="D653" i="1"/>
  <c r="C653" i="1"/>
  <c r="B653" i="1"/>
  <c r="A653" i="1"/>
  <c r="E652" i="1"/>
  <c r="D652" i="1"/>
  <c r="C652" i="1"/>
  <c r="B652" i="1"/>
  <c r="A652" i="1"/>
  <c r="E651" i="1"/>
  <c r="D651" i="1"/>
  <c r="C651" i="1"/>
  <c r="B651" i="1"/>
  <c r="A651" i="1"/>
  <c r="E650" i="1"/>
  <c r="D650" i="1"/>
  <c r="C650" i="1"/>
  <c r="B650" i="1"/>
  <c r="A650" i="1"/>
  <c r="E649" i="1"/>
  <c r="D649" i="1"/>
  <c r="C649" i="1"/>
  <c r="B649" i="1"/>
  <c r="A649" i="1"/>
  <c r="E648" i="1"/>
  <c r="D648" i="1"/>
  <c r="C648" i="1"/>
  <c r="B648" i="1"/>
  <c r="A648" i="1"/>
  <c r="E647" i="1"/>
  <c r="D647" i="1"/>
  <c r="C647" i="1"/>
  <c r="B647" i="1"/>
  <c r="A647" i="1"/>
  <c r="E646" i="1"/>
  <c r="D646" i="1"/>
  <c r="C646" i="1"/>
  <c r="B646" i="1"/>
  <c r="A646" i="1"/>
  <c r="E645" i="1"/>
  <c r="D645" i="1"/>
  <c r="C645" i="1"/>
  <c r="B645" i="1"/>
  <c r="A645" i="1"/>
  <c r="E644" i="1"/>
  <c r="D644" i="1"/>
  <c r="C644" i="1"/>
  <c r="B644" i="1"/>
  <c r="A644" i="1"/>
  <c r="E643" i="1"/>
  <c r="D643" i="1"/>
  <c r="C643" i="1"/>
  <c r="B643" i="1"/>
  <c r="A643" i="1"/>
  <c r="E642" i="1"/>
  <c r="D642" i="1"/>
  <c r="C642" i="1"/>
  <c r="B642" i="1"/>
  <c r="A642" i="1"/>
  <c r="E641" i="1"/>
  <c r="D641" i="1"/>
  <c r="C641" i="1"/>
  <c r="B641" i="1"/>
  <c r="A641" i="1"/>
  <c r="E640" i="1"/>
  <c r="D640" i="1"/>
  <c r="C640" i="1"/>
  <c r="B640" i="1"/>
  <c r="A640" i="1"/>
  <c r="E639" i="1"/>
  <c r="D639" i="1"/>
  <c r="C639" i="1"/>
  <c r="B639" i="1"/>
  <c r="A639" i="1"/>
  <c r="E638" i="1"/>
  <c r="D638" i="1"/>
  <c r="C638" i="1"/>
  <c r="B638" i="1"/>
  <c r="A638" i="1"/>
  <c r="E637" i="1"/>
  <c r="D637" i="1"/>
  <c r="C637" i="1"/>
  <c r="B637" i="1"/>
  <c r="A637" i="1"/>
  <c r="E636" i="1"/>
  <c r="D636" i="1"/>
  <c r="C636" i="1"/>
  <c r="B636" i="1"/>
  <c r="A636" i="1"/>
  <c r="E635" i="1"/>
  <c r="D635" i="1"/>
  <c r="C635" i="1"/>
  <c r="B635" i="1"/>
  <c r="A635" i="1"/>
  <c r="E634" i="1"/>
  <c r="D634" i="1"/>
  <c r="C634" i="1"/>
  <c r="B634" i="1"/>
  <c r="A634" i="1"/>
  <c r="E633" i="1"/>
  <c r="D633" i="1"/>
  <c r="C633" i="1"/>
  <c r="B633" i="1"/>
  <c r="A633" i="1"/>
  <c r="E632" i="1"/>
  <c r="D632" i="1"/>
  <c r="C632" i="1"/>
  <c r="B632" i="1"/>
  <c r="A632" i="1"/>
  <c r="E631" i="1"/>
  <c r="D631" i="1"/>
  <c r="C631" i="1"/>
  <c r="B631" i="1"/>
  <c r="A631" i="1"/>
  <c r="E630" i="1"/>
  <c r="D630" i="1"/>
  <c r="C630" i="1"/>
  <c r="B630" i="1"/>
  <c r="A630" i="1"/>
  <c r="E629" i="1"/>
  <c r="D629" i="1"/>
  <c r="C629" i="1"/>
  <c r="B629" i="1"/>
  <c r="A629" i="1"/>
  <c r="E628" i="1"/>
  <c r="D628" i="1"/>
  <c r="C628" i="1"/>
  <c r="B628" i="1"/>
  <c r="A628" i="1"/>
  <c r="E627" i="1"/>
  <c r="D627" i="1"/>
  <c r="C627" i="1"/>
  <c r="B627" i="1"/>
  <c r="A627" i="1"/>
  <c r="E626" i="1"/>
  <c r="D626" i="1"/>
  <c r="C626" i="1"/>
  <c r="B626" i="1"/>
  <c r="A626" i="1"/>
  <c r="E625" i="1"/>
  <c r="D625" i="1"/>
  <c r="C625" i="1"/>
  <c r="B625" i="1"/>
  <c r="A625" i="1"/>
  <c r="E624" i="1"/>
  <c r="D624" i="1"/>
  <c r="C624" i="1"/>
  <c r="B624" i="1"/>
  <c r="A624" i="1"/>
  <c r="E623" i="1"/>
  <c r="D623" i="1"/>
  <c r="C623" i="1"/>
  <c r="B623" i="1"/>
  <c r="A623" i="1"/>
  <c r="E622" i="1"/>
  <c r="D622" i="1"/>
  <c r="C622" i="1"/>
  <c r="B622" i="1"/>
  <c r="A622" i="1"/>
  <c r="E621" i="1"/>
  <c r="D621" i="1"/>
  <c r="C621" i="1"/>
  <c r="B621" i="1"/>
  <c r="A621" i="1"/>
  <c r="E620" i="1"/>
  <c r="D620" i="1"/>
  <c r="C620" i="1"/>
  <c r="B620" i="1"/>
  <c r="A620" i="1"/>
  <c r="E619" i="1"/>
  <c r="D619" i="1"/>
  <c r="C619" i="1"/>
  <c r="B619" i="1"/>
  <c r="A619" i="1"/>
  <c r="E618" i="1"/>
  <c r="D618" i="1"/>
  <c r="C618" i="1"/>
  <c r="B618" i="1"/>
  <c r="A618" i="1"/>
  <c r="E617" i="1"/>
  <c r="D617" i="1"/>
  <c r="C617" i="1"/>
  <c r="B617" i="1"/>
  <c r="A617" i="1"/>
  <c r="E616" i="1"/>
  <c r="D616" i="1"/>
  <c r="C616" i="1"/>
  <c r="B616" i="1"/>
  <c r="A616" i="1"/>
  <c r="E615" i="1"/>
  <c r="D615" i="1"/>
  <c r="C615" i="1"/>
  <c r="B615" i="1"/>
  <c r="A615" i="1"/>
  <c r="E614" i="1"/>
  <c r="D614" i="1"/>
  <c r="C614" i="1"/>
  <c r="B614" i="1"/>
  <c r="A614" i="1"/>
  <c r="E613" i="1"/>
  <c r="D613" i="1"/>
  <c r="C613" i="1"/>
  <c r="B613" i="1"/>
  <c r="A613" i="1"/>
  <c r="E612" i="1"/>
  <c r="D612" i="1"/>
  <c r="C612" i="1"/>
  <c r="B612" i="1"/>
  <c r="A612" i="1"/>
  <c r="E611" i="1"/>
  <c r="D611" i="1"/>
  <c r="C611" i="1"/>
  <c r="B611" i="1"/>
  <c r="A611" i="1"/>
  <c r="E610" i="1"/>
  <c r="D610" i="1"/>
  <c r="C610" i="1"/>
  <c r="B610" i="1"/>
  <c r="A610" i="1"/>
  <c r="E609" i="1"/>
  <c r="D609" i="1"/>
  <c r="C609" i="1"/>
  <c r="B609" i="1"/>
  <c r="A609" i="1"/>
  <c r="E608" i="1"/>
  <c r="D608" i="1"/>
  <c r="C608" i="1"/>
  <c r="B608" i="1"/>
  <c r="A608" i="1"/>
  <c r="E607" i="1"/>
  <c r="D607" i="1"/>
  <c r="C607" i="1"/>
  <c r="B607" i="1"/>
  <c r="A607" i="1"/>
  <c r="E606" i="1"/>
  <c r="D606" i="1"/>
  <c r="C606" i="1"/>
  <c r="B606" i="1"/>
  <c r="A606" i="1"/>
  <c r="E605" i="1"/>
  <c r="D605" i="1"/>
  <c r="C605" i="1"/>
  <c r="B605" i="1"/>
  <c r="A605" i="1"/>
  <c r="E604" i="1"/>
  <c r="D604" i="1"/>
  <c r="C604" i="1"/>
  <c r="B604" i="1"/>
  <c r="A604" i="1"/>
  <c r="E603" i="1"/>
  <c r="D603" i="1"/>
  <c r="C603" i="1"/>
  <c r="B603" i="1"/>
  <c r="A603" i="1"/>
  <c r="E602" i="1"/>
  <c r="D602" i="1"/>
  <c r="C602" i="1"/>
  <c r="B602" i="1"/>
  <c r="A602" i="1"/>
  <c r="E601" i="1"/>
  <c r="D601" i="1"/>
  <c r="C601" i="1"/>
  <c r="B601" i="1"/>
  <c r="A601" i="1"/>
  <c r="E600" i="1"/>
  <c r="D600" i="1"/>
  <c r="C600" i="1"/>
  <c r="B600" i="1"/>
  <c r="A600" i="1"/>
  <c r="E599" i="1"/>
  <c r="D599" i="1"/>
  <c r="C599" i="1"/>
  <c r="B599" i="1"/>
  <c r="A599" i="1"/>
  <c r="E598" i="1"/>
  <c r="D598" i="1"/>
  <c r="C598" i="1"/>
  <c r="B598" i="1"/>
  <c r="A598" i="1"/>
  <c r="E597" i="1"/>
  <c r="D597" i="1"/>
  <c r="C597" i="1"/>
  <c r="B597" i="1"/>
  <c r="A597" i="1"/>
  <c r="E596" i="1"/>
  <c r="D596" i="1"/>
  <c r="C596" i="1"/>
  <c r="B596" i="1"/>
  <c r="A596" i="1"/>
  <c r="E595" i="1"/>
  <c r="D595" i="1"/>
  <c r="C595" i="1"/>
  <c r="B595" i="1"/>
  <c r="A595" i="1"/>
  <c r="E594" i="1"/>
  <c r="D594" i="1"/>
  <c r="C594" i="1"/>
  <c r="B594" i="1"/>
  <c r="A594" i="1"/>
  <c r="E593" i="1"/>
  <c r="D593" i="1"/>
  <c r="C593" i="1"/>
  <c r="B593" i="1"/>
  <c r="A593" i="1"/>
  <c r="E592" i="1"/>
  <c r="D592" i="1"/>
  <c r="C592" i="1"/>
  <c r="B592" i="1"/>
  <c r="A592" i="1"/>
  <c r="E591" i="1"/>
  <c r="D591" i="1"/>
  <c r="C591" i="1"/>
  <c r="B591" i="1"/>
  <c r="A591" i="1"/>
  <c r="E590" i="1"/>
  <c r="D590" i="1"/>
  <c r="C590" i="1"/>
  <c r="B590" i="1"/>
  <c r="A590" i="1"/>
  <c r="E589" i="1"/>
  <c r="D589" i="1"/>
  <c r="C589" i="1"/>
  <c r="B589" i="1"/>
  <c r="A589" i="1"/>
  <c r="E588" i="1"/>
  <c r="D588" i="1"/>
  <c r="C588" i="1"/>
  <c r="B588" i="1"/>
  <c r="A588" i="1"/>
  <c r="E587" i="1"/>
  <c r="D587" i="1"/>
  <c r="C587" i="1"/>
  <c r="B587" i="1"/>
  <c r="A587" i="1"/>
  <c r="E586" i="1"/>
  <c r="D586" i="1"/>
  <c r="C586" i="1"/>
  <c r="B586" i="1"/>
  <c r="A586" i="1"/>
  <c r="E585" i="1"/>
  <c r="D585" i="1"/>
  <c r="C585" i="1"/>
  <c r="B585" i="1"/>
  <c r="A585" i="1"/>
  <c r="E584" i="1"/>
  <c r="D584" i="1"/>
  <c r="C584" i="1"/>
  <c r="B584" i="1"/>
  <c r="A584" i="1"/>
  <c r="E583" i="1"/>
  <c r="D583" i="1"/>
  <c r="C583" i="1"/>
  <c r="B583" i="1"/>
  <c r="A583" i="1"/>
  <c r="E582" i="1"/>
  <c r="D582" i="1"/>
  <c r="C582" i="1"/>
  <c r="B582" i="1"/>
  <c r="A582" i="1"/>
  <c r="E581" i="1"/>
  <c r="D581" i="1"/>
  <c r="C581" i="1"/>
  <c r="B581" i="1"/>
  <c r="A581" i="1"/>
  <c r="E580" i="1"/>
  <c r="D580" i="1"/>
  <c r="C580" i="1"/>
  <c r="B580" i="1"/>
  <c r="A580" i="1"/>
  <c r="E579" i="1"/>
  <c r="D579" i="1"/>
  <c r="C579" i="1"/>
  <c r="B579" i="1"/>
  <c r="A579" i="1"/>
  <c r="E578" i="1"/>
  <c r="D578" i="1"/>
  <c r="C578" i="1"/>
  <c r="B578" i="1"/>
  <c r="A578" i="1"/>
  <c r="E577" i="1"/>
  <c r="D577" i="1"/>
  <c r="C577" i="1"/>
  <c r="B577" i="1"/>
  <c r="A577" i="1"/>
  <c r="E576" i="1"/>
  <c r="D576" i="1"/>
  <c r="C576" i="1"/>
  <c r="B576" i="1"/>
  <c r="A576" i="1"/>
  <c r="E575" i="1"/>
  <c r="D575" i="1"/>
  <c r="C575" i="1"/>
  <c r="B575" i="1"/>
  <c r="A575" i="1"/>
  <c r="E574" i="1"/>
  <c r="D574" i="1"/>
  <c r="C574" i="1"/>
  <c r="B574" i="1"/>
  <c r="A574" i="1"/>
  <c r="E573" i="1"/>
  <c r="D573" i="1"/>
  <c r="C573" i="1"/>
  <c r="B573" i="1"/>
  <c r="A573" i="1"/>
  <c r="E572" i="1"/>
  <c r="D572" i="1"/>
  <c r="C572" i="1"/>
  <c r="B572" i="1"/>
  <c r="A572" i="1"/>
  <c r="E571" i="1"/>
  <c r="D571" i="1"/>
  <c r="C571" i="1"/>
  <c r="B571" i="1"/>
  <c r="A571" i="1"/>
  <c r="E570" i="1"/>
  <c r="D570" i="1"/>
  <c r="C570" i="1"/>
  <c r="B570" i="1"/>
  <c r="A570" i="1"/>
  <c r="E569" i="1"/>
  <c r="D569" i="1"/>
  <c r="C569" i="1"/>
  <c r="B569" i="1"/>
  <c r="A569" i="1"/>
  <c r="E568" i="1"/>
  <c r="D568" i="1"/>
  <c r="C568" i="1"/>
  <c r="B568" i="1"/>
  <c r="A568" i="1"/>
  <c r="E567" i="1"/>
  <c r="D567" i="1"/>
  <c r="C567" i="1"/>
  <c r="B567" i="1"/>
  <c r="A567" i="1"/>
  <c r="E566" i="1"/>
  <c r="D566" i="1"/>
  <c r="C566" i="1"/>
  <c r="B566" i="1"/>
  <c r="A566" i="1"/>
  <c r="E565" i="1"/>
  <c r="D565" i="1"/>
  <c r="C565" i="1"/>
  <c r="B565" i="1"/>
  <c r="A565" i="1"/>
  <c r="E564" i="1"/>
  <c r="D564" i="1"/>
  <c r="C564" i="1"/>
  <c r="B564" i="1"/>
  <c r="A564" i="1"/>
  <c r="E563" i="1"/>
  <c r="D563" i="1"/>
  <c r="C563" i="1"/>
  <c r="B563" i="1"/>
  <c r="A563" i="1"/>
  <c r="E562" i="1"/>
  <c r="D562" i="1"/>
  <c r="C562" i="1"/>
  <c r="B562" i="1"/>
  <c r="A562" i="1"/>
  <c r="E561" i="1"/>
  <c r="D561" i="1"/>
  <c r="C561" i="1"/>
  <c r="B561" i="1"/>
  <c r="A561" i="1"/>
  <c r="E560" i="1"/>
  <c r="D560" i="1"/>
  <c r="C560" i="1"/>
  <c r="B560" i="1"/>
  <c r="A560" i="1"/>
  <c r="E559" i="1"/>
  <c r="D559" i="1"/>
  <c r="C559" i="1"/>
  <c r="B559" i="1"/>
  <c r="A559" i="1"/>
  <c r="E558" i="1"/>
  <c r="D558" i="1"/>
  <c r="C558" i="1"/>
  <c r="B558" i="1"/>
  <c r="A558" i="1"/>
  <c r="E557" i="1"/>
  <c r="D557" i="1"/>
  <c r="C557" i="1"/>
  <c r="B557" i="1"/>
  <c r="A557" i="1"/>
  <c r="E556" i="1"/>
  <c r="D556" i="1"/>
  <c r="C556" i="1"/>
  <c r="B556" i="1"/>
  <c r="A556" i="1"/>
  <c r="E555" i="1"/>
  <c r="D555" i="1"/>
  <c r="C555" i="1"/>
  <c r="B555" i="1"/>
  <c r="A555" i="1"/>
  <c r="E554" i="1"/>
  <c r="D554" i="1"/>
  <c r="C554" i="1"/>
  <c r="B554" i="1"/>
  <c r="A554" i="1"/>
  <c r="E553" i="1"/>
  <c r="D553" i="1"/>
  <c r="C553" i="1"/>
  <c r="B553" i="1"/>
  <c r="A553" i="1"/>
  <c r="E552" i="1"/>
  <c r="D552" i="1"/>
  <c r="C552" i="1"/>
  <c r="B552" i="1"/>
  <c r="A552" i="1"/>
  <c r="E551" i="1"/>
  <c r="D551" i="1"/>
  <c r="C551" i="1"/>
  <c r="B551" i="1"/>
  <c r="A551" i="1"/>
  <c r="E550" i="1"/>
  <c r="D550" i="1"/>
  <c r="C550" i="1"/>
  <c r="B550" i="1"/>
  <c r="A550" i="1"/>
  <c r="E549" i="1"/>
  <c r="D549" i="1"/>
  <c r="C549" i="1"/>
  <c r="B549" i="1"/>
  <c r="A549" i="1"/>
  <c r="E548" i="1"/>
  <c r="D548" i="1"/>
  <c r="C548" i="1"/>
  <c r="B548" i="1"/>
  <c r="A548" i="1"/>
  <c r="E547" i="1"/>
  <c r="D547" i="1"/>
  <c r="C547" i="1"/>
  <c r="B547" i="1"/>
  <c r="A547" i="1"/>
  <c r="E546" i="1"/>
  <c r="D546" i="1"/>
  <c r="C546" i="1"/>
  <c r="B546" i="1"/>
  <c r="A546" i="1"/>
  <c r="E545" i="1"/>
  <c r="D545" i="1"/>
  <c r="C545" i="1"/>
  <c r="B545" i="1"/>
  <c r="A545" i="1"/>
  <c r="E544" i="1"/>
  <c r="D544" i="1"/>
  <c r="C544" i="1"/>
  <c r="B544" i="1"/>
  <c r="A544" i="1"/>
  <c r="E543" i="1"/>
  <c r="D543" i="1"/>
  <c r="C543" i="1"/>
  <c r="B543" i="1"/>
  <c r="A543" i="1"/>
  <c r="E542" i="1"/>
  <c r="D542" i="1"/>
  <c r="C542" i="1"/>
  <c r="B542" i="1"/>
  <c r="A542" i="1"/>
  <c r="E541" i="1"/>
  <c r="D541" i="1"/>
  <c r="C541" i="1"/>
  <c r="B541" i="1"/>
  <c r="A541" i="1"/>
  <c r="E540" i="1"/>
  <c r="D540" i="1"/>
  <c r="C540" i="1"/>
  <c r="B540" i="1"/>
  <c r="A540" i="1"/>
  <c r="E539" i="1"/>
  <c r="D539" i="1"/>
  <c r="C539" i="1"/>
  <c r="B539" i="1"/>
  <c r="A539" i="1"/>
  <c r="E538" i="1"/>
  <c r="D538" i="1"/>
  <c r="C538" i="1"/>
  <c r="B538" i="1"/>
  <c r="A538" i="1"/>
  <c r="E537" i="1"/>
  <c r="D537" i="1"/>
  <c r="C537" i="1"/>
  <c r="B537" i="1"/>
  <c r="A537" i="1"/>
  <c r="E536" i="1"/>
  <c r="D536" i="1"/>
  <c r="C536" i="1"/>
  <c r="B536" i="1"/>
  <c r="A536" i="1"/>
  <c r="E535" i="1"/>
  <c r="D535" i="1"/>
  <c r="C535" i="1"/>
  <c r="B535" i="1"/>
  <c r="A535" i="1"/>
  <c r="E534" i="1"/>
  <c r="D534" i="1"/>
  <c r="C534" i="1"/>
  <c r="B534" i="1"/>
  <c r="A534" i="1"/>
  <c r="E533" i="1"/>
  <c r="D533" i="1"/>
  <c r="C533" i="1"/>
  <c r="B533" i="1"/>
  <c r="A533" i="1"/>
  <c r="E532" i="1"/>
  <c r="D532" i="1"/>
  <c r="C532" i="1"/>
  <c r="B532" i="1"/>
  <c r="A532" i="1"/>
  <c r="E531" i="1"/>
  <c r="D531" i="1"/>
  <c r="C531" i="1"/>
  <c r="B531" i="1"/>
  <c r="A531" i="1"/>
  <c r="E530" i="1"/>
  <c r="D530" i="1"/>
  <c r="C530" i="1"/>
  <c r="B530" i="1"/>
  <c r="A530" i="1"/>
  <c r="E529" i="1"/>
  <c r="D529" i="1"/>
  <c r="C529" i="1"/>
  <c r="B529" i="1"/>
  <c r="A529" i="1"/>
  <c r="E528" i="1"/>
  <c r="D528" i="1"/>
  <c r="C528" i="1"/>
  <c r="B528" i="1"/>
  <c r="A528" i="1"/>
  <c r="E527" i="1"/>
  <c r="D527" i="1"/>
  <c r="C527" i="1"/>
  <c r="B527" i="1"/>
  <c r="A527" i="1"/>
  <c r="E526" i="1"/>
  <c r="D526" i="1"/>
  <c r="C526" i="1"/>
  <c r="B526" i="1"/>
  <c r="A526" i="1"/>
  <c r="E525" i="1"/>
  <c r="D525" i="1"/>
  <c r="C525" i="1"/>
  <c r="B525" i="1"/>
  <c r="A525" i="1"/>
  <c r="E524" i="1"/>
  <c r="D524" i="1"/>
  <c r="C524" i="1"/>
  <c r="B524" i="1"/>
  <c r="A524" i="1"/>
  <c r="E523" i="1"/>
  <c r="D523" i="1"/>
  <c r="C523" i="1"/>
  <c r="B523" i="1"/>
  <c r="A523" i="1"/>
  <c r="E522" i="1"/>
  <c r="D522" i="1"/>
  <c r="C522" i="1"/>
  <c r="B522" i="1"/>
  <c r="A522" i="1"/>
  <c r="E521" i="1"/>
  <c r="D521" i="1"/>
  <c r="C521" i="1"/>
  <c r="B521" i="1"/>
  <c r="A521" i="1"/>
  <c r="E520" i="1"/>
  <c r="D520" i="1"/>
  <c r="C520" i="1"/>
  <c r="B520" i="1"/>
  <c r="A520" i="1"/>
  <c r="E519" i="1"/>
  <c r="D519" i="1"/>
  <c r="C519" i="1"/>
  <c r="B519" i="1"/>
  <c r="A519" i="1"/>
  <c r="E518" i="1"/>
  <c r="D518" i="1"/>
  <c r="C518" i="1"/>
  <c r="B518" i="1"/>
  <c r="A518" i="1"/>
  <c r="E517" i="1"/>
  <c r="D517" i="1"/>
  <c r="C517" i="1"/>
  <c r="B517" i="1"/>
  <c r="A517" i="1"/>
  <c r="E516" i="1"/>
  <c r="D516" i="1"/>
  <c r="C516" i="1"/>
  <c r="B516" i="1"/>
  <c r="A516" i="1"/>
  <c r="E515" i="1"/>
  <c r="D515" i="1"/>
  <c r="C515" i="1"/>
  <c r="B515" i="1"/>
  <c r="A515" i="1"/>
  <c r="E514" i="1"/>
  <c r="D514" i="1"/>
  <c r="C514" i="1"/>
  <c r="B514" i="1"/>
  <c r="A514" i="1"/>
  <c r="E513" i="1"/>
  <c r="D513" i="1"/>
  <c r="C513" i="1"/>
  <c r="B513" i="1"/>
  <c r="A513" i="1"/>
  <c r="E512" i="1"/>
  <c r="D512" i="1"/>
  <c r="C512" i="1"/>
  <c r="B512" i="1"/>
  <c r="A512" i="1"/>
  <c r="E511" i="1"/>
  <c r="D511" i="1"/>
  <c r="C511" i="1"/>
  <c r="B511" i="1"/>
  <c r="A511" i="1"/>
  <c r="E510" i="1"/>
  <c r="D510" i="1"/>
  <c r="C510" i="1"/>
  <c r="B510" i="1"/>
  <c r="A510" i="1"/>
  <c r="E509" i="1"/>
  <c r="D509" i="1"/>
  <c r="C509" i="1"/>
  <c r="B509" i="1"/>
  <c r="A509" i="1"/>
  <c r="E508" i="1"/>
  <c r="D508" i="1"/>
  <c r="C508" i="1"/>
  <c r="B508" i="1"/>
  <c r="A508" i="1"/>
  <c r="E507" i="1"/>
  <c r="D507" i="1"/>
  <c r="C507" i="1"/>
  <c r="B507" i="1"/>
  <c r="A507" i="1"/>
  <c r="E506" i="1"/>
  <c r="D506" i="1"/>
  <c r="C506" i="1"/>
  <c r="B506" i="1"/>
  <c r="A506" i="1"/>
  <c r="E505" i="1"/>
  <c r="D505" i="1"/>
  <c r="C505" i="1"/>
  <c r="B505" i="1"/>
  <c r="A505" i="1"/>
  <c r="E504" i="1"/>
  <c r="D504" i="1"/>
  <c r="C504" i="1"/>
  <c r="B504" i="1"/>
  <c r="A504" i="1"/>
  <c r="E503" i="1"/>
  <c r="D503" i="1"/>
  <c r="C503" i="1"/>
  <c r="B503" i="1"/>
  <c r="A503" i="1"/>
  <c r="E502" i="1"/>
  <c r="D502" i="1"/>
  <c r="C502" i="1"/>
  <c r="B502" i="1"/>
  <c r="A502" i="1"/>
  <c r="E501" i="1"/>
  <c r="D501" i="1"/>
  <c r="C501" i="1"/>
  <c r="B501" i="1"/>
  <c r="A501" i="1"/>
  <c r="E500" i="1"/>
  <c r="D500" i="1"/>
  <c r="C500" i="1"/>
  <c r="B500" i="1"/>
  <c r="A500" i="1"/>
  <c r="E499" i="1"/>
  <c r="D499" i="1"/>
  <c r="C499" i="1"/>
  <c r="B499" i="1"/>
  <c r="A499" i="1"/>
  <c r="E498" i="1"/>
  <c r="D498" i="1"/>
  <c r="C498" i="1"/>
  <c r="B498" i="1"/>
  <c r="A498" i="1"/>
  <c r="E497" i="1"/>
  <c r="D497" i="1"/>
  <c r="C497" i="1"/>
  <c r="B497" i="1"/>
  <c r="A497" i="1"/>
  <c r="E496" i="1"/>
  <c r="D496" i="1"/>
  <c r="C496" i="1"/>
  <c r="B496" i="1"/>
  <c r="A496" i="1"/>
  <c r="E495" i="1"/>
  <c r="D495" i="1"/>
  <c r="C495" i="1"/>
  <c r="B495" i="1"/>
  <c r="A495" i="1"/>
  <c r="E494" i="1"/>
  <c r="D494" i="1"/>
  <c r="C494" i="1"/>
  <c r="B494" i="1"/>
  <c r="A494" i="1"/>
  <c r="E493" i="1"/>
  <c r="D493" i="1"/>
  <c r="C493" i="1"/>
  <c r="B493" i="1"/>
  <c r="A493" i="1"/>
  <c r="E492" i="1"/>
  <c r="D492" i="1"/>
  <c r="C492" i="1"/>
  <c r="B492" i="1"/>
  <c r="A492" i="1"/>
  <c r="E491" i="1"/>
  <c r="D491" i="1"/>
  <c r="C491" i="1"/>
  <c r="B491" i="1"/>
  <c r="A491" i="1"/>
  <c r="E490" i="1"/>
  <c r="D490" i="1"/>
  <c r="C490" i="1"/>
  <c r="B490" i="1"/>
  <c r="A490" i="1"/>
  <c r="E489" i="1"/>
  <c r="D489" i="1"/>
  <c r="C489" i="1"/>
  <c r="B489" i="1"/>
  <c r="A489" i="1"/>
  <c r="E488" i="1"/>
  <c r="D488" i="1"/>
  <c r="C488" i="1"/>
  <c r="B488" i="1"/>
  <c r="A488" i="1"/>
  <c r="E487" i="1"/>
  <c r="D487" i="1"/>
  <c r="C487" i="1"/>
  <c r="B487" i="1"/>
  <c r="A487" i="1"/>
  <c r="E486" i="1"/>
  <c r="D486" i="1"/>
  <c r="C486" i="1"/>
  <c r="B486" i="1"/>
  <c r="A486" i="1"/>
  <c r="E485" i="1"/>
  <c r="D485" i="1"/>
  <c r="C485" i="1"/>
  <c r="B485" i="1"/>
  <c r="A485" i="1"/>
  <c r="E484" i="1"/>
  <c r="D484" i="1"/>
  <c r="C484" i="1"/>
  <c r="B484" i="1"/>
  <c r="A484" i="1"/>
  <c r="E483" i="1"/>
  <c r="D483" i="1"/>
  <c r="C483" i="1"/>
  <c r="B483" i="1"/>
  <c r="A483" i="1"/>
  <c r="E482" i="1"/>
  <c r="D482" i="1"/>
  <c r="C482" i="1"/>
  <c r="B482" i="1"/>
  <c r="A482" i="1"/>
  <c r="E481" i="1"/>
  <c r="D481" i="1"/>
  <c r="C481" i="1"/>
  <c r="B481" i="1"/>
  <c r="A481" i="1"/>
  <c r="E480" i="1"/>
  <c r="D480" i="1"/>
  <c r="C480" i="1"/>
  <c r="B480" i="1"/>
  <c r="A480" i="1"/>
  <c r="E479" i="1"/>
  <c r="D479" i="1"/>
  <c r="C479" i="1"/>
  <c r="B479" i="1"/>
  <c r="A479" i="1"/>
  <c r="E478" i="1"/>
  <c r="D478" i="1"/>
  <c r="C478" i="1"/>
  <c r="B478" i="1"/>
  <c r="A478" i="1"/>
  <c r="E477" i="1"/>
  <c r="D477" i="1"/>
  <c r="C477" i="1"/>
  <c r="B477" i="1"/>
  <c r="A477" i="1"/>
  <c r="E476" i="1"/>
  <c r="D476" i="1"/>
  <c r="C476" i="1"/>
  <c r="B476" i="1"/>
  <c r="A476" i="1"/>
  <c r="E475" i="1"/>
  <c r="D475" i="1"/>
  <c r="C475" i="1"/>
  <c r="B475" i="1"/>
  <c r="A475" i="1"/>
  <c r="E474" i="1"/>
  <c r="D474" i="1"/>
  <c r="C474" i="1"/>
  <c r="B474" i="1"/>
  <c r="A474" i="1"/>
  <c r="E473" i="1"/>
  <c r="D473" i="1"/>
  <c r="C473" i="1"/>
  <c r="B473" i="1"/>
  <c r="A473" i="1"/>
  <c r="E472" i="1"/>
  <c r="D472" i="1"/>
  <c r="C472" i="1"/>
  <c r="B472" i="1"/>
  <c r="A472" i="1"/>
  <c r="E471" i="1"/>
  <c r="D471" i="1"/>
  <c r="C471" i="1"/>
  <c r="B471" i="1"/>
  <c r="A471" i="1"/>
  <c r="E470" i="1"/>
  <c r="D470" i="1"/>
  <c r="C470" i="1"/>
  <c r="B470" i="1"/>
  <c r="A470" i="1"/>
  <c r="E469" i="1"/>
  <c r="D469" i="1"/>
  <c r="C469" i="1"/>
  <c r="B469" i="1"/>
  <c r="A469" i="1"/>
  <c r="E468" i="1"/>
  <c r="D468" i="1"/>
  <c r="C468" i="1"/>
  <c r="B468" i="1"/>
  <c r="A468" i="1"/>
  <c r="E467" i="1"/>
  <c r="D467" i="1"/>
  <c r="C467" i="1"/>
  <c r="B467" i="1"/>
  <c r="A467" i="1"/>
  <c r="E466" i="1"/>
  <c r="D466" i="1"/>
  <c r="C466" i="1"/>
  <c r="B466" i="1"/>
  <c r="A466" i="1"/>
  <c r="E465" i="1"/>
  <c r="D465" i="1"/>
  <c r="C465" i="1"/>
  <c r="B465" i="1"/>
  <c r="A465" i="1"/>
  <c r="E464" i="1"/>
  <c r="D464" i="1"/>
  <c r="C464" i="1"/>
  <c r="B464" i="1"/>
  <c r="A464" i="1"/>
  <c r="E463" i="1"/>
  <c r="D463" i="1"/>
  <c r="C463" i="1"/>
  <c r="B463" i="1"/>
  <c r="A463" i="1"/>
  <c r="E462" i="1"/>
  <c r="D462" i="1"/>
  <c r="C462" i="1"/>
  <c r="B462" i="1"/>
  <c r="A462" i="1"/>
  <c r="E461" i="1"/>
  <c r="D461" i="1"/>
  <c r="C461" i="1"/>
  <c r="B461" i="1"/>
  <c r="A461" i="1"/>
  <c r="E460" i="1"/>
  <c r="D460" i="1"/>
  <c r="C460" i="1"/>
  <c r="B460" i="1"/>
  <c r="A460" i="1"/>
  <c r="E459" i="1"/>
  <c r="D459" i="1"/>
  <c r="C459" i="1"/>
  <c r="B459" i="1"/>
  <c r="A459" i="1"/>
  <c r="E458" i="1"/>
  <c r="D458" i="1"/>
  <c r="C458" i="1"/>
  <c r="B458" i="1"/>
  <c r="A458" i="1"/>
  <c r="E457" i="1"/>
  <c r="D457" i="1"/>
  <c r="C457" i="1"/>
  <c r="B457" i="1"/>
  <c r="A457" i="1"/>
  <c r="E456" i="1"/>
  <c r="D456" i="1"/>
  <c r="C456" i="1"/>
  <c r="B456" i="1"/>
  <c r="A456" i="1"/>
  <c r="E455" i="1"/>
  <c r="D455" i="1"/>
  <c r="C455" i="1"/>
  <c r="B455" i="1"/>
  <c r="A455" i="1"/>
  <c r="E454" i="1"/>
  <c r="D454" i="1"/>
  <c r="C454" i="1"/>
  <c r="B454" i="1"/>
  <c r="A454" i="1"/>
  <c r="E453" i="1"/>
  <c r="D453" i="1"/>
  <c r="C453" i="1"/>
  <c r="B453" i="1"/>
  <c r="A453" i="1"/>
  <c r="E452" i="1"/>
  <c r="D452" i="1"/>
  <c r="C452" i="1"/>
  <c r="B452" i="1"/>
  <c r="A452" i="1"/>
  <c r="E451" i="1"/>
  <c r="D451" i="1"/>
  <c r="C451" i="1"/>
  <c r="B451" i="1"/>
  <c r="A451" i="1"/>
  <c r="E450" i="1"/>
  <c r="D450" i="1"/>
  <c r="C450" i="1"/>
  <c r="B450" i="1"/>
  <c r="A450" i="1"/>
  <c r="E449" i="1"/>
  <c r="D449" i="1"/>
  <c r="C449" i="1"/>
  <c r="B449" i="1"/>
  <c r="A449" i="1"/>
  <c r="E448" i="1"/>
  <c r="D448" i="1"/>
  <c r="C448" i="1"/>
  <c r="B448" i="1"/>
  <c r="A448" i="1"/>
  <c r="E447" i="1"/>
  <c r="D447" i="1"/>
  <c r="C447" i="1"/>
  <c r="B447" i="1"/>
  <c r="A447" i="1"/>
  <c r="E446" i="1"/>
  <c r="D446" i="1"/>
  <c r="C446" i="1"/>
  <c r="B446" i="1"/>
  <c r="A446" i="1"/>
  <c r="E445" i="1"/>
  <c r="D445" i="1"/>
  <c r="C445" i="1"/>
  <c r="B445" i="1"/>
  <c r="A445" i="1"/>
  <c r="E444" i="1"/>
  <c r="D444" i="1"/>
  <c r="C444" i="1"/>
  <c r="B444" i="1"/>
  <c r="A444" i="1"/>
  <c r="E443" i="1"/>
  <c r="D443" i="1"/>
  <c r="C443" i="1"/>
  <c r="B443" i="1"/>
  <c r="A443" i="1"/>
  <c r="E442" i="1"/>
  <c r="D442" i="1"/>
  <c r="C442" i="1"/>
  <c r="B442" i="1"/>
  <c r="A442" i="1"/>
  <c r="E441" i="1"/>
  <c r="D441" i="1"/>
  <c r="C441" i="1"/>
  <c r="B441" i="1"/>
  <c r="A441" i="1"/>
  <c r="E440" i="1"/>
  <c r="D440" i="1"/>
  <c r="C440" i="1"/>
  <c r="B440" i="1"/>
  <c r="A440" i="1"/>
  <c r="E439" i="1"/>
  <c r="D439" i="1"/>
  <c r="C439" i="1"/>
  <c r="B439" i="1"/>
  <c r="A439" i="1"/>
  <c r="E438" i="1"/>
  <c r="D438" i="1"/>
  <c r="C438" i="1"/>
  <c r="B438" i="1"/>
  <c r="A438" i="1"/>
  <c r="E437" i="1"/>
  <c r="D437" i="1"/>
  <c r="C437" i="1"/>
  <c r="B437" i="1"/>
  <c r="A437" i="1"/>
  <c r="E436" i="1"/>
  <c r="D436" i="1"/>
  <c r="C436" i="1"/>
  <c r="B436" i="1"/>
  <c r="A436" i="1"/>
  <c r="E435" i="1"/>
  <c r="D435" i="1"/>
  <c r="C435" i="1"/>
  <c r="B435" i="1"/>
  <c r="A435" i="1"/>
  <c r="E434" i="1"/>
  <c r="D434" i="1"/>
  <c r="C434" i="1"/>
  <c r="B434" i="1"/>
  <c r="A434" i="1"/>
  <c r="E433" i="1"/>
  <c r="D433" i="1"/>
  <c r="C433" i="1"/>
  <c r="B433" i="1"/>
  <c r="A433" i="1"/>
  <c r="E432" i="1"/>
  <c r="D432" i="1"/>
  <c r="C432" i="1"/>
  <c r="B432" i="1"/>
  <c r="A432" i="1"/>
  <c r="E431" i="1"/>
  <c r="D431" i="1"/>
  <c r="C431" i="1"/>
  <c r="B431" i="1"/>
  <c r="A431" i="1"/>
  <c r="E430" i="1"/>
  <c r="D430" i="1"/>
  <c r="C430" i="1"/>
  <c r="B430" i="1"/>
  <c r="A430" i="1"/>
  <c r="E429" i="1"/>
  <c r="D429" i="1"/>
  <c r="C429" i="1"/>
  <c r="B429" i="1"/>
  <c r="A429" i="1"/>
  <c r="E428" i="1"/>
  <c r="D428" i="1"/>
  <c r="C428" i="1"/>
  <c r="B428" i="1"/>
  <c r="A428" i="1"/>
  <c r="E427" i="1"/>
  <c r="D427" i="1"/>
  <c r="C427" i="1"/>
  <c r="B427" i="1"/>
  <c r="A427" i="1"/>
  <c r="E426" i="1"/>
  <c r="D426" i="1"/>
  <c r="C426" i="1"/>
  <c r="B426" i="1"/>
  <c r="A426" i="1"/>
  <c r="E425" i="1"/>
  <c r="D425" i="1"/>
  <c r="C425" i="1"/>
  <c r="B425" i="1"/>
  <c r="A425" i="1"/>
  <c r="E424" i="1"/>
  <c r="D424" i="1"/>
  <c r="C424" i="1"/>
  <c r="B424" i="1"/>
  <c r="A424" i="1"/>
  <c r="E423" i="1"/>
  <c r="D423" i="1"/>
  <c r="C423" i="1"/>
  <c r="B423" i="1"/>
  <c r="A423" i="1"/>
  <c r="E422" i="1"/>
  <c r="D422" i="1"/>
  <c r="C422" i="1"/>
  <c r="B422" i="1"/>
  <c r="A422" i="1"/>
  <c r="E421" i="1"/>
  <c r="D421" i="1"/>
  <c r="C421" i="1"/>
  <c r="B421" i="1"/>
  <c r="A421" i="1"/>
  <c r="E420" i="1"/>
  <c r="D420" i="1"/>
  <c r="C420" i="1"/>
  <c r="B420" i="1"/>
  <c r="A420" i="1"/>
  <c r="E419" i="1"/>
  <c r="D419" i="1"/>
  <c r="C419" i="1"/>
  <c r="B419" i="1"/>
  <c r="A419" i="1"/>
  <c r="E418" i="1"/>
  <c r="D418" i="1"/>
  <c r="C418" i="1"/>
  <c r="B418" i="1"/>
  <c r="A418" i="1"/>
  <c r="E417" i="1"/>
  <c r="D417" i="1"/>
  <c r="C417" i="1"/>
  <c r="B417" i="1"/>
  <c r="A417" i="1"/>
  <c r="E416" i="1"/>
  <c r="D416" i="1"/>
  <c r="C416" i="1"/>
  <c r="B416" i="1"/>
  <c r="A416" i="1"/>
  <c r="E415" i="1"/>
  <c r="D415" i="1"/>
  <c r="C415" i="1"/>
  <c r="B415" i="1"/>
  <c r="A415" i="1"/>
  <c r="E414" i="1"/>
  <c r="D414" i="1"/>
  <c r="C414" i="1"/>
  <c r="B414" i="1"/>
  <c r="A414" i="1"/>
  <c r="E413" i="1"/>
  <c r="D413" i="1"/>
  <c r="C413" i="1"/>
  <c r="B413" i="1"/>
  <c r="A413" i="1"/>
  <c r="E412" i="1"/>
  <c r="D412" i="1"/>
  <c r="C412" i="1"/>
  <c r="B412" i="1"/>
  <c r="A412" i="1"/>
  <c r="E411" i="1"/>
  <c r="D411" i="1"/>
  <c r="C411" i="1"/>
  <c r="B411" i="1"/>
  <c r="A411" i="1"/>
  <c r="E410" i="1"/>
  <c r="D410" i="1"/>
  <c r="C410" i="1"/>
  <c r="B410" i="1"/>
  <c r="A410" i="1"/>
  <c r="E409" i="1"/>
  <c r="D409" i="1"/>
  <c r="C409" i="1"/>
  <c r="B409" i="1"/>
  <c r="A409" i="1"/>
  <c r="E408" i="1"/>
  <c r="D408" i="1"/>
  <c r="C408" i="1"/>
  <c r="B408" i="1"/>
  <c r="A408" i="1"/>
  <c r="E407" i="1"/>
  <c r="D407" i="1"/>
  <c r="C407" i="1"/>
  <c r="B407" i="1"/>
  <c r="A407" i="1"/>
  <c r="E406" i="1"/>
  <c r="D406" i="1"/>
  <c r="C406" i="1"/>
  <c r="B406" i="1"/>
  <c r="A406" i="1"/>
  <c r="E405" i="1"/>
  <c r="D405" i="1"/>
  <c r="C405" i="1"/>
  <c r="B405" i="1"/>
  <c r="A405" i="1"/>
  <c r="E404" i="1"/>
  <c r="D404" i="1"/>
  <c r="C404" i="1"/>
  <c r="B404" i="1"/>
  <c r="A404" i="1"/>
  <c r="E403" i="1"/>
  <c r="D403" i="1"/>
  <c r="C403" i="1"/>
  <c r="B403" i="1"/>
  <c r="A403" i="1"/>
  <c r="E402" i="1"/>
  <c r="D402" i="1"/>
  <c r="C402" i="1"/>
  <c r="B402" i="1"/>
  <c r="A402" i="1"/>
  <c r="E401" i="1"/>
  <c r="D401" i="1"/>
  <c r="C401" i="1"/>
  <c r="B401" i="1"/>
  <c r="A401" i="1"/>
  <c r="E400" i="1"/>
  <c r="D400" i="1"/>
  <c r="C400" i="1"/>
  <c r="B400" i="1"/>
  <c r="A400" i="1"/>
  <c r="E399" i="1"/>
  <c r="D399" i="1"/>
  <c r="C399" i="1"/>
  <c r="B399" i="1"/>
  <c r="A399" i="1"/>
  <c r="E398" i="1"/>
  <c r="D398" i="1"/>
  <c r="C398" i="1"/>
  <c r="B398" i="1"/>
  <c r="A398" i="1"/>
  <c r="E397" i="1"/>
  <c r="D397" i="1"/>
  <c r="C397" i="1"/>
  <c r="B397" i="1"/>
  <c r="A397" i="1"/>
  <c r="E396" i="1"/>
  <c r="D396" i="1"/>
  <c r="C396" i="1"/>
  <c r="B396" i="1"/>
  <c r="A396" i="1"/>
  <c r="E395" i="1"/>
  <c r="D395" i="1"/>
  <c r="C395" i="1"/>
  <c r="B395" i="1"/>
  <c r="A395" i="1"/>
  <c r="E394" i="1"/>
  <c r="D394" i="1"/>
  <c r="C394" i="1"/>
  <c r="B394" i="1"/>
  <c r="A394" i="1"/>
  <c r="E393" i="1"/>
  <c r="D393" i="1"/>
  <c r="C393" i="1"/>
  <c r="B393" i="1"/>
  <c r="A393" i="1"/>
  <c r="E392" i="1"/>
  <c r="D392" i="1"/>
  <c r="C392" i="1"/>
  <c r="B392" i="1"/>
  <c r="A392" i="1"/>
  <c r="E391" i="1"/>
  <c r="D391" i="1"/>
  <c r="C391" i="1"/>
  <c r="B391" i="1"/>
  <c r="A391" i="1"/>
  <c r="E390" i="1"/>
  <c r="D390" i="1"/>
  <c r="C390" i="1"/>
  <c r="B390" i="1"/>
  <c r="A390" i="1"/>
  <c r="E389" i="1"/>
  <c r="D389" i="1"/>
  <c r="C389" i="1"/>
  <c r="B389" i="1"/>
  <c r="A389" i="1"/>
  <c r="E388" i="1"/>
  <c r="D388" i="1"/>
  <c r="C388" i="1"/>
  <c r="B388" i="1"/>
  <c r="A388" i="1"/>
  <c r="E387" i="1"/>
  <c r="D387" i="1"/>
  <c r="C387" i="1"/>
  <c r="B387" i="1"/>
  <c r="A387" i="1"/>
  <c r="E386" i="1"/>
  <c r="D386" i="1"/>
  <c r="C386" i="1"/>
  <c r="B386" i="1"/>
  <c r="A386" i="1"/>
  <c r="E385" i="1"/>
  <c r="D385" i="1"/>
  <c r="C385" i="1"/>
  <c r="B385" i="1"/>
  <c r="A385" i="1"/>
  <c r="E384" i="1"/>
  <c r="D384" i="1"/>
  <c r="C384" i="1"/>
  <c r="B384" i="1"/>
  <c r="A384" i="1"/>
  <c r="E383" i="1"/>
  <c r="D383" i="1"/>
  <c r="C383" i="1"/>
  <c r="B383" i="1"/>
  <c r="A383" i="1"/>
  <c r="E382" i="1"/>
  <c r="D382" i="1"/>
  <c r="C382" i="1"/>
  <c r="B382" i="1"/>
  <c r="A382" i="1"/>
  <c r="E381" i="1"/>
  <c r="D381" i="1"/>
  <c r="C381" i="1"/>
  <c r="B381" i="1"/>
  <c r="A381" i="1"/>
  <c r="E380" i="1"/>
  <c r="D380" i="1"/>
  <c r="C380" i="1"/>
  <c r="B380" i="1"/>
  <c r="A380" i="1"/>
  <c r="E379" i="1"/>
  <c r="D379" i="1"/>
  <c r="C379" i="1"/>
  <c r="B379" i="1"/>
  <c r="A379" i="1"/>
  <c r="E378" i="1"/>
  <c r="D378" i="1"/>
  <c r="C378" i="1"/>
  <c r="B378" i="1"/>
  <c r="A378" i="1"/>
  <c r="E377" i="1"/>
  <c r="D377" i="1"/>
  <c r="C377" i="1"/>
  <c r="B377" i="1"/>
  <c r="A377" i="1"/>
  <c r="E376" i="1"/>
  <c r="D376" i="1"/>
  <c r="C376" i="1"/>
  <c r="B376" i="1"/>
  <c r="A376" i="1"/>
  <c r="E375" i="1"/>
  <c r="D375" i="1"/>
  <c r="C375" i="1"/>
  <c r="B375" i="1"/>
  <c r="A375" i="1"/>
  <c r="E374" i="1"/>
  <c r="D374" i="1"/>
  <c r="C374" i="1"/>
  <c r="B374" i="1"/>
  <c r="A374" i="1"/>
  <c r="E373" i="1"/>
  <c r="D373" i="1"/>
  <c r="C373" i="1"/>
  <c r="B373" i="1"/>
  <c r="A373" i="1"/>
  <c r="E372" i="1"/>
  <c r="D372" i="1"/>
  <c r="C372" i="1"/>
  <c r="B372" i="1"/>
  <c r="A372" i="1"/>
  <c r="E371" i="1"/>
  <c r="D371" i="1"/>
  <c r="C371" i="1"/>
  <c r="B371" i="1"/>
  <c r="A371" i="1"/>
  <c r="E370" i="1"/>
  <c r="D370" i="1"/>
  <c r="C370" i="1"/>
  <c r="B370" i="1"/>
  <c r="A370" i="1"/>
  <c r="E369" i="1"/>
  <c r="D369" i="1"/>
  <c r="C369" i="1"/>
  <c r="B369" i="1"/>
  <c r="A369" i="1"/>
  <c r="E368" i="1"/>
  <c r="D368" i="1"/>
  <c r="C368" i="1"/>
  <c r="B368" i="1"/>
  <c r="A368" i="1"/>
  <c r="E367" i="1"/>
  <c r="D367" i="1"/>
  <c r="C367" i="1"/>
  <c r="B367" i="1"/>
  <c r="A367" i="1"/>
  <c r="E366" i="1"/>
  <c r="D366" i="1"/>
  <c r="C366" i="1"/>
  <c r="B366" i="1"/>
  <c r="A366" i="1"/>
  <c r="E365" i="1"/>
  <c r="D365" i="1"/>
  <c r="C365" i="1"/>
  <c r="B365" i="1"/>
  <c r="A365" i="1"/>
  <c r="E364" i="1"/>
  <c r="D364" i="1"/>
  <c r="C364" i="1"/>
  <c r="B364" i="1"/>
  <c r="A364" i="1"/>
  <c r="E363" i="1"/>
  <c r="D363" i="1"/>
  <c r="C363" i="1"/>
  <c r="B363" i="1"/>
  <c r="A363" i="1"/>
  <c r="E362" i="1"/>
  <c r="D362" i="1"/>
  <c r="C362" i="1"/>
  <c r="B362" i="1"/>
  <c r="A362" i="1"/>
  <c r="E361" i="1"/>
  <c r="D361" i="1"/>
  <c r="C361" i="1"/>
  <c r="B361" i="1"/>
  <c r="A361" i="1"/>
  <c r="E360" i="1"/>
  <c r="D360" i="1"/>
  <c r="C360" i="1"/>
  <c r="B360" i="1"/>
  <c r="A360" i="1"/>
  <c r="E359" i="1"/>
  <c r="D359" i="1"/>
  <c r="C359" i="1"/>
  <c r="B359" i="1"/>
  <c r="A359" i="1"/>
  <c r="E358" i="1"/>
  <c r="D358" i="1"/>
  <c r="C358" i="1"/>
  <c r="B358" i="1"/>
  <c r="A358" i="1"/>
  <c r="E357" i="1"/>
  <c r="D357" i="1"/>
  <c r="C357" i="1"/>
  <c r="B357" i="1"/>
  <c r="A357" i="1"/>
  <c r="E356" i="1"/>
  <c r="D356" i="1"/>
  <c r="C356" i="1"/>
  <c r="B356" i="1"/>
  <c r="A356" i="1"/>
  <c r="E355" i="1"/>
  <c r="D355" i="1"/>
  <c r="C355" i="1"/>
  <c r="B355" i="1"/>
  <c r="A355" i="1"/>
  <c r="E354" i="1"/>
  <c r="D354" i="1"/>
  <c r="C354" i="1"/>
  <c r="B354" i="1"/>
  <c r="A354" i="1"/>
  <c r="E353" i="1"/>
  <c r="D353" i="1"/>
  <c r="C353" i="1"/>
  <c r="B353" i="1"/>
  <c r="A353" i="1"/>
  <c r="E352" i="1"/>
  <c r="D352" i="1"/>
  <c r="C352" i="1"/>
  <c r="B352" i="1"/>
  <c r="A352" i="1"/>
  <c r="E351" i="1"/>
  <c r="D351" i="1"/>
  <c r="C351" i="1"/>
  <c r="B351" i="1"/>
  <c r="A351" i="1"/>
  <c r="E350" i="1"/>
  <c r="D350" i="1"/>
  <c r="C350" i="1"/>
  <c r="B350" i="1"/>
  <c r="A350" i="1"/>
  <c r="E349" i="1"/>
  <c r="D349" i="1"/>
  <c r="C349" i="1"/>
  <c r="B349" i="1"/>
  <c r="A349" i="1"/>
  <c r="E348" i="1"/>
  <c r="D348" i="1"/>
  <c r="C348" i="1"/>
  <c r="B348" i="1"/>
  <c r="A348" i="1"/>
  <c r="E347" i="1"/>
  <c r="D347" i="1"/>
  <c r="C347" i="1"/>
  <c r="B347" i="1"/>
  <c r="A347" i="1"/>
  <c r="E346" i="1"/>
  <c r="D346" i="1"/>
  <c r="C346" i="1"/>
  <c r="B346" i="1"/>
  <c r="A346" i="1"/>
  <c r="E345" i="1"/>
  <c r="D345" i="1"/>
  <c r="C345" i="1"/>
  <c r="B345" i="1"/>
  <c r="A345" i="1"/>
  <c r="E344" i="1"/>
  <c r="D344" i="1"/>
  <c r="C344" i="1"/>
  <c r="B344" i="1"/>
  <c r="A344" i="1"/>
  <c r="E343" i="1"/>
  <c r="D343" i="1"/>
  <c r="C343" i="1"/>
  <c r="B343" i="1"/>
  <c r="A343" i="1"/>
  <c r="E342" i="1"/>
  <c r="D342" i="1"/>
  <c r="C342" i="1"/>
  <c r="B342" i="1"/>
  <c r="A342" i="1"/>
  <c r="E341" i="1"/>
  <c r="D341" i="1"/>
  <c r="C341" i="1"/>
  <c r="B341" i="1"/>
  <c r="A341" i="1"/>
  <c r="E340" i="1"/>
  <c r="D340" i="1"/>
  <c r="C340" i="1"/>
  <c r="B340" i="1"/>
  <c r="A340" i="1"/>
  <c r="E339" i="1"/>
  <c r="D339" i="1"/>
  <c r="C339" i="1"/>
  <c r="B339" i="1"/>
  <c r="A339" i="1"/>
  <c r="E338" i="1"/>
  <c r="D338" i="1"/>
  <c r="C338" i="1"/>
  <c r="B338" i="1"/>
  <c r="A338" i="1"/>
  <c r="E337" i="1"/>
  <c r="D337" i="1"/>
  <c r="C337" i="1"/>
  <c r="B337" i="1"/>
  <c r="A337" i="1"/>
  <c r="E336" i="1"/>
  <c r="D336" i="1"/>
  <c r="C336" i="1"/>
  <c r="B336" i="1"/>
  <c r="A336" i="1"/>
  <c r="E335" i="1"/>
  <c r="D335" i="1"/>
  <c r="C335" i="1"/>
  <c r="B335" i="1"/>
  <c r="A335" i="1"/>
  <c r="E334" i="1"/>
  <c r="D334" i="1"/>
  <c r="C334" i="1"/>
  <c r="B334" i="1"/>
  <c r="A334" i="1"/>
  <c r="E333" i="1"/>
  <c r="D333" i="1"/>
  <c r="C333" i="1"/>
  <c r="B333" i="1"/>
  <c r="A333" i="1"/>
  <c r="E332" i="1"/>
  <c r="D332" i="1"/>
  <c r="C332" i="1"/>
  <c r="B332" i="1"/>
  <c r="A332" i="1"/>
  <c r="E331" i="1"/>
  <c r="D331" i="1"/>
  <c r="C331" i="1"/>
  <c r="B331" i="1"/>
  <c r="A331" i="1"/>
  <c r="E330" i="1"/>
  <c r="D330" i="1"/>
  <c r="C330" i="1"/>
  <c r="B330" i="1"/>
  <c r="A330" i="1"/>
  <c r="E329" i="1"/>
  <c r="D329" i="1"/>
  <c r="C329" i="1"/>
  <c r="B329" i="1"/>
  <c r="A329" i="1"/>
  <c r="E328" i="1"/>
  <c r="D328" i="1"/>
  <c r="C328" i="1"/>
  <c r="B328" i="1"/>
  <c r="A328" i="1"/>
  <c r="E327" i="1"/>
  <c r="D327" i="1"/>
  <c r="C327" i="1"/>
  <c r="B327" i="1"/>
  <c r="A327" i="1"/>
  <c r="E326" i="1"/>
  <c r="D326" i="1"/>
  <c r="C326" i="1"/>
  <c r="B326" i="1"/>
  <c r="A326" i="1"/>
  <c r="E325" i="1"/>
  <c r="D325" i="1"/>
  <c r="C325" i="1"/>
  <c r="B325" i="1"/>
  <c r="A325" i="1"/>
  <c r="E324" i="1"/>
  <c r="D324" i="1"/>
  <c r="C324" i="1"/>
  <c r="B324" i="1"/>
  <c r="A324" i="1"/>
  <c r="E323" i="1"/>
  <c r="D323" i="1"/>
  <c r="C323" i="1"/>
  <c r="B323" i="1"/>
  <c r="A323" i="1"/>
  <c r="E322" i="1"/>
  <c r="D322" i="1"/>
  <c r="C322" i="1"/>
  <c r="B322" i="1"/>
  <c r="A322" i="1"/>
  <c r="E321" i="1"/>
  <c r="D321" i="1"/>
  <c r="C321" i="1"/>
  <c r="B321" i="1"/>
  <c r="A321" i="1"/>
  <c r="E320" i="1"/>
  <c r="D320" i="1"/>
  <c r="C320" i="1"/>
  <c r="B320" i="1"/>
  <c r="A320" i="1"/>
  <c r="E319" i="1"/>
  <c r="D319" i="1"/>
  <c r="C319" i="1"/>
  <c r="B319" i="1"/>
  <c r="A319" i="1"/>
  <c r="E318" i="1"/>
  <c r="D318" i="1"/>
  <c r="C318" i="1"/>
  <c r="B318" i="1"/>
  <c r="A318" i="1"/>
  <c r="E317" i="1"/>
  <c r="D317" i="1"/>
  <c r="C317" i="1"/>
  <c r="B317" i="1"/>
  <c r="A317" i="1"/>
  <c r="E316" i="1"/>
  <c r="D316" i="1"/>
  <c r="C316" i="1"/>
  <c r="B316" i="1"/>
  <c r="A316" i="1"/>
  <c r="E315" i="1"/>
  <c r="D315" i="1"/>
  <c r="C315" i="1"/>
  <c r="B315" i="1"/>
  <c r="A315" i="1"/>
  <c r="E314" i="1"/>
  <c r="D314" i="1"/>
  <c r="C314" i="1"/>
  <c r="B314" i="1"/>
  <c r="A314" i="1"/>
  <c r="E313" i="1"/>
  <c r="D313" i="1"/>
  <c r="C313" i="1"/>
  <c r="B313" i="1"/>
  <c r="A313" i="1"/>
  <c r="E312" i="1"/>
  <c r="D312" i="1"/>
  <c r="C312" i="1"/>
  <c r="B312" i="1"/>
  <c r="A312" i="1"/>
  <c r="E311" i="1"/>
  <c r="D311" i="1"/>
  <c r="C311" i="1"/>
  <c r="B311" i="1"/>
  <c r="A311" i="1"/>
  <c r="E310" i="1"/>
  <c r="D310" i="1"/>
  <c r="C310" i="1"/>
  <c r="B310" i="1"/>
  <c r="A310" i="1"/>
  <c r="E309" i="1"/>
  <c r="D309" i="1"/>
  <c r="C309" i="1"/>
  <c r="B309" i="1"/>
  <c r="A309" i="1"/>
  <c r="E308" i="1"/>
  <c r="D308" i="1"/>
  <c r="C308" i="1"/>
  <c r="B308" i="1"/>
  <c r="A308" i="1"/>
  <c r="E307" i="1"/>
  <c r="D307" i="1"/>
  <c r="C307" i="1"/>
  <c r="B307" i="1"/>
  <c r="A307" i="1"/>
  <c r="E306" i="1"/>
  <c r="D306" i="1"/>
  <c r="C306" i="1"/>
  <c r="B306" i="1"/>
  <c r="A306" i="1"/>
  <c r="E305" i="1"/>
  <c r="D305" i="1"/>
  <c r="C305" i="1"/>
  <c r="B305" i="1"/>
  <c r="A305" i="1"/>
  <c r="E304" i="1"/>
  <c r="D304" i="1"/>
  <c r="C304" i="1"/>
  <c r="B304" i="1"/>
  <c r="A304" i="1"/>
  <c r="E303" i="1"/>
  <c r="D303" i="1"/>
  <c r="C303" i="1"/>
  <c r="B303" i="1"/>
  <c r="A303" i="1"/>
  <c r="E302" i="1"/>
  <c r="D302" i="1"/>
  <c r="C302" i="1"/>
  <c r="B302" i="1"/>
  <c r="A302" i="1"/>
  <c r="E301" i="1"/>
  <c r="D301" i="1"/>
  <c r="C301" i="1"/>
  <c r="B301" i="1"/>
  <c r="A301" i="1"/>
  <c r="E300" i="1"/>
  <c r="D300" i="1"/>
  <c r="C300" i="1"/>
  <c r="B300" i="1"/>
  <c r="A300" i="1"/>
  <c r="E299" i="1"/>
  <c r="D299" i="1"/>
  <c r="C299" i="1"/>
  <c r="B299" i="1"/>
  <c r="A299" i="1"/>
  <c r="E298" i="1"/>
  <c r="D298" i="1"/>
  <c r="C298" i="1"/>
  <c r="B298" i="1"/>
  <c r="A298" i="1"/>
  <c r="E297" i="1"/>
  <c r="D297" i="1"/>
  <c r="C297" i="1"/>
  <c r="B297" i="1"/>
  <c r="A297" i="1"/>
  <c r="E296" i="1"/>
  <c r="D296" i="1"/>
  <c r="C296" i="1"/>
  <c r="B296" i="1"/>
  <c r="A296" i="1"/>
  <c r="E295" i="1"/>
  <c r="D295" i="1"/>
  <c r="C295" i="1"/>
  <c r="B295" i="1"/>
  <c r="A295" i="1"/>
  <c r="E294" i="1"/>
  <c r="D294" i="1"/>
  <c r="C294" i="1"/>
  <c r="B294" i="1"/>
  <c r="A294" i="1"/>
  <c r="E293" i="1"/>
  <c r="D293" i="1"/>
  <c r="C293" i="1"/>
  <c r="B293" i="1"/>
  <c r="A293" i="1"/>
  <c r="E292" i="1"/>
  <c r="D292" i="1"/>
  <c r="C292" i="1"/>
  <c r="B292" i="1"/>
  <c r="A292" i="1"/>
  <c r="E291" i="1"/>
  <c r="D291" i="1"/>
  <c r="C291" i="1"/>
  <c r="B291" i="1"/>
  <c r="A291" i="1"/>
  <c r="E290" i="1"/>
  <c r="D290" i="1"/>
  <c r="C290" i="1"/>
  <c r="B290" i="1"/>
  <c r="A290" i="1"/>
  <c r="E289" i="1"/>
  <c r="D289" i="1"/>
  <c r="C289" i="1"/>
  <c r="B289" i="1"/>
  <c r="A289" i="1"/>
  <c r="E288" i="1"/>
  <c r="D288" i="1"/>
  <c r="C288" i="1"/>
  <c r="B288" i="1"/>
  <c r="A288" i="1"/>
  <c r="E287" i="1"/>
  <c r="D287" i="1"/>
  <c r="C287" i="1"/>
  <c r="B287" i="1"/>
  <c r="A287" i="1"/>
  <c r="E286" i="1"/>
  <c r="D286" i="1"/>
  <c r="C286" i="1"/>
  <c r="B286" i="1"/>
  <c r="A286" i="1"/>
  <c r="E285" i="1"/>
  <c r="D285" i="1"/>
  <c r="C285" i="1"/>
  <c r="B285" i="1"/>
  <c r="A285" i="1"/>
  <c r="E284" i="1"/>
  <c r="D284" i="1"/>
  <c r="C284" i="1"/>
  <c r="B284" i="1"/>
  <c r="A284" i="1"/>
  <c r="E283" i="1"/>
  <c r="D283" i="1"/>
  <c r="C283" i="1"/>
  <c r="B283" i="1"/>
  <c r="A283" i="1"/>
  <c r="E282" i="1"/>
  <c r="D282" i="1"/>
  <c r="C282" i="1"/>
  <c r="B282" i="1"/>
  <c r="A282" i="1"/>
  <c r="E281" i="1"/>
  <c r="D281" i="1"/>
  <c r="C281" i="1"/>
  <c r="B281" i="1"/>
  <c r="A281" i="1"/>
  <c r="E280" i="1"/>
  <c r="D280" i="1"/>
  <c r="C280" i="1"/>
  <c r="B280" i="1"/>
  <c r="A280" i="1"/>
  <c r="E279" i="1"/>
  <c r="D279" i="1"/>
  <c r="C279" i="1"/>
  <c r="B279" i="1"/>
  <c r="A279" i="1"/>
  <c r="E278" i="1"/>
  <c r="D278" i="1"/>
  <c r="C278" i="1"/>
  <c r="B278" i="1"/>
  <c r="A278" i="1"/>
  <c r="E277" i="1"/>
  <c r="D277" i="1"/>
  <c r="C277" i="1"/>
  <c r="B277" i="1"/>
  <c r="A277" i="1"/>
  <c r="E276" i="1"/>
  <c r="D276" i="1"/>
  <c r="C276" i="1"/>
  <c r="B276" i="1"/>
  <c r="A276" i="1"/>
  <c r="E275" i="1"/>
  <c r="D275" i="1"/>
  <c r="C275" i="1"/>
  <c r="B275" i="1"/>
  <c r="A275" i="1"/>
  <c r="E274" i="1"/>
  <c r="D274" i="1"/>
  <c r="C274" i="1"/>
  <c r="B274" i="1"/>
  <c r="A274" i="1"/>
  <c r="E273" i="1"/>
  <c r="D273" i="1"/>
  <c r="C273" i="1"/>
  <c r="B273" i="1"/>
  <c r="A273" i="1"/>
  <c r="E272" i="1"/>
  <c r="D272" i="1"/>
  <c r="C272" i="1"/>
  <c r="B272" i="1"/>
  <c r="A272" i="1"/>
  <c r="E271" i="1"/>
  <c r="D271" i="1"/>
  <c r="C271" i="1"/>
  <c r="B271" i="1"/>
  <c r="A271" i="1"/>
  <c r="E270" i="1"/>
  <c r="D270" i="1"/>
  <c r="C270" i="1"/>
  <c r="B270" i="1"/>
  <c r="A270" i="1"/>
  <c r="E269" i="1"/>
  <c r="D269" i="1"/>
  <c r="C269" i="1"/>
  <c r="B269" i="1"/>
  <c r="A269" i="1"/>
  <c r="E268" i="1"/>
  <c r="D268" i="1"/>
  <c r="C268" i="1"/>
  <c r="B268" i="1"/>
  <c r="A268" i="1"/>
  <c r="E267" i="1"/>
  <c r="D267" i="1"/>
  <c r="C267" i="1"/>
  <c r="B267" i="1"/>
  <c r="A267" i="1"/>
  <c r="E266" i="1"/>
  <c r="D266" i="1"/>
  <c r="C266" i="1"/>
  <c r="B266" i="1"/>
  <c r="A266" i="1"/>
  <c r="E265" i="1"/>
  <c r="D265" i="1"/>
  <c r="C265" i="1"/>
  <c r="B265" i="1"/>
  <c r="A265" i="1"/>
  <c r="E264" i="1"/>
  <c r="D264" i="1"/>
  <c r="C264" i="1"/>
  <c r="B264" i="1"/>
  <c r="A264" i="1"/>
  <c r="E263" i="1"/>
  <c r="D263" i="1"/>
  <c r="C263" i="1"/>
  <c r="B263" i="1"/>
  <c r="A263" i="1"/>
  <c r="E262" i="1"/>
  <c r="D262" i="1"/>
  <c r="C262" i="1"/>
  <c r="B262" i="1"/>
  <c r="A262" i="1"/>
  <c r="E261" i="1"/>
  <c r="D261" i="1"/>
  <c r="C261" i="1"/>
  <c r="B261" i="1"/>
  <c r="A261" i="1"/>
  <c r="E260" i="1"/>
  <c r="D260" i="1"/>
  <c r="C260" i="1"/>
  <c r="B260" i="1"/>
  <c r="A260" i="1"/>
  <c r="E259" i="1"/>
  <c r="D259" i="1"/>
  <c r="C259" i="1"/>
  <c r="B259" i="1"/>
  <c r="A259" i="1"/>
  <c r="E258" i="1"/>
  <c r="D258" i="1"/>
  <c r="C258" i="1"/>
  <c r="B258" i="1"/>
  <c r="A258" i="1"/>
  <c r="E257" i="1"/>
  <c r="D257" i="1"/>
  <c r="C257" i="1"/>
  <c r="B257" i="1"/>
  <c r="A257" i="1"/>
  <c r="E256" i="1"/>
  <c r="D256" i="1"/>
  <c r="C256" i="1"/>
  <c r="B256" i="1"/>
  <c r="A256" i="1"/>
  <c r="E255" i="1"/>
  <c r="D255" i="1"/>
  <c r="C255" i="1"/>
  <c r="B255" i="1"/>
  <c r="A255" i="1"/>
  <c r="E254" i="1"/>
  <c r="D254" i="1"/>
  <c r="C254" i="1"/>
  <c r="B254" i="1"/>
  <c r="A254" i="1"/>
  <c r="E253" i="1"/>
  <c r="D253" i="1"/>
  <c r="C253" i="1"/>
  <c r="B253" i="1"/>
  <c r="A253" i="1"/>
  <c r="E252" i="1"/>
  <c r="D252" i="1"/>
  <c r="C252" i="1"/>
  <c r="B252" i="1"/>
  <c r="A252" i="1"/>
  <c r="E251" i="1"/>
  <c r="D251" i="1"/>
  <c r="C251" i="1"/>
  <c r="B251" i="1"/>
  <c r="A251" i="1"/>
  <c r="E250" i="1"/>
  <c r="D250" i="1"/>
  <c r="C250" i="1"/>
  <c r="B250" i="1"/>
  <c r="A250" i="1"/>
  <c r="E249" i="1"/>
  <c r="D249" i="1"/>
  <c r="C249" i="1"/>
  <c r="B249" i="1"/>
  <c r="A249" i="1"/>
  <c r="E248" i="1"/>
  <c r="D248" i="1"/>
  <c r="C248" i="1"/>
  <c r="B248" i="1"/>
  <c r="A248" i="1"/>
  <c r="E247" i="1"/>
  <c r="D247" i="1"/>
  <c r="C247" i="1"/>
  <c r="B247" i="1"/>
  <c r="A247" i="1"/>
  <c r="E246" i="1"/>
  <c r="D246" i="1"/>
  <c r="C246" i="1"/>
  <c r="B246" i="1"/>
  <c r="A246" i="1"/>
  <c r="E245" i="1"/>
  <c r="D245" i="1"/>
  <c r="C245" i="1"/>
  <c r="B245" i="1"/>
  <c r="A245" i="1"/>
  <c r="E244" i="1"/>
  <c r="D244" i="1"/>
  <c r="C244" i="1"/>
  <c r="B244" i="1"/>
  <c r="A244" i="1"/>
  <c r="E243" i="1"/>
  <c r="D243" i="1"/>
  <c r="C243" i="1"/>
  <c r="B243" i="1"/>
  <c r="A243" i="1"/>
  <c r="E242" i="1"/>
  <c r="D242" i="1"/>
  <c r="C242" i="1"/>
  <c r="B242" i="1"/>
  <c r="A242" i="1"/>
  <c r="E241" i="1"/>
  <c r="D241" i="1"/>
  <c r="C241" i="1"/>
  <c r="B241" i="1"/>
  <c r="A241" i="1"/>
  <c r="E240" i="1"/>
  <c r="D240" i="1"/>
  <c r="C240" i="1"/>
  <c r="B240" i="1"/>
  <c r="A240" i="1"/>
  <c r="E239" i="1"/>
  <c r="D239" i="1"/>
  <c r="C239" i="1"/>
  <c r="B239" i="1"/>
  <c r="A239" i="1"/>
  <c r="E238" i="1"/>
  <c r="D238" i="1"/>
  <c r="C238" i="1"/>
  <c r="B238" i="1"/>
  <c r="A238" i="1"/>
  <c r="E237" i="1"/>
  <c r="D237" i="1"/>
  <c r="C237" i="1"/>
  <c r="B237" i="1"/>
  <c r="A237" i="1"/>
  <c r="E236" i="1"/>
  <c r="D236" i="1"/>
  <c r="C236" i="1"/>
  <c r="B236" i="1"/>
  <c r="A236" i="1"/>
  <c r="E235" i="1"/>
  <c r="D235" i="1"/>
  <c r="C235" i="1"/>
  <c r="B235" i="1"/>
  <c r="A235" i="1"/>
  <c r="E234" i="1"/>
  <c r="D234" i="1"/>
  <c r="C234" i="1"/>
  <c r="B234" i="1"/>
  <c r="A234" i="1"/>
  <c r="E233" i="1"/>
  <c r="D233" i="1"/>
  <c r="C233" i="1"/>
  <c r="B233" i="1"/>
  <c r="A233" i="1"/>
  <c r="E232" i="1"/>
  <c r="D232" i="1"/>
  <c r="C232" i="1"/>
  <c r="B232" i="1"/>
  <c r="A232" i="1"/>
  <c r="E231" i="1"/>
  <c r="D231" i="1"/>
  <c r="C231" i="1"/>
  <c r="B231" i="1"/>
  <c r="A231" i="1"/>
  <c r="E230" i="1"/>
  <c r="D230" i="1"/>
  <c r="C230" i="1"/>
  <c r="B230" i="1"/>
  <c r="A230" i="1"/>
  <c r="E229" i="1"/>
  <c r="D229" i="1"/>
  <c r="C229" i="1"/>
  <c r="B229" i="1"/>
  <c r="A229" i="1"/>
  <c r="E228" i="1"/>
  <c r="D228" i="1"/>
  <c r="C228" i="1"/>
  <c r="B228" i="1"/>
  <c r="A228" i="1"/>
  <c r="E227" i="1"/>
  <c r="D227" i="1"/>
  <c r="C227" i="1"/>
  <c r="B227" i="1"/>
  <c r="A227" i="1"/>
  <c r="E226" i="1"/>
  <c r="D226" i="1"/>
  <c r="C226" i="1"/>
  <c r="B226" i="1"/>
  <c r="A226" i="1"/>
  <c r="E225" i="1"/>
  <c r="D225" i="1"/>
  <c r="C225" i="1"/>
  <c r="B225" i="1"/>
  <c r="A225" i="1"/>
  <c r="E224" i="1"/>
  <c r="D224" i="1"/>
  <c r="C224" i="1"/>
  <c r="B224" i="1"/>
  <c r="A224" i="1"/>
  <c r="E223" i="1"/>
  <c r="D223" i="1"/>
  <c r="C223" i="1"/>
  <c r="B223" i="1"/>
  <c r="A223" i="1"/>
  <c r="E222" i="1"/>
  <c r="D222" i="1"/>
  <c r="C222" i="1"/>
  <c r="B222" i="1"/>
  <c r="A222" i="1"/>
  <c r="E221" i="1"/>
  <c r="D221" i="1"/>
  <c r="C221" i="1"/>
  <c r="B221" i="1"/>
  <c r="A221" i="1"/>
  <c r="E220" i="1"/>
  <c r="D220" i="1"/>
  <c r="C220" i="1"/>
  <c r="B220" i="1"/>
  <c r="A220" i="1"/>
  <c r="E219" i="1"/>
  <c r="D219" i="1"/>
  <c r="C219" i="1"/>
  <c r="B219" i="1"/>
  <c r="A219" i="1"/>
  <c r="E218" i="1"/>
  <c r="D218" i="1"/>
  <c r="C218" i="1"/>
  <c r="B218" i="1"/>
  <c r="A218" i="1"/>
  <c r="E217" i="1"/>
  <c r="D217" i="1"/>
  <c r="C217" i="1"/>
  <c r="B217" i="1"/>
  <c r="A217" i="1"/>
  <c r="E216" i="1"/>
  <c r="D216" i="1"/>
  <c r="C216" i="1"/>
  <c r="B216" i="1"/>
  <c r="A216" i="1"/>
  <c r="E215" i="1"/>
  <c r="D215" i="1"/>
  <c r="C215" i="1"/>
  <c r="B215" i="1"/>
  <c r="A215" i="1"/>
  <c r="E214" i="1"/>
  <c r="D214" i="1"/>
  <c r="C214" i="1"/>
  <c r="B214" i="1"/>
  <c r="A214" i="1"/>
  <c r="E213" i="1"/>
  <c r="D213" i="1"/>
  <c r="C213" i="1"/>
  <c r="B213" i="1"/>
  <c r="A213" i="1"/>
  <c r="E212" i="1"/>
  <c r="D212" i="1"/>
  <c r="C212" i="1"/>
  <c r="B212" i="1"/>
  <c r="A212" i="1"/>
  <c r="E211" i="1"/>
  <c r="D211" i="1"/>
  <c r="C211" i="1"/>
  <c r="B211" i="1"/>
  <c r="A211" i="1"/>
  <c r="E210" i="1"/>
  <c r="D210" i="1"/>
  <c r="C210" i="1"/>
  <c r="B210" i="1"/>
  <c r="A210" i="1"/>
  <c r="E209" i="1"/>
  <c r="D209" i="1"/>
  <c r="C209" i="1"/>
  <c r="B209" i="1"/>
  <c r="A209" i="1"/>
  <c r="E208" i="1"/>
  <c r="D208" i="1"/>
  <c r="C208" i="1"/>
  <c r="B208" i="1"/>
  <c r="A208" i="1"/>
  <c r="E207" i="1"/>
  <c r="D207" i="1"/>
  <c r="C207" i="1"/>
  <c r="B207" i="1"/>
  <c r="A207" i="1"/>
  <c r="E206" i="1"/>
  <c r="D206" i="1"/>
  <c r="C206" i="1"/>
  <c r="B206" i="1"/>
  <c r="A206" i="1"/>
  <c r="E205" i="1"/>
  <c r="D205" i="1"/>
  <c r="C205" i="1"/>
  <c r="B205" i="1"/>
  <c r="A205" i="1"/>
  <c r="E204" i="1"/>
  <c r="D204" i="1"/>
  <c r="C204" i="1"/>
  <c r="B204" i="1"/>
  <c r="A204" i="1"/>
  <c r="E203" i="1"/>
  <c r="D203" i="1"/>
  <c r="C203" i="1"/>
  <c r="B203" i="1"/>
  <c r="A203" i="1"/>
  <c r="E202" i="1"/>
  <c r="D202" i="1"/>
  <c r="C202" i="1"/>
  <c r="B202" i="1"/>
  <c r="A202" i="1"/>
  <c r="E201" i="1"/>
  <c r="D201" i="1"/>
  <c r="C201" i="1"/>
  <c r="B201" i="1"/>
  <c r="A201" i="1"/>
  <c r="E200" i="1"/>
  <c r="D200" i="1"/>
  <c r="C200" i="1"/>
  <c r="B200" i="1"/>
  <c r="A200" i="1"/>
  <c r="E199" i="1"/>
  <c r="D199" i="1"/>
  <c r="C199" i="1"/>
  <c r="B199" i="1"/>
  <c r="A199" i="1"/>
  <c r="E198" i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<sst xmlns="http://schemas.openxmlformats.org/spreadsheetml/2006/main" count="7" uniqueCount="7">
  <si>
    <t>代碼</t>
  </si>
  <si>
    <t>商品</t>
  </si>
  <si>
    <t>試撮價</t>
  </si>
  <si>
    <t>昨收</t>
  </si>
  <si>
    <t>試撮時間</t>
  </si>
  <si>
    <t>END</t>
    <phoneticPr fontId="1" type="noConversion"/>
  </si>
  <si>
    <t>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</si>
</sst>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ESUNAP" ddeTopic="Quote">
    <ddeItems>
      <ddeItem name="1101.TW-ID" advise="1">
        <values>
          <value t="str">
            <val>1101</val>
          </value>
        </values>
      </ddeItem>
      <ddeItem name="1101.TW-Name" advise="1">
        <values>
          <value t="str">
            <val>台泥</val>
          </value>
        </values>
      </ddeItem>
      <ddeItem name="1101.TW-PreClose" advise="1">
        <values>
          <value>
            <val>42.6</val>
          </value>
        </values>
      </ddeItem>
      <ddeItem name="1101.TW-Price" advise="1">
        <values>
          <value>
            <val>42.3</val>
          </value>
        </values>
      </ddeItem>
      <ddeItem name="1101.TW-SimulatePrice" advise="1">
        <values>
          <value>
            <val>42.3</val>
          </value>
        </values>
      </ddeItem>
      <ddeItem name="1101.TW-SimulateTime" advise="1">
        <values>
          <value t="str">
            <val>13:29:55</val>
          </value>
        </values>
      </ddeItem>
      <ddeItem name="1102.TW-ID" advise="1">
        <values>
          <value t="str">
            <val>1102</val>
          </value>
        </values>
      </ddeItem>
      <ddeItem name="1102.TW-Name" advise="1">
        <values>
          <value t="str">
            <val>亞泥</val>
          </value>
        </values>
      </ddeItem>
      <ddeItem name="1102.TW-PreClose" advise="1">
        <values>
          <value>
            <val>43.8</val>
          </value>
        </values>
      </ddeItem>
      <ddeItem name="1102.TW-Price" advise="1">
        <values>
          <value>
            <val>43.95</val>
          </value>
        </values>
      </ddeItem>
      <ddeItem name="1102.TW-SimulatePrice" advise="1">
        <values>
          <value>
            <val>43.95</val>
          </value>
        </values>
      </ddeItem>
      <ddeItem name="1102.TW-SimulateTime" advise="1">
        <values>
          <value t="str">
            <val>13:29:53</val>
          </value>
        </values>
      </ddeItem>
      <ddeItem name="1103.TW-ID" advise="1">
        <values>
          <value t="str">
            <val>1103</val>
          </value>
        </values>
      </ddeItem>
      <ddeItem name="1103.TW-Name" advise="1">
        <values>
          <value t="str">
            <val>嘉泥</val>
          </value>
        </values>
      </ddeItem>
      <ddeItem name="1103.TW-PreClose" advise="1">
        <values>
          <value>
            <val>16.2</val>
          </value>
        </values>
      </ddeItem>
      <ddeItem name="1103.TW-Price" advise="1">
        <values>
          <value>
            <val>16</val>
          </value>
        </values>
      </ddeItem>
      <ddeItem name="1103.TW-SimulatePrice" advise="1">
        <values>
          <value>
            <val>15.95</val>
          </value>
        </values>
      </ddeItem>
      <ddeItem name="1103.TW-SimulateTime" advise="1">
        <values>
          <value t="str">
            <val>13:29:55</val>
          </value>
        </values>
      </ddeItem>
      <ddeItem name="1104.TW-ID" advise="1">
        <values>
          <value t="str">
            <val>1104</val>
          </value>
        </values>
      </ddeItem>
      <ddeItem name="1104.TW-Name" advise="1">
        <values>
          <value t="str">
            <val>環泥</val>
          </value>
        </values>
      </ddeItem>
      <ddeItem name="1104.TW-PreClose" advise="1">
        <values>
          <value>
            <val>17.5</val>
          </value>
        </values>
      </ddeItem>
      <ddeItem name="1104.TW-Price" advise="1">
        <values>
          <value>
            <val>17.350000000000001</val>
          </value>
        </values>
      </ddeItem>
      <ddeItem name="1104.TW-SimulatePrice" advise="1">
        <values>
          <value>
            <val>17.350000000000001</val>
          </value>
        </values>
      </ddeItem>
      <ddeItem name="1104.TW-SimulateTime" advise="1">
        <values>
          <value t="str">
            <val>13:29:45</val>
          </value>
        </values>
      </ddeItem>
      <ddeItem name="1108.TW-ID" advise="1">
        <values>
          <value t="str">
            <val>1108</val>
          </value>
        </values>
      </ddeItem>
      <ddeItem name="1108.TW-Name" advise="1">
        <values>
          <value t="str">
            <val>幸福</val>
          </value>
        </values>
      </ddeItem>
      <ddeItem name="1108.TW-PreClose" advise="1">
        <values>
          <value>
            <val>7.79</val>
          </value>
        </values>
      </ddeItem>
      <ddeItem name="1108.TW-Price" advise="1">
        <values>
          <value>
            <val>8.4</val>
          </value>
        </values>
      </ddeItem>
      <ddeItem name="1108.TW-SimulatePrice" advise="1">
        <values>
          <value>
            <val>8.3800000000000008</val>
          </value>
        </values>
      </ddeItem>
      <ddeItem name="1108.TW-SimulateTime" advise="1">
        <values>
          <value t="str">
            <val>13:29:59</val>
          </value>
        </values>
      </ddeItem>
      <ddeItem name="1109.TW-ID" advise="1">
        <values>
          <value t="str">
            <val>1109</val>
          </value>
        </values>
      </ddeItem>
      <ddeItem name="1109.TW-Name" advise="1">
        <values>
          <value t="str">
            <val>信大</val>
          </value>
        </values>
      </ddeItem>
      <ddeItem name="1109.TW-PreClose" advise="1">
        <values>
          <value>
            <val>17.2</val>
          </value>
        </values>
      </ddeItem>
      <ddeItem name="1109.TW-Price" advise="1">
        <values>
          <value>
            <val>17.3</val>
          </value>
        </values>
      </ddeItem>
      <ddeItem name="1109.TW-SimulatePrice" advise="1">
        <values>
          <value>
            <val>17.3</val>
          </value>
        </values>
      </ddeItem>
      <ddeItem name="1109.TW-SimulateTime" advise="1">
        <values>
          <value t="str">
            <val>13:29:44</val>
          </value>
        </values>
      </ddeItem>
      <ddeItem name="1110.TW-ID" advise="1">
        <values>
          <value t="str">
            <val>1110</val>
          </value>
        </values>
      </ddeItem>
      <ddeItem name="1110.TW-Name" advise="1">
        <values>
          <value t="str">
            <val>東泥</val>
          </value>
        </values>
      </ddeItem>
      <ddeItem name="1110.TW-PreClose" advise="1">
        <values>
          <value>
            <val>15.85</val>
          </value>
        </values>
      </ddeItem>
      <ddeItem name="1110.TW-Price" advise="1">
        <values>
          <value>
            <val>15.85</val>
          </value>
        </values>
      </ddeItem>
      <ddeItem name="1110.TW-SimulatePrice" advise="1">
        <values>
          <value>
            <val>15.85</val>
          </value>
        </values>
      </ddeItem>
      <ddeItem name="1110.TW-SimulateTime" advise="1">
        <values>
          <value t="str">
            <val>13:29:58</val>
          </value>
        </values>
      </ddeItem>
      <ddeItem name="1201.TW-ID" advise="1">
        <values>
          <value t="str">
            <val>1201</val>
          </value>
        </values>
      </ddeItem>
      <ddeItem name="1201.TW-Name" advise="1">
        <values>
          <value t="str">
            <val>味全</val>
          </value>
        </values>
      </ddeItem>
      <ddeItem name="1201.TW-PreClose" advise="1">
        <values>
          <value>
            <val>22.15</val>
          </value>
        </values>
      </ddeItem>
      <ddeItem name="1201.TW-Price" advise="1">
        <values>
          <value>
            <val>22</val>
          </value>
        </values>
      </ddeItem>
      <ddeItem name="1201.TW-SimulatePrice" advise="1">
        <values>
          <value>
            <val>22</val>
          </value>
        </values>
      </ddeItem>
      <ddeItem name="1201.TW-SimulateTime" advise="1">
        <values>
          <value t="str">
            <val>13:29:59</val>
          </value>
        </values>
      </ddeItem>
      <ddeItem name="1203.TW-ID" advise="1">
        <values>
          <value t="str">
            <val>1203</val>
          </value>
        </values>
      </ddeItem>
      <ddeItem name="1203.TW-Name" advise="1">
        <values>
          <value t="str">
            <val>味王</val>
          </value>
        </values>
      </ddeItem>
      <ddeItem name="1203.TW-PreClose" advise="1">
        <values>
          <value>
            <val>28</val>
          </value>
        </values>
      </ddeItem>
      <ddeItem name="1203.TW-Price" advise="1">
        <values>
          <value>
            <val>27.8</val>
          </value>
        </values>
      </ddeItem>
      <ddeItem name="1203.TW-SimulatePrice" advise="1">
        <values>
          <value t="str">
            <val>--</val>
          </value>
        </values>
      </ddeItem>
      <ddeItem name="1203.TW-SimulateTime" advise="1">
        <values>
          <value t="str">
            <val>--</val>
          </value>
        </values>
      </ddeItem>
      <ddeItem name="1210.TW-ID" advise="1">
        <values>
          <value t="str">
            <val>1210</val>
          </value>
        </values>
      </ddeItem>
      <ddeItem name="1210.TW-Name" advise="1">
        <values>
          <value t="str">
            <val>大成</val>
          </value>
        </values>
      </ddeItem>
      <ddeItem name="1210.TW-PreClose" advise="1">
        <values>
          <value>
            <val>41.9</val>
          </value>
        </values>
      </ddeItem>
      <ddeItem name="1210.TW-Price" advise="1">
        <values>
          <value>
            <val>42.8</val>
          </value>
        </values>
      </ddeItem>
      <ddeItem name="1210.TW-SimulatePrice" advise="1">
        <values>
          <value>
            <val>42.8</val>
          </value>
        </values>
      </ddeItem>
      <ddeItem name="1210.TW-SimulateTime" advise="1">
        <values>
          <value t="str">
            <val>13:29:58</val>
          </value>
        </values>
      </ddeItem>
      <ddeItem name="1213.TW-ID" advise="1">
        <values>
          <value t="str">
            <val>1213</val>
          </value>
        </values>
      </ddeItem>
      <ddeItem name="1213.TW-Name" advise="1">
        <values>
          <value t="str">
            <val>大飲</val>
          </value>
        </values>
      </ddeItem>
      <ddeItem name="1213.TW-PreClose" advise="1">
        <values>
          <value>
            <val>5.83</val>
          </value>
        </values>
      </ddeItem>
      <ddeItem name="1213.TW-Price" advise="1">
        <values>
          <value>
            <val>5.96</val>
          </value>
        </values>
      </ddeItem>
      <ddeItem name="1213.TW-SimulatePrice" advise="1">
        <values>
          <value t="str">
            <val>--</val>
          </value>
        </values>
      </ddeItem>
      <ddeItem name="1213.TW-SimulateTime" advise="1">
        <values>
          <value t="str">
            <val>--</val>
          </value>
        </values>
      </ddeItem>
      <ddeItem name="1215.TW-ID" advise="1">
        <values>
          <value t="str">
            <val>1215</val>
          </value>
        </values>
      </ddeItem>
      <ddeItem name="1215.TW-Name" advise="1">
        <values>
          <value t="str">
            <val>卜蜂</val>
          </value>
        </values>
      </ddeItem>
      <ddeItem name="1215.TW-PreClose" advise="1">
        <values>
          <value>
            <val>70.599999999999994</val>
          </value>
        </values>
      </ddeItem>
      <ddeItem name="1215.TW-Price" advise="1">
        <values>
          <value>
            <val>70.3</val>
          </value>
        </values>
      </ddeItem>
      <ddeItem name="1215.TW-SimulatePrice" advise="1">
        <values>
          <value>
            <val>70.3</val>
          </value>
        </values>
      </ddeItem>
      <ddeItem name="1215.TW-SimulateTime" advise="1">
        <values>
          <value t="str">
            <val>13:29:59</val>
          </value>
        </values>
      </ddeItem>
      <ddeItem name="1216.TW-ID" advise="1">
        <values>
          <value t="str">
            <val>1216</val>
          </value>
        </values>
      </ddeItem>
      <ddeItem name="1216.TW-Name" advise="1">
        <values>
          <value t="str">
            <val>統一</val>
          </value>
        </values>
      </ddeItem>
      <ddeItem name="1216.TW-PreClose" advise="1">
        <values>
          <value>
            <val>70</val>
          </value>
        </values>
      </ddeItem>
      <ddeItem name="1216.TW-Price" advise="1">
        <values>
          <value>
            <val>69.099999999999994</val>
          </value>
        </values>
      </ddeItem>
      <ddeItem name="1216.TW-SimulatePrice" advise="1">
        <values>
          <value>
            <val>69.099999999999994</val>
          </value>
        </values>
      </ddeItem>
      <ddeItem name="1216.TW-SimulateTime" advise="1">
        <values>
          <value t="str">
            <val>13:29:57</val>
          </value>
        </values>
      </ddeItem>
      <ddeItem name="1217.TW-ID" advise="1">
        <values>
          <value t="str">
            <val>1217</val>
          </value>
        </values>
      </ddeItem>
      <ddeItem name="1217.TW-Name" advise="1">
        <values>
          <value t="str">
            <val>愛之味</val>
          </value>
        </values>
      </ddeItem>
      <ddeItem name="1217.TW-PreClose" advise="1">
        <values>
          <value>
            <val>7.02</val>
          </value>
        </values>
      </ddeItem>
      <ddeItem name="1217.TW-Price" advise="1">
        <values>
          <value>
            <val>7.06</val>
          </value>
        </values>
      </ddeItem>
      <ddeItem name="1217.TW-SimulatePrice" advise="1">
        <values>
          <value>
            <val>7.06</val>
          </value>
        </values>
      </ddeItem>
      <ddeItem name="1217.TW-SimulateTime" advise="1">
        <values>
          <value t="str">
            <val>13:29:39</val>
          </value>
        </values>
      </ddeItem>
      <ddeItem name="1218.TW-ID" advise="1">
        <values>
          <value t="str">
            <val>1218</val>
          </value>
        </values>
      </ddeItem>
      <ddeItem name="1218.TW-Name" advise="1">
        <values>
          <value t="str">
            <val>泰山</val>
          </value>
        </values>
      </ddeItem>
      <ddeItem name="1218.TW-PreClose" advise="1">
        <values>
          <value>
            <val>24.35</val>
          </value>
        </values>
      </ddeItem>
      <ddeItem name="1218.TW-Price" advise="1">
        <values>
          <value>
            <val>24.8</val>
          </value>
        </values>
      </ddeItem>
      <ddeItem name="1218.TW-SimulatePrice" advise="1">
        <values>
          <value>
            <val>24.8</val>
          </value>
        </values>
      </ddeItem>
      <ddeItem name="1218.TW-SimulateTime" advise="1">
        <values>
          <value t="str">
            <val>13:29:50</val>
          </value>
        </values>
      </ddeItem>
      <ddeItem name="1219.TW-ID" advise="1">
        <values>
          <value t="str">
            <val>1219</val>
          </value>
        </values>
      </ddeItem>
      <ddeItem name="1219.TW-Name" advise="1">
        <values>
          <value t="str">
            <val>福壽</val>
          </value>
        </values>
      </ddeItem>
      <ddeItem name="1219.TW-PreClose" advise="1">
        <values>
          <value>
            <val>18.25</val>
          </value>
        </values>
      </ddeItem>
      <ddeItem name="1219.TW-Price" advise="1">
        <values>
          <value>
            <val>19.2</val>
          </value>
        </values>
      </ddeItem>
      <ddeItem name="1219.TW-SimulatePrice" advise="1">
        <values>
          <value>
            <val>19.2</val>
          </value>
        </values>
      </ddeItem>
      <ddeItem name="1219.TW-SimulateTime" advise="1">
        <values>
          <value t="str">
            <val>13:29:43</val>
          </value>
        </values>
      </ddeItem>
      <ddeItem name="1220.TW-ID" advise="1">
        <values>
          <value t="str">
            <val>1220</val>
          </value>
        </values>
      </ddeItem>
      <ddeItem name="1220.TW-Name" advise="1">
        <values>
          <value t="str">
            <val>台榮</val>
          </value>
        </values>
      </ddeItem>
      <ddeItem name="1220.TW-PreClose" advise="1">
        <values>
          <value>
            <val>10.5</val>
          </value>
        </values>
      </ddeItem>
      <ddeItem name="1220.TW-Price" advise="1">
        <values>
          <value>
            <val>10.45</val>
          </value>
        </values>
      </ddeItem>
      <ddeItem name="1220.TW-SimulatePrice" advise="1">
        <values>
          <value>
            <val>10.45</val>
          </value>
        </values>
      </ddeItem>
      <ddeItem name="1220.TW-SimulateTime" advise="1">
        <values>
          <value t="str">
            <val>13:26:31</val>
          </value>
        </values>
      </ddeItem>
      <ddeItem name="1225.TW-ID" advise="1">
        <values>
          <value t="str">
            <val>1225</val>
          </value>
        </values>
      </ddeItem>
      <ddeItem name="1225.TW-Name" advise="1">
        <values>
          <value t="str">
            <val>福懋油</val>
          </value>
        </values>
      </ddeItem>
      <ddeItem name="1225.TW-PreClose" advise="1">
        <values>
          <value>
            <val>37.6</val>
          </value>
        </values>
      </ddeItem>
      <ddeItem name="1225.TW-Price" advise="1">
        <values>
          <value>
            <val>36.15</val>
          </value>
        </values>
      </ddeItem>
      <ddeItem name="1225.TW-SimulatePrice" advise="1">
        <values>
          <value>
            <val>36.15</val>
          </value>
        </values>
      </ddeItem>
      <ddeItem name="1225.TW-SimulateTime" advise="1">
        <values>
          <value t="str">
            <val>13:29:45</val>
          </value>
        </values>
      </ddeItem>
      <ddeItem name="1227.TW-ID" advise="1">
        <values>
          <value t="str">
            <val>1227</val>
          </value>
        </values>
      </ddeItem>
      <ddeItem name="1227.TW-Name" advise="1">
        <values>
          <value t="str">
            <val>佳格</val>
          </value>
        </values>
      </ddeItem>
      <ddeItem name="1227.TW-PreClose" advise="1">
        <values>
          <value>
            <val>67.8</val>
          </value>
        </values>
      </ddeItem>
      <ddeItem name="1227.TW-Price" advise="1">
        <values>
          <value>
            <val>67</val>
          </value>
        </values>
      </ddeItem>
      <ddeItem name="1227.TW-SimulatePrice" advise="1">
        <values>
          <value>
            <val>67</val>
          </value>
        </values>
      </ddeItem>
      <ddeItem name="1227.TW-SimulateTime" advise="1">
        <values>
          <value t="str">
            <val>13:29:55</val>
          </value>
        </values>
      </ddeItem>
      <ddeItem name="1229.TW-ID" advise="1">
        <values>
          <value t="str">
            <val>1229</val>
          </value>
        </values>
      </ddeItem>
      <ddeItem name="1229.TW-Name" advise="1">
        <values>
          <value t="str">
            <val>聯華</val>
          </value>
        </values>
      </ddeItem>
      <ddeItem name="1229.TW-PreClose" advise="1">
        <values>
          <value>
            <val>41.1</val>
          </value>
        </values>
      </ddeItem>
      <ddeItem name="1229.TW-Price" advise="1">
        <values>
          <value>
            <val>41.25</val>
          </value>
        </values>
      </ddeItem>
      <ddeItem name="1229.TW-SimulatePrice" advise="1">
        <values>
          <value>
            <val>41.3</val>
          </value>
        </values>
      </ddeItem>
      <ddeItem name="1229.TW-SimulateTime" advise="1">
        <values>
          <value t="str">
            <val>13:29:56</val>
          </value>
        </values>
      </ddeItem>
      <ddeItem name="1231.TW-ID" advise="1">
        <values>
          <value t="str">
            <val>1231</val>
          </value>
        </values>
      </ddeItem>
      <ddeItem name="1231.TW-Name" advise="1">
        <values>
          <value t="str">
            <val>聯華食</val>
          </value>
        </values>
      </ddeItem>
      <ddeItem name="1231.TW-PreClose" advise="1">
        <values>
          <value>
            <val>41.2</val>
          </value>
        </values>
      </ddeItem>
      <ddeItem name="1231.TW-Price" advise="1">
        <values>
          <value>
            <val>41.05</val>
          </value>
        </values>
      </ddeItem>
      <ddeItem name="1231.TW-SimulatePrice" advise="1">
        <values>
          <value>
            <val>41.15</val>
          </value>
        </values>
      </ddeItem>
      <ddeItem name="1231.TW-SimulateTime" advise="1">
        <values>
          <value t="str">
            <val>13:26:53</val>
          </value>
        </values>
      </ddeItem>
      <ddeItem name="1232.TW-ID" advise="1">
        <values>
          <value t="str">
            <val>1232</val>
          </value>
        </values>
      </ddeItem>
      <ddeItem name="1232.TW-Name" advise="1">
        <values>
          <value t="str">
            <val>大統益</val>
          </value>
        </values>
      </ddeItem>
      <ddeItem name="1232.TW-PreClose" advise="1">
        <values>
          <value>
            <val>117.5</val>
          </value>
        </values>
      </ddeItem>
      <ddeItem name="1232.TW-Price" advise="1">
        <values>
          <value>
            <val>117.5</val>
          </value>
        </values>
      </ddeItem>
      <ddeItem name="1232.TW-SimulatePrice" advise="1">
        <values>
          <value>
            <val>117.5</val>
          </value>
        </values>
      </ddeItem>
      <ddeItem name="1232.TW-SimulateTime" advise="1">
        <values>
          <value t="str">
            <val>13:29:52</val>
          </value>
        </values>
      </ddeItem>
      <ddeItem name="1233.TW-ID" advise="1">
        <values>
          <value t="str">
            <val>1233</val>
          </value>
        </values>
      </ddeItem>
      <ddeItem name="1233.TW-Name" advise="1">
        <values>
          <value t="str">
            <val>天仁</val>
          </value>
        </values>
      </ddeItem>
      <ddeItem name="1233.TW-PreClose" advise="1">
        <values>
          <value>
            <val>36</val>
          </value>
        </values>
      </ddeItem>
      <ddeItem name="1233.TW-Price" advise="1">
        <values>
          <value>
            <val>35.799999999999997</val>
          </value>
        </values>
      </ddeItem>
      <ddeItem name="1233.TW-SimulatePrice" advise="1">
        <values>
          <value t="str">
            <val>--</val>
          </value>
        </values>
      </ddeItem>
      <ddeItem name="1233.TW-SimulateTime" advise="1">
        <values>
          <value t="str">
            <val>--</val>
          </value>
        </values>
      </ddeItem>
      <ddeItem name="1234.TW-ID" advise="1">
        <values>
          <value t="str">
            <val>1234</val>
          </value>
        </values>
      </ddeItem>
      <ddeItem name="1234.TW-Name" advise="1">
        <values>
          <value t="str">
            <val>黑松</val>
          </value>
        </values>
      </ddeItem>
      <ddeItem name="1234.TW-PreClose" advise="1">
        <values>
          <value>
            <val>31.75</val>
          </value>
        </values>
      </ddeItem>
      <ddeItem name="1234.TW-Price" advise="1">
        <values>
          <value>
            <val>31.9</val>
          </value>
        </values>
      </ddeItem>
      <ddeItem name="1234.TW-SimulatePrice" advise="1">
        <values>
          <value t="str">
            <val>--</val>
          </value>
        </values>
      </ddeItem>
      <ddeItem name="1234.TW-SimulateTime" advise="1">
        <values>
          <value t="str">
            <val>--</val>
          </value>
        </values>
      </ddeItem>
      <ddeItem name="1235.TW-ID" advise="1">
        <values>
          <value t="str">
            <val>1235</val>
          </value>
        </values>
      </ddeItem>
      <ddeItem name="1235.TW-Name" advise="1">
        <values>
          <value t="str">
            <val>興泰</val>
          </value>
        </values>
      </ddeItem>
      <ddeItem name="1235.TW-PreClose" advise="1">
        <values>
          <value>
            <val>25.5</val>
          </value>
        </values>
      </ddeItem>
      <ddeItem name="1235.TW-Price" advise="1">
        <values>
          <value>
            <val>25.2</val>
          </value>
        </values>
      </ddeItem>
      <ddeItem name="1235.TW-SimulatePrice" advise="1">
        <values>
          <value>
            <val>25.2</val>
          </value>
        </values>
      </ddeItem>
      <ddeItem name="1235.TW-SimulateTime" advise="1">
        <values>
          <value t="str">
            <val>13:28:21</val>
          </value>
        </values>
      </ddeItem>
      <ddeItem name="1236.TW-ID" advise="1">
        <values>
          <value t="str">
            <val>1236</val>
          </value>
        </values>
      </ddeItem>
      <ddeItem name="1236.TW-Name" advise="1">
        <values>
          <value t="str">
            <val>宏亞</val>
          </value>
        </values>
      </ddeItem>
      <ddeItem name="1236.TW-PreClose" advise="1">
        <values>
          <value>
            <val>11.95</val>
          </value>
        </values>
      </ddeItem>
      <ddeItem name="1236.TW-Price" advise="1">
        <values>
          <value>
            <val>11.95</val>
          </value>
        </values>
      </ddeItem>
      <ddeItem name="1236.TW-SimulatePrice" advise="1">
        <values>
          <value>
            <val>11.95</val>
          </value>
        </values>
      </ddeItem>
      <ddeItem name="1236.TW-SimulateTime" advise="1">
        <values>
          <value t="str">
            <val>13:25:50</val>
          </value>
        </values>
      </ddeItem>
      <ddeItem name="1256.TW-ID" advise="1">
        <values>
          <value t="str">
            <val>1256</val>
          </value>
        </values>
      </ddeItem>
      <ddeItem name="1256.TW-Name" advise="1">
        <values>
          <value t="str">
            <val>鮮活果汁-KY</val>
          </value>
        </values>
      </ddeItem>
      <ddeItem name="1256.TW-PreClose" advise="1">
        <values>
          <value>
            <val>197.5</val>
          </value>
        </values>
      </ddeItem>
      <ddeItem name="1256.TW-Price" advise="1">
        <values>
          <value>
            <val>197.5</val>
          </value>
        </values>
      </ddeItem>
      <ddeItem name="1256.TW-SimulatePrice" advise="1">
        <values>
          <value>
            <val>197.5</val>
          </value>
        </values>
      </ddeItem>
      <ddeItem name="1256.TW-SimulateTime" advise="1">
        <values>
          <value t="str">
            <val>13:29:46</val>
          </value>
        </values>
      </ddeItem>
      <ddeItem name="1301.TW-ID" advise="1">
        <values>
          <value t="str">
            <val>1301</val>
          </value>
        </values>
      </ddeItem>
      <ddeItem name="1301.TW-Name" advise="1">
        <values>
          <value t="str">
            <val>台塑</val>
          </value>
        </values>
      </ddeItem>
      <ddeItem name="1301.TW-PreClose" advise="1">
        <values>
          <value>
            <val>83.5</val>
          </value>
        </values>
      </ddeItem>
      <ddeItem name="1301.TW-Price" advise="1">
        <values>
          <value>
            <val>83.6</val>
          </value>
        </values>
      </ddeItem>
      <ddeItem name="1301.TW-SimulatePrice" advise="1">
        <values>
          <value>
            <val>83.6</val>
          </value>
        </values>
      </ddeItem>
      <ddeItem name="1301.TW-SimulateTime" advise="1">
        <values>
          <value t="str">
            <val>13:29:59</val>
          </value>
        </values>
      </ddeItem>
      <ddeItem name="1303.TW-ID" advise="1">
        <values>
          <value t="str">
            <val>1303</val>
          </value>
        </values>
      </ddeItem>
      <ddeItem name="1303.TW-Name" advise="1">
        <values>
          <value t="str">
            <val>南亞</val>
          </value>
        </values>
      </ddeItem>
      <ddeItem name="1303.TW-PreClose" advise="1">
        <values>
          <value>
            <val>62.7</val>
          </value>
        </values>
      </ddeItem>
      <ddeItem name="1303.TW-Price" advise="1">
        <values>
          <value>
            <val>62.7</val>
          </value>
        </values>
      </ddeItem>
      <ddeItem name="1303.TW-SimulatePrice" advise="1">
        <values>
          <value>
            <val>62.7</val>
          </value>
        </values>
      </ddeItem>
      <ddeItem name="1303.TW-SimulateTime" advise="1">
        <values>
          <value t="str">
            <val>13:29:55</val>
          </value>
        </values>
      </ddeItem>
      <ddeItem name="1304.TW-ID" advise="1">
        <values>
          <value t="str">
            <val>1304</val>
          </value>
        </values>
      </ddeItem>
      <ddeItem name="1304.TW-Name" advise="1">
        <values>
          <value t="str">
            <val>台聚</val>
          </value>
        </values>
      </ddeItem>
      <ddeItem name="1304.TW-PreClose" advise="1">
        <values>
          <value>
            <val>11.85</val>
          </value>
        </values>
      </ddeItem>
      <ddeItem name="1304.TW-Price" advise="1">
        <values>
          <value>
            <val>11.85</val>
          </value>
        </values>
      </ddeItem>
      <ddeItem name="1304.TW-SimulatePrice" advise="1">
        <values>
          <value>
            <val>11.85</val>
          </value>
        </values>
      </ddeItem>
      <ddeItem name="1304.TW-SimulateTime" advise="1">
        <values>
          <value t="str">
            <val>13:29:57</val>
          </value>
        </values>
      </ddeItem>
      <ddeItem name="1305.TW-ID" advise="1">
        <values>
          <value t="str">
            <val>1305</val>
          </value>
        </values>
      </ddeItem>
      <ddeItem name="1305.TW-Name" advise="1">
        <values>
          <value t="str">
            <val>華夏</val>
          </value>
        </values>
      </ddeItem>
      <ddeItem name="1305.TW-PreClose" advise="1">
        <values>
          <value>
            <val>17.399999999999999</val>
          </value>
        </values>
      </ddeItem>
      <ddeItem name="1305.TW-Price" advise="1">
        <values>
          <value>
            <val>18.149999999999999</val>
          </value>
        </values>
      </ddeItem>
      <ddeItem name="1305.TW-SimulatePrice" advise="1">
        <values>
          <value>
            <val>18.149999999999999</val>
          </value>
        </values>
      </ddeItem>
      <ddeItem name="1305.TW-SimulateTime" advise="1">
        <values>
          <value t="str">
            <val>13:29:57</val>
          </value>
        </values>
      </ddeItem>
      <ddeItem name="1307.TW-ID" advise="1">
        <values>
          <value t="str">
            <val>1307</val>
          </value>
        </values>
      </ddeItem>
      <ddeItem name="1307.TW-Name" advise="1">
        <values>
          <value t="str">
            <val>三芳</val>
          </value>
        </values>
      </ddeItem>
      <ddeItem name="1307.TW-PreClose" advise="1">
        <values>
          <value>
            <val>22.65</val>
          </value>
        </values>
      </ddeItem>
      <ddeItem name="1307.TW-Price" advise="1">
        <values>
          <value>
            <val>22.6</val>
          </value>
        </values>
      </ddeItem>
      <ddeItem name="1307.TW-SimulatePrice" advise="1">
        <values>
          <value t="str">
            <val>--</val>
          </value>
        </values>
      </ddeItem>
      <ddeItem name="1307.TW-SimulateTime" advise="1">
        <values>
          <value t="str">
            <val>--</val>
          </value>
        </values>
      </ddeItem>
      <ddeItem name="1308.TW-ID" advise="1">
        <values>
          <value t="str">
            <val>1308</val>
          </value>
        </values>
      </ddeItem>
      <ddeItem name="1308.TW-Name" advise="1">
        <values>
          <value t="str">
            <val>亞聚</val>
          </value>
        </values>
      </ddeItem>
      <ddeItem name="1308.TW-PreClose" advise="1">
        <values>
          <value>
            <val>16.75</val>
          </value>
        </values>
      </ddeItem>
      <ddeItem name="1308.TW-Price" advise="1">
        <values>
          <value>
            <val>17</val>
          </value>
        </values>
      </ddeItem>
      <ddeItem name="1308.TW-SimulatePrice" advise="1">
        <values>
          <value>
            <val>17</val>
          </value>
        </values>
      </ddeItem>
      <ddeItem name="1308.TW-SimulateTime" advise="1">
        <values>
          <value t="str">
            <val>13:29:56</val>
          </value>
        </values>
      </ddeItem>
      <ddeItem name="1309.TW-ID" advise="1">
        <values>
          <value t="str">
            <val>1309</val>
          </value>
        </values>
      </ddeItem>
      <ddeItem name="1309.TW-Name" advise="1">
        <values>
          <value t="str">
            <val>台達化</val>
          </value>
        </values>
      </ddeItem>
      <ddeItem name="1309.TW-PreClose" advise="1">
        <values>
          <value>
            <val>10.1</val>
          </value>
        </values>
      </ddeItem>
      <ddeItem name="1309.TW-Price" advise="1">
        <values>
          <value>
            <val>10.8</val>
          </value>
        </values>
      </ddeItem>
      <ddeItem name="1309.TW-SimulatePrice" advise="1">
        <values>
          <value>
            <val>10.8</val>
          </value>
        </values>
      </ddeItem>
      <ddeItem name="1309.TW-SimulateTime" advise="1">
        <values>
          <value t="str">
            <val>13:29:56</val>
          </value>
        </values>
      </ddeItem>
      <ddeItem name="1310.TW-ID" advise="1">
        <values>
          <value t="str">
            <val>1310</val>
          </value>
        </values>
      </ddeItem>
      <ddeItem name="1310.TW-Name" advise="1">
        <values>
          <value t="str">
            <val>台苯</val>
          </value>
        </values>
      </ddeItem>
      <ddeItem name="1310.TW-PreClose" advise="1">
        <values>
          <value>
            <val>16.100000000000001</val>
          </value>
        </values>
      </ddeItem>
      <ddeItem name="1310.TW-Price" advise="1">
        <values>
          <value>
            <val>16</val>
          </value>
        </values>
      </ddeItem>
      <ddeItem name="1310.TW-SimulatePrice" advise="1">
        <values>
          <value>
            <val>16</val>
          </value>
        </values>
      </ddeItem>
      <ddeItem name="1310.TW-SimulateTime" advise="1">
        <values>
          <value t="str">
            <val>13:29:44</val>
          </value>
        </values>
      </ddeItem>
      <ddeItem name="1312.TW-ID" advise="1">
        <values>
          <value t="str">
            <val>1312</val>
          </value>
        </values>
      </ddeItem>
      <ddeItem name="1312.TW-Name" advise="1">
        <values>
          <value t="str">
            <val>國喬</val>
          </value>
        </values>
      </ddeItem>
      <ddeItem name="1312.TW-PreClose" advise="1">
        <values>
          <value>
            <val>13.8</val>
          </value>
        </values>
      </ddeItem>
      <ddeItem name="1312.TW-Price" advise="1">
        <values>
          <value>
            <val>13.8</val>
          </value>
        </values>
      </ddeItem>
      <ddeItem name="1312.TW-SimulatePrice" advise="1">
        <values>
          <value>
            <val>13.8</val>
          </value>
        </values>
      </ddeItem>
      <ddeItem name="1312.TW-SimulateTime" advise="1">
        <values>
          <value t="str">
            <val>13:29:50</val>
          </value>
        </values>
      </ddeItem>
      <ddeItem name="1313.TW-ID" advise="1">
        <values>
          <value t="str">
            <val>1313</val>
          </value>
        </values>
      </ddeItem>
      <ddeItem name="1313.TW-Name" advise="1">
        <values>
          <value t="str">
            <val>聯成</val>
          </value>
        </values>
      </ddeItem>
      <ddeItem name="1313.TW-PreClose" advise="1">
        <values>
          <value>
            <val>9.16</val>
          </value>
        </values>
      </ddeItem>
      <ddeItem name="1313.TW-Price" advise="1">
        <values>
          <value>
            <val>9.31</val>
          </value>
        </values>
      </ddeItem>
      <ddeItem name="1313.TW-SimulatePrice" advise="1">
        <values>
          <value>
            <val>9.31</val>
          </value>
        </values>
      </ddeItem>
      <ddeItem name="1313.TW-SimulateTime" advise="1">
        <values>
          <value t="str">
            <val>13:29:56</val>
          </value>
        </values>
      </ddeItem>
      <ddeItem name="1314.TW-ID" advise="1">
        <values>
          <value t="str">
            <val>1314</val>
          </value>
        </values>
      </ddeItem>
      <ddeItem name="1314.TW-Name" advise="1">
        <values>
          <value t="str">
            <val>中石化</val>
          </value>
        </values>
      </ddeItem>
      <ddeItem name="1314.TW-PreClose" advise="1">
        <values>
          <value>
            <val>8.18</val>
          </value>
        </values>
      </ddeItem>
      <ddeItem name="1314.TW-Price" advise="1">
        <values>
          <value>
            <val>8.09</val>
          </value>
        </values>
      </ddeItem>
      <ddeItem name="1314.TW-SimulatePrice" advise="1">
        <values>
          <value>
            <val>8.08</val>
          </value>
        </values>
      </ddeItem>
      <ddeItem name="1314.TW-SimulateTime" advise="1">
        <values>
          <value t="str">
            <val>13:29:58</val>
          </value>
        </values>
      </ddeItem>
      <ddeItem name="1315.TW-ID" advise="1">
        <values>
          <value t="str">
            <val>1315</val>
          </value>
        </values>
      </ddeItem>
      <ddeItem name="1315.TW-Name" advise="1">
        <values>
          <value t="str">
            <val>達新</val>
          </value>
        </values>
      </ddeItem>
      <ddeItem name="1315.TW-PreClose" advise="1">
        <values>
          <value>
            <val>48.3</val>
          </value>
        </values>
      </ddeItem>
      <ddeItem name="1315.TW-Price" advise="1">
        <values>
          <value>
            <val>51.1</val>
          </value>
        </values>
      </ddeItem>
      <ddeItem name="1315.TW-SimulatePrice" advise="1">
        <values>
          <value>
            <val>51.1</val>
          </value>
        </values>
      </ddeItem>
      <ddeItem name="1315.TW-SimulateTime" advise="1">
        <values>
          <value t="str">
            <val>13:29:58</val>
          </value>
        </values>
      </ddeItem>
      <ddeItem name="1316.TW-ID" advise="1">
        <values>
          <value t="str">
            <val>1316</val>
          </value>
        </values>
      </ddeItem>
      <ddeItem name="1316.TW-Name" advise="1">
        <values>
          <value t="str">
            <val>上曜</val>
          </value>
        </values>
      </ddeItem>
      <ddeItem name="1316.TW-PreClose" advise="1">
        <values>
          <value>
            <val>11.1</val>
          </value>
        </values>
      </ddeItem>
      <ddeItem name="1316.TW-Price" advise="1">
        <values>
          <value>
            <val>11.15</val>
          </value>
        </values>
      </ddeItem>
      <ddeItem name="1316.TW-SimulatePrice" advise="1">
        <values>
          <value>
            <val>11.15</val>
          </value>
        </values>
      </ddeItem>
      <ddeItem name="1316.TW-SimulateTime" advise="1">
        <values>
          <value t="str">
            <val>13:29:58</val>
          </value>
        </values>
      </ddeItem>
      <ddeItem name="1319.TW-ID" advise="1">
        <values>
          <value t="str">
            <val>1319</val>
          </value>
        </values>
      </ddeItem>
      <ddeItem name="1319.TW-Name" advise="1">
        <values>
          <value t="str">
            <val>東陽</val>
          </value>
        </values>
      </ddeItem>
      <ddeItem name="1319.TW-PreClose" advise="1">
        <values>
          <value>
            <val>35.299999999999997</val>
          </value>
        </values>
      </ddeItem>
      <ddeItem name="1319.TW-Price" advise="1">
        <values>
          <value>
            <val>34.799999999999997</val>
          </value>
        </values>
      </ddeItem>
      <ddeItem name="1319.TW-SimulatePrice" advise="1">
        <values>
          <value>
            <val>34.799999999999997</val>
          </value>
        </values>
      </ddeItem>
      <ddeItem name="1319.TW-SimulateTime" advise="1">
        <values>
          <value t="str">
            <val>13:29:45</val>
          </value>
        </values>
      </ddeItem>
      <ddeItem name="1321.TW-ID" advise="1">
        <values>
          <value t="str">
            <val>1321</val>
          </value>
        </values>
      </ddeItem>
      <ddeItem name="1321.TW-Name" advise="1">
        <values>
          <value t="str">
            <val>大洋</val>
          </value>
        </values>
      </ddeItem>
      <ddeItem name="1321.TW-PreClose" advise="1">
        <values>
          <value>
            <val>30.35</val>
          </value>
        </values>
      </ddeItem>
      <ddeItem name="1321.TW-Price" advise="1">
        <values>
          <value>
            <val>29.6</val>
          </value>
        </values>
      </ddeItem>
      <ddeItem name="1321.TW-SimulatePrice" advise="1">
        <values>
          <value>
            <val>29.6</val>
          </value>
        </values>
      </ddeItem>
      <ddeItem name="1321.TW-SimulateTime" advise="1">
        <values>
          <value t="str">
            <val>13:29:57</val>
          </value>
        </values>
      </ddeItem>
      <ddeItem name="1323.TW-ID" advise="1">
        <values>
          <value t="str">
            <val>1323</val>
          </value>
        </values>
      </ddeItem>
      <ddeItem name="1323.TW-Name" advise="1">
        <values>
          <value t="str">
            <val>永裕</val>
          </value>
        </values>
      </ddeItem>
      <ddeItem name="1323.TW-PreClose" advise="1">
        <values>
          <value>
            <val>32.799999999999997</val>
          </value>
        </values>
      </ddeItem>
      <ddeItem name="1323.TW-Price" advise="1">
        <values>
          <value>
            <val>33.200000000000003</val>
          </value>
        </values>
      </ddeItem>
      <ddeItem name="1323.TW-SimulatePrice" advise="1">
        <values>
          <value>
            <val>33.200000000000003</val>
          </value>
        </values>
      </ddeItem>
      <ddeItem name="1323.TW-SimulateTime" advise="1">
        <values>
          <value t="str">
            <val>13:29:57</val>
          </value>
        </values>
      </ddeItem>
      <ddeItem name="1324.TW-ID" advise="1">
        <values>
          <value t="str">
            <val>1324</val>
          </value>
        </values>
      </ddeItem>
      <ddeItem name="1324.TW-Name" advise="1">
        <values>
          <value t="str">
            <val>地球</val>
          </value>
        </values>
      </ddeItem>
      <ddeItem name="1324.TW-PreClose" advise="1">
        <values>
          <value>
            <val>9.1999999999999993</val>
          </value>
        </values>
      </ddeItem>
      <ddeItem name="1324.TW-Price" advise="1">
        <values>
          <value>
            <val>9.02</val>
          </value>
        </values>
      </ddeItem>
      <ddeItem name="1324.TW-SimulatePrice" advise="1">
        <values>
          <value t="str">
            <val>--</val>
          </value>
        </values>
      </ddeItem>
      <ddeItem name="1324.TW-SimulateTime" advise="1">
        <values>
          <value t="str">
            <val>--</val>
          </value>
        </values>
      </ddeItem>
      <ddeItem name="1325.TW-ID" advise="1">
        <values>
          <value t="str">
            <val>1325</val>
          </value>
        </values>
      </ddeItem>
      <ddeItem name="1325.TW-Name" advise="1">
        <values>
          <value t="str">
            <val>恆大</val>
          </value>
        </values>
      </ddeItem>
      <ddeItem name="1325.TW-PreClose" advise="1">
        <values>
          <value>
            <val>103</val>
          </value>
        </values>
      </ddeItem>
      <ddeItem name="1325.TW-Price" advise="1">
        <values>
          <value>
            <val>113</val>
          </value>
        </values>
      </ddeItem>
      <ddeItem name="1325.TW-SimulatePrice" advise="1">
        <values>
          <value t="str">
            <val>--</val>
          </value>
        </values>
      </ddeItem>
      <ddeItem name="1325.TW-SimulateTime" advise="1">
        <values>
          <value t="str">
            <val>--</val>
          </value>
        </values>
      </ddeItem>
      <ddeItem name="1326.TW-ID" advise="1">
        <values>
          <value t="str">
            <val>1326</val>
          </value>
        </values>
      </ddeItem>
      <ddeItem name="1326.TW-Name" advise="1">
        <values>
          <value t="str">
            <val>台化</val>
          </value>
        </values>
      </ddeItem>
      <ddeItem name="1326.TW-PreClose" advise="1">
        <values>
          <value>
            <val>72.599999999999994</val>
          </value>
        </values>
      </ddeItem>
      <ddeItem name="1326.TW-Price" advise="1">
        <values>
          <value>
            <val>72.3</val>
          </value>
        </values>
      </ddeItem>
      <ddeItem name="1326.TW-SimulatePrice" advise="1">
        <values>
          <value>
            <val>72.3</val>
          </value>
        </values>
      </ddeItem>
      <ddeItem name="1326.TW-SimulateTime" advise="1">
        <values>
          <value t="str">
            <val>13:29:58</val>
          </value>
        </values>
      </ddeItem>
      <ddeItem name="1337.TW-ID" advise="1">
        <values>
          <value t="str">
            <val>1337</val>
          </value>
        </values>
      </ddeItem>
      <ddeItem name="1337.TW-Name" advise="1">
        <values>
          <value t="str">
            <val>再生-KY</val>
          </value>
        </values>
      </ddeItem>
      <ddeItem name="1337.TW-PreClose" advise="1">
        <values>
          <value>
            <val>4.8</val>
          </value>
        </values>
      </ddeItem>
      <ddeItem name="1337.TW-Price" advise="1">
        <values>
          <value>
            <val>4.91</val>
          </value>
        </values>
      </ddeItem>
      <ddeItem name="1337.TW-SimulatePrice" advise="1">
        <values>
          <value>
            <val>4.91</val>
          </value>
        </values>
      </ddeItem>
      <ddeItem name="1337.TW-SimulateTime" advise="1">
        <values>
          <value t="str">
            <val>13:29:52</val>
          </value>
        </values>
      </ddeItem>
      <ddeItem name="1338.TW-ID" advise="1">
        <values>
          <value t="str">
            <val>1338</val>
          </value>
        </values>
      </ddeItem>
      <ddeItem name="1338.TW-Name" advise="1">
        <values>
          <value t="str">
            <val>廣華-KY</val>
          </value>
        </values>
      </ddeItem>
      <ddeItem name="1338.TW-PreClose" advise="1">
        <values>
          <value>
            <val>50</val>
          </value>
        </values>
      </ddeItem>
      <ddeItem name="1338.TW-Price" advise="1">
        <values>
          <value>
            <val>49.3</val>
          </value>
        </values>
      </ddeItem>
      <ddeItem name="1338.TW-SimulatePrice" advise="1">
        <values>
          <value>
            <val>49.4</val>
          </value>
        </values>
      </ddeItem>
      <ddeItem name="1338.TW-SimulateTime" advise="1">
        <values>
          <value t="str">
            <val>13:29:59</val>
          </value>
        </values>
      </ddeItem>
      <ddeItem name="1339.TW-ID" advise="1">
        <values>
          <value t="str">
            <val>1339</val>
          </value>
        </values>
      </ddeItem>
      <ddeItem name="1339.TW-Name" advise="1">
        <values>
          <value t="str">
            <val>昭輝</val>
          </value>
        </values>
      </ddeItem>
      <ddeItem name="1339.TW-PreClose" advise="1">
        <values>
          <value>
            <val>38.950000000000003</val>
          </value>
        </values>
      </ddeItem>
      <ddeItem name="1339.TW-Price" advise="1">
        <values>
          <value>
            <val>38.4</val>
          </value>
        </values>
      </ddeItem>
      <ddeItem name="1339.TW-SimulatePrice" advise="1">
        <values>
          <value>
            <val>38.4</val>
          </value>
        </values>
      </ddeItem>
      <ddeItem name="1339.TW-SimulateTime" advise="1">
        <values>
          <value t="str">
            <val>13:28:49</val>
          </value>
        </values>
      </ddeItem>
      <ddeItem name="1340.TW-ID" advise="1">
        <values>
          <value t="str">
            <val>1340</val>
          </value>
        </values>
      </ddeItem>
      <ddeItem name="1340.TW-Name" advise="1">
        <values>
          <value t="str">
            <val>勝悅-KY</val>
          </value>
        </values>
      </ddeItem>
      <ddeItem name="1340.TW-PreClose" advise="1">
        <values>
          <value>
            <val>9.9</val>
          </value>
        </values>
      </ddeItem>
      <ddeItem name="1340.TW-Price" advise="1">
        <values>
          <value>
            <val>10.050000000000001</val>
          </value>
        </values>
      </ddeItem>
      <ddeItem name="1340.TW-SimulatePrice" advise="1">
        <values>
          <value>
            <val>10.050000000000001</val>
          </value>
        </values>
      </ddeItem>
      <ddeItem name="1340.TW-SimulateTime" advise="1">
        <values>
          <value t="str">
            <val>13:29:54</val>
          </value>
        </values>
      </ddeItem>
      <ddeItem name="1341.TW-ID" advise="1">
        <values>
          <value t="str">
            <val>1341</val>
          </value>
        </values>
      </ddeItem>
      <ddeItem name="1341.TW-Name" advise="1">
        <values>
          <value t="str">
            <val>富林-KY</val>
          </value>
        </values>
      </ddeItem>
      <ddeItem name="1341.TW-PreClose" advise="1">
        <values>
          <value>
            <val>61.9</val>
          </value>
        </values>
      </ddeItem>
      <ddeItem name="1341.TW-Price" advise="1">
        <values>
          <value>
            <val>60.1</val>
          </value>
        </values>
      </ddeItem>
      <ddeItem name="1341.TW-SimulatePrice" advise="1">
        <values>
          <value t="str">
            <val>--</val>
          </value>
        </values>
      </ddeItem>
      <ddeItem name="1341.TW-SimulateTime" advise="1">
        <values>
          <value t="str">
            <val>--</val>
          </value>
        </values>
      </ddeItem>
      <ddeItem name="1402.TW-ID" advise="1">
        <values>
          <value t="str">
            <val>1402</val>
          </value>
        </values>
      </ddeItem>
      <ddeItem name="1402.TW-Name" advise="1">
        <values>
          <value t="str">
            <val>遠東新</val>
          </value>
        </values>
      </ddeItem>
      <ddeItem name="1402.TW-PreClose" advise="1">
        <values>
          <value>
            <val>26.65</val>
          </value>
        </values>
      </ddeItem>
      <ddeItem name="1402.TW-Price" advise="1">
        <values>
          <value>
            <val>26.4</val>
          </value>
        </values>
      </ddeItem>
      <ddeItem name="1402.TW-SimulatePrice" advise="1">
        <values>
          <value>
            <val>26.4</val>
          </value>
        </values>
      </ddeItem>
      <ddeItem name="1402.TW-SimulateTime" advise="1">
        <values>
          <value t="str">
            <val>13:29:58</val>
          </value>
        </values>
      </ddeItem>
      <ddeItem name="1409.TW-ID" advise="1">
        <values>
          <value t="str">
            <val>1409</val>
          </value>
        </values>
      </ddeItem>
      <ddeItem name="1409.TW-Name" advise="1">
        <values>
          <value t="str">
            <val>新纖</val>
          </value>
        </values>
      </ddeItem>
      <ddeItem name="1409.TW-PreClose" advise="1">
        <values>
          <value>
            <val>10.9</val>
          </value>
        </values>
      </ddeItem>
      <ddeItem name="1409.TW-Price" advise="1">
        <values>
          <value>
            <val>10.85</val>
          </value>
        </values>
      </ddeItem>
      <ddeItem name="1409.TW-SimulatePrice" advise="1">
        <values>
          <value>
            <val>10.85</val>
          </value>
        </values>
      </ddeItem>
      <ddeItem name="1409.TW-SimulateTime" advise="1">
        <values>
          <value t="str">
            <val>13:29:46</val>
          </value>
        </values>
      </ddeItem>
      <ddeItem name="1410.TW-ID" advise="1">
        <values>
          <value t="str">
            <val>1410</val>
          </value>
        </values>
      </ddeItem>
      <ddeItem name="1410.TW-Name" advise="1">
        <values>
          <value t="str">
            <val>南染</val>
          </value>
        </values>
      </ddeItem>
      <ddeItem name="1410.TW-PreClose" advise="1">
        <values>
          <value>
            <val>30.4</val>
          </value>
        </values>
      </ddeItem>
      <ddeItem name="1410.TW-Price" advise="1">
        <values>
          <value>
            <val>30.25</val>
          </value>
        </values>
      </ddeItem>
      <ddeItem name="1410.TW-SimulatePrice" advise="1">
        <values>
          <value>
            <val>30.25</val>
          </value>
        </values>
      </ddeItem>
      <ddeItem name="1410.TW-SimulateTime" advise="1">
        <values>
          <value t="str">
            <val>13:27:31</val>
          </value>
        </values>
      </ddeItem>
      <ddeItem name="1413.TW-ID" advise="1">
        <values>
          <value t="str">
            <val>1413</val>
          </value>
        </values>
      </ddeItem>
      <ddeItem name="1413.TW-Name" advise="1">
        <values>
          <value t="str">
            <val>宏洲</val>
          </value>
        </values>
      </ddeItem>
      <ddeItem name="1413.TW-PreClose" advise="1">
        <values>
          <value>
            <val>6.97</val>
          </value>
        </values>
      </ddeItem>
      <ddeItem name="1413.TW-Price" advise="1">
        <values>
          <value>
            <val>7.05</val>
          </value>
        </values>
      </ddeItem>
      <ddeItem name="1413.TW-SimulatePrice" advise="1">
        <values>
          <value>
            <val>7.05</val>
          </value>
        </values>
      </ddeItem>
      <ddeItem name="1413.TW-SimulateTime" advise="1">
        <values>
          <value t="str">
            <val>13:29:22</val>
          </value>
        </values>
      </ddeItem>
      <ddeItem name="1414.TW-ID" advise="1">
        <values>
          <value t="str">
            <val>1414</val>
          </value>
        </values>
      </ddeItem>
      <ddeItem name="1414.TW-Name" advise="1">
        <values>
          <value t="str">
            <val>東和</val>
          </value>
        </values>
      </ddeItem>
      <ddeItem name="1414.TW-PreClose" advise="1">
        <values>
          <value>
            <val>6.48</val>
          </value>
        </values>
      </ddeItem>
      <ddeItem name="1414.TW-Price" advise="1">
        <values>
          <value>
            <val>6.48</val>
          </value>
        </values>
      </ddeItem>
      <ddeItem name="1414.TW-SimulatePrice" advise="1">
        <values>
          <value>
            <val>6.48</val>
          </value>
        </values>
      </ddeItem>
      <ddeItem name="1414.TW-SimulateTime" advise="1">
        <values>
          <value t="str">
            <val>13:28:07</val>
          </value>
        </values>
      </ddeItem>
      <ddeItem name="1416.TW-ID" advise="1">
        <values>
          <value t="str">
            <val>1416</val>
          </value>
        </values>
      </ddeItem>
      <ddeItem name="1416.TW-Name" advise="1">
        <values>
          <value t="str">
            <val>廣豐</val>
          </value>
        </values>
      </ddeItem>
      <ddeItem name="1416.TW-PreClose" advise="1">
        <values>
          <value>
            <val>11.4</val>
          </value>
        </values>
      </ddeItem>
      <ddeItem name="1416.TW-Price" advise="1">
        <values>
          <value>
            <val>11.3</val>
          </value>
        </values>
      </ddeItem>
      <ddeItem name="1416.TW-SimulatePrice" advise="1">
        <values>
          <value>
            <val>11.3</val>
          </value>
        </values>
      </ddeItem>
      <ddeItem name="1416.TW-SimulateTime" advise="1">
        <values>
          <value t="str">
            <val>13:29:57</val>
          </value>
        </values>
      </ddeItem>
      <ddeItem name="1417.TW-ID" advise="1">
        <values>
          <value t="str">
            <val>1417</val>
          </value>
        </values>
      </ddeItem>
      <ddeItem name="1417.TW-Name" advise="1">
        <values>
          <value t="str">
            <val>嘉裕</val>
          </value>
        </values>
      </ddeItem>
      <ddeItem name="1417.TW-PreClose" advise="1">
        <values>
          <value>
            <val>7.77</val>
          </value>
        </values>
      </ddeItem>
      <ddeItem name="1417.TW-Price" advise="1">
        <values>
          <value>
            <val>7.76</val>
          </value>
        </values>
      </ddeItem>
      <ddeItem name="1417.TW-SimulatePrice" advise="1">
        <values>
          <value>
            <val>7.76</val>
          </value>
        </values>
      </ddeItem>
      <ddeItem name="1417.TW-SimulateTime" advise="1">
        <values>
          <value t="str">
            <val>13:29:45</val>
          </value>
        </values>
      </ddeItem>
      <ddeItem name="1418.TW-ID" advise="1">
        <values>
          <value t="str">
            <val>1418</val>
          </value>
        </values>
      </ddeItem>
      <ddeItem name="1418.TW-Name" advise="1">
        <values>
          <value t="str">
            <val>東華</val>
          </value>
        </values>
      </ddeItem>
      <ddeItem name="1418.TW-PreClose" advise="1">
        <values>
          <value>
            <val>5.55</val>
          </value>
        </values>
      </ddeItem>
      <ddeItem name="1418.TW-Price" advise="1">
        <values>
          <value t="str">
            <val>--</val>
          </value>
        </values>
      </ddeItem>
      <ddeItem name="1418.TW-SimulatePrice" advise="1">
        <values>
          <value t="str">
            <val>--</val>
          </value>
        </values>
      </ddeItem>
      <ddeItem name="1418.TW-SimulateTime" advise="1">
        <values>
          <value t="str">
            <val>--</val>
          </value>
        </values>
      </ddeItem>
      <ddeItem name="1419.TW-ID" advise="1">
        <values>
          <value t="str">
            <val>1419</val>
          </value>
        </values>
      </ddeItem>
      <ddeItem name="1419.TW-Name" advise="1">
        <values>
          <value t="str">
            <val>新紡</val>
          </value>
        </values>
      </ddeItem>
      <ddeItem name="1419.TW-PreClose" advise="1">
        <values>
          <value>
            <val>40.6</val>
          </value>
        </values>
      </ddeItem>
      <ddeItem name="1419.TW-Price" advise="1">
        <values>
          <value>
            <val>40.6</val>
          </value>
        </values>
      </ddeItem>
      <ddeItem name="1419.TW-SimulatePrice" advise="1">
        <values>
          <value t="str">
            <val>--</val>
          </value>
        </values>
      </ddeItem>
      <ddeItem name="1419.TW-SimulateTime" advise="1">
        <values>
          <value t="str">
            <val>--</val>
          </value>
        </values>
      </ddeItem>
      <ddeItem name="1423.TW-ID" advise="1">
        <values>
          <value t="str">
            <val>1423</val>
          </value>
        </values>
      </ddeItem>
      <ddeItem name="1423.TW-Name" advise="1">
        <values>
          <value t="str">
            <val>利華</val>
          </value>
        </values>
      </ddeItem>
      <ddeItem name="1423.TW-PreClose" advise="1">
        <values>
          <value>
            <val>10.95</val>
          </value>
        </values>
      </ddeItem>
      <ddeItem name="1423.TW-Price" advise="1">
        <values>
          <value>
            <val>10.75</val>
          </value>
        </values>
      </ddeItem>
      <ddeItem name="1423.TW-SimulatePrice" advise="1">
        <values>
          <value>
            <val>10.75</val>
          </value>
        </values>
      </ddeItem>
      <ddeItem name="1423.TW-SimulateTime" advise="1">
        <values>
          <value t="str">
            <val>13:29:52</val>
          </value>
        </values>
      </ddeItem>
      <ddeItem name="1432.TW-ID" advise="1">
        <values>
          <value t="str">
            <val>1432</val>
          </value>
        </values>
      </ddeItem>
      <ddeItem name="1432.TW-Name" advise="1">
        <values>
          <value t="str">
            <val>大魯閣</val>
          </value>
        </values>
      </ddeItem>
      <ddeItem name="1432.TW-PreClose" advise="1">
        <values>
          <value>
            <val>5.86</val>
          </value>
        </values>
      </ddeItem>
      <ddeItem name="1432.TW-Price" advise="1">
        <values>
          <value>
            <val>5.9</val>
          </value>
        </values>
      </ddeItem>
      <ddeItem name="1432.TW-SimulatePrice" advise="1">
        <values>
          <value>
            <val>5.9</val>
          </value>
        </values>
      </ddeItem>
      <ddeItem name="1432.TW-SimulateTime" advise="1">
        <values>
          <value t="str">
            <val>13:29:54</val>
          </value>
        </values>
      </ddeItem>
      <ddeItem name="1434.TW-ID" advise="1">
        <values>
          <value t="str">
            <val>1434</val>
          </value>
        </values>
      </ddeItem>
      <ddeItem name="1434.TW-Name" advise="1">
        <values>
          <value t="str">
            <val>福懋</val>
          </value>
        </values>
      </ddeItem>
      <ddeItem name="1434.TW-PreClose" advise="1">
        <values>
          <value>
            <val>33.6</val>
          </value>
        </values>
      </ddeItem>
      <ddeItem name="1434.TW-Price" advise="1">
        <values>
          <value>
            <val>33.9</val>
          </value>
        </values>
      </ddeItem>
      <ddeItem name="1434.TW-SimulatePrice" advise="1">
        <values>
          <value>
            <val>33.9</val>
          </value>
        </values>
      </ddeItem>
      <ddeItem name="1434.TW-SimulateTime" advise="1">
        <values>
          <value t="str">
            <val>13:29:57</val>
          </value>
        </values>
      </ddeItem>
      <ddeItem name="1435.TW-ID" advise="1">
        <values>
          <value t="str">
            <val>1435</val>
          </value>
        </values>
      </ddeItem>
      <ddeItem name="1435.TW-Name" advise="1">
        <values>
          <value t="str">
            <val>中福</val>
          </value>
        </values>
      </ddeItem>
      <ddeItem name="1435.TW-PreClose" advise="1">
        <values>
          <value>
            <val>8.0500000000000007</val>
          </value>
        </values>
      </ddeItem>
      <ddeItem name="1435.TW-Price" advise="1">
        <values>
          <value>
            <val>8.09</val>
          </value>
        </values>
      </ddeItem>
      <ddeItem name="1435.TW-SimulatePrice" advise="1">
        <values>
          <value>
            <val>8.09</val>
          </value>
        </values>
      </ddeItem>
      <ddeItem name="1435.TW-SimulateTime" advise="1">
        <values>
          <value t="str">
            <val>13:29:57</val>
          </value>
        </values>
      </ddeItem>
      <ddeItem name="1436.TW-ID" advise="1">
        <values>
          <value t="str">
            <val>1436</val>
          </value>
        </values>
      </ddeItem>
      <ddeItem name="1436.TW-Name" advise="1">
        <values>
          <value t="str">
            <val>華友聯</val>
          </value>
        </values>
      </ddeItem>
      <ddeItem name="1436.TW-PreClose" advise="1">
        <values>
          <value>
            <val>37</val>
          </value>
        </values>
      </ddeItem>
      <ddeItem name="1436.TW-Price" advise="1">
        <values>
          <value>
            <val>37.200000000000003</val>
          </value>
        </values>
      </ddeItem>
      <ddeItem name="1436.TW-SimulatePrice" advise="1">
        <values>
          <value>
            <val>37.200000000000003</val>
          </value>
        </values>
      </ddeItem>
      <ddeItem name="1436.TW-SimulateTime" advise="1">
        <values>
          <value t="str">
            <val>13:26:29</val>
          </value>
        </values>
      </ddeItem>
      <ddeItem name="1437.TW-ID" advise="1">
        <values>
          <value t="str">
            <val>1437</val>
          </value>
        </values>
      </ddeItem>
      <ddeItem name="1437.TW-Name" advise="1">
        <values>
          <value t="str">
            <val>勤益控</val>
          </value>
        </values>
      </ddeItem>
      <ddeItem name="1437.TW-PreClose" advise="1">
        <values>
          <value>
            <val>20.25</val>
          </value>
        </values>
      </ddeItem>
      <ddeItem name="1437.TW-Price" advise="1">
        <values>
          <value>
            <val>20.350000000000001</val>
          </value>
        </values>
      </ddeItem>
      <ddeItem name="1437.TW-SimulatePrice" advise="1">
        <values>
          <value>
            <val>20.350000000000001</val>
          </value>
        </values>
      </ddeItem>
      <ddeItem name="1437.TW-SimulateTime" advise="1">
        <values>
          <value t="str">
            <val>13:28:47</val>
          </value>
        </values>
      </ddeItem>
      <ddeItem name="1438.TW-ID" advise="1">
        <values>
          <value t="str">
            <val>1438</val>
          </value>
        </values>
      </ddeItem>
      <ddeItem name="1438.TW-Name" advise="1">
        <values>
          <value t="str">
            <val>裕豐</val>
          </value>
        </values>
      </ddeItem>
      <ddeItem name="1438.TW-PreClose" advise="1">
        <values>
          <value>
            <val>11.5</val>
          </value>
        </values>
      </ddeItem>
      <ddeItem name="1438.TW-Price" advise="1">
        <values>
          <value>
            <val>11.7</val>
          </value>
        </values>
      </ddeItem>
      <ddeItem name="1438.TW-SimulatePrice" advise="1">
        <values>
          <value>
            <val>11.7</val>
          </value>
        </values>
      </ddeItem>
      <ddeItem name="1438.TW-SimulateTime" advise="1">
        <values>
          <value t="str">
            <val>13:26:45</val>
          </value>
        </values>
      </ddeItem>
      <ddeItem name="1439.TW-ID" advise="1">
        <values>
          <value t="str">
            <val>1439</val>
          </value>
        </values>
      </ddeItem>
      <ddeItem name="1439.TW-Name" advise="1">
        <values>
          <value t="str">
            <val>中和</val>
          </value>
        </values>
      </ddeItem>
      <ddeItem name="1439.TW-PreClose" advise="1">
        <values>
          <value>
            <val>34.700000000000003</val>
          </value>
        </values>
      </ddeItem>
      <ddeItem name="1439.TW-Price" advise="1">
        <values>
          <value>
            <val>34.450000000000003</val>
          </value>
        </values>
      </ddeItem>
      <ddeItem name="1439.TW-SimulatePrice" advise="1">
        <values>
          <value>
            <val>34.450000000000003</val>
          </value>
        </values>
      </ddeItem>
      <ddeItem name="1439.TW-SimulateTime" advise="1">
        <values>
          <value t="str">
            <val>13:29:46</val>
          </value>
        </values>
      </ddeItem>
      <ddeItem name="1440.TW-ID" advise="1">
        <values>
          <value t="str">
            <val>1440</val>
          </value>
        </values>
      </ddeItem>
      <ddeItem name="1440.TW-Name" advise="1">
        <values>
          <value t="str">
            <val>南紡</val>
          </value>
        </values>
      </ddeItem>
      <ddeItem name="1440.TW-PreClose" advise="1">
        <values>
          <value>
            <val>8.57</val>
          </value>
        </values>
      </ddeItem>
      <ddeItem name="1440.TW-Price" advise="1">
        <values>
          <value>
            <val>8.61</val>
          </value>
        </values>
      </ddeItem>
      <ddeItem name="1440.TW-SimulatePrice" advise="1">
        <values>
          <value>
            <val>8.61</val>
          </value>
        </values>
      </ddeItem>
      <ddeItem name="1440.TW-SimulateTime" advise="1">
        <values>
          <value t="str">
            <val>13:29:36</val>
          </value>
        </values>
      </ddeItem>
      <ddeItem name="1441.TW-ID" advise="1">
        <values>
          <value t="str">
            <val>1441</val>
          </value>
        </values>
      </ddeItem>
      <ddeItem name="1441.TW-Name" advise="1">
        <values>
          <value t="str">
            <val>大東</val>
          </value>
        </values>
      </ddeItem>
      <ddeItem name="1441.TW-PreClose" advise="1">
        <values>
          <value>
            <val>7.09</val>
          </value>
        </values>
      </ddeItem>
      <ddeItem name="1441.TW-Price" advise="1">
        <values>
          <value>
            <val>6.91</val>
          </value>
        </values>
      </ddeItem>
      <ddeItem name="1441.TW-SimulatePrice" advise="1">
        <values>
          <value>
            <val>6.91</val>
          </value>
        </values>
      </ddeItem>
      <ddeItem name="1441.TW-SimulateTime" advise="1">
        <values>
          <value t="str">
            <val>13:27:19</val>
          </value>
        </values>
      </ddeItem>
      <ddeItem name="1442.TW-ID" advise="1">
        <values>
          <value t="str">
            <val>1442</val>
          </value>
        </values>
      </ddeItem>
      <ddeItem name="1442.TW-Name" advise="1">
        <values>
          <value t="str">
            <val>名軒</val>
          </value>
        </values>
      </ddeItem>
      <ddeItem name="1442.TW-PreClose" advise="1">
        <values>
          <value>
            <val>17.600000000000001</val>
          </value>
        </values>
      </ddeItem>
      <ddeItem name="1442.TW-Price" advise="1">
        <values>
          <value>
            <val>17.399999999999999</val>
          </value>
        </values>
      </ddeItem>
      <ddeItem name="1442.TW-SimulatePrice" advise="1">
        <values>
          <value t="str">
            <val>--</val>
          </value>
        </values>
      </ddeItem>
      <ddeItem name="1442.TW-SimulateTime" advise="1">
        <values>
          <value t="str">
            <val>--</val>
          </value>
        </values>
      </ddeItem>
      <ddeItem name="1443.TW-ID" advise="1">
        <values>
          <value t="str">
            <val>1443</val>
          </value>
        </values>
      </ddeItem>
      <ddeItem name="1443.TW-Name" advise="1">
        <values>
          <value t="str">
            <val>立益</val>
          </value>
        </values>
      </ddeItem>
      <ddeItem name="1443.TW-PreClose" advise="1">
        <values>
          <value>
            <val>8.75</val>
          </value>
        </values>
      </ddeItem>
      <ddeItem name="1443.TW-Price" advise="1">
        <values>
          <value>
            <val>8.6999999999999993</val>
          </value>
        </values>
      </ddeItem>
      <ddeItem name="1443.TW-SimulatePrice" advise="1">
        <values>
          <value t="str">
            <val>--</val>
          </value>
        </values>
      </ddeItem>
      <ddeItem name="1443.TW-SimulateTime" advise="1">
        <values>
          <value t="str">
            <val>--</val>
          </value>
        </values>
      </ddeItem>
      <ddeItem name="1444.TW-ID" advise="1">
        <values>
          <value t="str">
            <val>1444</val>
          </value>
        </values>
      </ddeItem>
      <ddeItem name="1444.TW-Name" advise="1">
        <values>
          <value t="str">
            <val>力麗</val>
          </value>
        </values>
      </ddeItem>
      <ddeItem name="1444.TW-PreClose" advise="1">
        <values>
          <value>
            <val>6.68</val>
          </value>
        </values>
      </ddeItem>
      <ddeItem name="1444.TW-Price" advise="1">
        <values>
          <value>
            <val>6.68</val>
          </value>
        </values>
      </ddeItem>
      <ddeItem name="1444.TW-SimulatePrice" advise="1">
        <values>
          <value>
            <val>6.68</val>
          </value>
        </values>
      </ddeItem>
      <ddeItem name="1444.TW-SimulateTime" advise="1">
        <values>
          <value t="str">
            <val>13:29:53</val>
          </value>
        </values>
      </ddeItem>
      <ddeItem name="1445.TW-ID" advise="1">
        <values>
          <value t="str">
            <val>1445</val>
          </value>
        </values>
      </ddeItem>
      <ddeItem name="1445.TW-Name" advise="1">
        <values>
          <value t="str">
            <val>大宇</val>
          </value>
        </values>
      </ddeItem>
      <ddeItem name="1445.TW-PreClose" advise="1">
        <values>
          <value>
            <val>8.3699999999999992</val>
          </value>
        </values>
      </ddeItem>
      <ddeItem name="1445.TW-Price" advise="1">
        <values>
          <value>
            <val>8.34</val>
          </value>
        </values>
      </ddeItem>
      <ddeItem name="1445.TW-SimulatePrice" advise="1">
        <values>
          <value>
            <val>8.34</val>
          </value>
        </values>
      </ddeItem>
      <ddeItem name="1445.TW-SimulateTime" advise="1">
        <values>
          <value t="str">
            <val>13:29:30</val>
          </value>
        </values>
      </ddeItem>
      <ddeItem name="1446.TW-ID" advise="1">
        <values>
          <value t="str">
            <val>1446</val>
          </value>
        </values>
      </ddeItem>
      <ddeItem name="1446.TW-Name" advise="1">
        <values>
          <value t="str">
            <val>宏和</val>
          </value>
        </values>
      </ddeItem>
      <ddeItem name="1446.TW-PreClose" advise="1">
        <values>
          <value>
            <val>28.3</val>
          </value>
        </values>
      </ddeItem>
      <ddeItem name="1446.TW-Price" advise="1">
        <values>
          <value>
            <val>28.6</val>
          </value>
        </values>
      </ddeItem>
      <ddeItem name="1446.TW-SimulatePrice" advise="1">
        <values>
          <value>
            <val>28.6</val>
          </value>
        </values>
      </ddeItem>
      <ddeItem name="1446.TW-SimulateTime" advise="1">
        <values>
          <value t="str">
            <val>13:29:05</val>
          </value>
        </values>
      </ddeItem>
      <ddeItem name="1447.TW-ID" advise="1">
        <values>
          <value t="str">
            <val>1447</val>
          </value>
        </values>
      </ddeItem>
      <ddeItem name="1447.TW-Name" advise="1">
        <values>
          <value t="str">
            <val>力鵬</val>
          </value>
        </values>
      </ddeItem>
      <ddeItem name="1447.TW-PreClose" advise="1">
        <values>
          <value>
            <val>5.8</val>
          </value>
        </values>
      </ddeItem>
      <ddeItem name="1447.TW-Price" advise="1">
        <values>
          <value>
            <val>5.71</val>
          </value>
        </values>
      </ddeItem>
      <ddeItem name="1447.TW-SimulatePrice" advise="1">
        <values>
          <value>
            <val>5.71</val>
          </value>
        </values>
      </ddeItem>
      <ddeItem name="1447.TW-SimulateTime" advise="1">
        <values>
          <value t="str">
            <val>13:29:03</val>
          </value>
        </values>
      </ddeItem>
      <ddeItem name="1449.TW-ID" advise="1">
        <values>
          <value t="str">
            <val>1449</val>
          </value>
        </values>
      </ddeItem>
      <ddeItem name="1449.TW-Name" advise="1">
        <values>
          <value t="str">
            <val>佳和</val>
          </value>
        </values>
      </ddeItem>
      <ddeItem name="1449.TW-PreClose" advise="1">
        <values>
          <value>
            <val>14.1</val>
          </value>
        </values>
      </ddeItem>
      <ddeItem name="1449.TW-Price" advise="1">
        <values>
          <value>
            <val>13.95</val>
          </value>
        </values>
      </ddeItem>
      <ddeItem name="1449.TW-SimulatePrice" advise="1">
        <values>
          <value>
            <val>13.95</val>
          </value>
        </values>
      </ddeItem>
      <ddeItem name="1449.TW-SimulateTime" advise="1">
        <values>
          <value t="str">
            <val>13:29:47</val>
          </value>
        </values>
      </ddeItem>
      <ddeItem name="1451.TW-ID" advise="1">
        <values>
          <value t="str">
            <val>1451</val>
          </value>
        </values>
      </ddeItem>
      <ddeItem name="1451.TW-Name" advise="1">
        <values>
          <value t="str">
            <val>年興</val>
          </value>
        </values>
      </ddeItem>
      <ddeItem name="1451.TW-PreClose" advise="1">
        <values>
          <value>
            <val>14.5</val>
          </value>
        </values>
      </ddeItem>
      <ddeItem name="1451.TW-Price" advise="1">
        <values>
          <value>
            <val>14.15</val>
          </value>
        </values>
      </ddeItem>
      <ddeItem name="1451.TW-SimulatePrice" advise="1">
        <values>
          <value>
            <val>14.15</val>
          </value>
        </values>
      </ddeItem>
      <ddeItem name="1451.TW-SimulateTime" advise="1">
        <values>
          <value t="str">
            <val>13:29:51</val>
          </value>
        </values>
      </ddeItem>
      <ddeItem name="1452.TW-ID" advise="1">
        <values>
          <value t="str">
            <val>1452</val>
          </value>
        </values>
      </ddeItem>
      <ddeItem name="1452.TW-Name" advise="1">
        <values>
          <value t="str">
            <val>宏益</val>
          </value>
        </values>
      </ddeItem>
      <ddeItem name="1452.TW-PreClose" advise="1">
        <values>
          <value>
            <val>16.850000000000001</val>
          </value>
        </values>
      </ddeItem>
      <ddeItem name="1452.TW-Price" advise="1">
        <values>
          <value>
            <val>16.8</val>
          </value>
        </values>
      </ddeItem>
      <ddeItem name="1452.TW-SimulatePrice" advise="1">
        <values>
          <value>
            <val>16.8</val>
          </value>
        </values>
      </ddeItem>
      <ddeItem name="1452.TW-SimulateTime" advise="1">
        <values>
          <value t="str">
            <val>13:29:54</val>
          </value>
        </values>
      </ddeItem>
      <ddeItem name="1453.TW-ID" advise="1">
        <values>
          <value t="str">
            <val>1453</val>
          </value>
        </values>
      </ddeItem>
      <ddeItem name="1453.TW-Name" advise="1">
        <values>
          <value t="str">
            <val>大將</val>
          </value>
        </values>
      </ddeItem>
      <ddeItem name="1453.TW-PreClose" advise="1">
        <values>
          <value>
            <val>6.92</val>
          </value>
        </values>
      </ddeItem>
      <ddeItem name="1453.TW-Price" advise="1">
        <values>
          <value>
            <val>6.98</val>
          </value>
        </values>
      </ddeItem>
      <ddeItem name="1453.TW-SimulatePrice" advise="1">
        <values>
          <value>
            <val>6.83</val>
          </value>
        </values>
      </ddeItem>
      <ddeItem name="1453.TW-SimulateTime" advise="1">
        <values>
          <value t="str">
            <val>13:28:04</val>
          </value>
        </values>
      </ddeItem>
      <ddeItem name="1454.TW-ID" advise="1">
        <values>
          <value t="str">
            <val>1454</val>
          </value>
        </values>
      </ddeItem>
      <ddeItem name="1454.TW-Name" advise="1">
        <values>
          <value t="str">
            <val>台富</val>
          </value>
        </values>
      </ddeItem>
      <ddeItem name="1454.TW-PreClose" advise="1">
        <values>
          <value>
            <val>7.8</val>
          </value>
        </values>
      </ddeItem>
      <ddeItem name="1454.TW-Price" advise="1">
        <values>
          <value>
            <val>7.83</val>
          </value>
        </values>
      </ddeItem>
      <ddeItem name="1454.TW-SimulatePrice" advise="1">
        <values>
          <value>
            <val>7.83</val>
          </value>
        </values>
      </ddeItem>
      <ddeItem name="1454.TW-SimulateTime" advise="1">
        <values>
          <value t="str">
            <val>13:27:21</val>
          </value>
        </values>
      </ddeItem>
      <ddeItem name="1455.TW-ID" advise="1">
        <values>
          <value t="str">
            <val>1455</val>
          </value>
        </values>
      </ddeItem>
      <ddeItem name="1455.TW-Name" advise="1">
        <values>
          <value t="str">
            <val>集盛</val>
          </value>
        </values>
      </ddeItem>
      <ddeItem name="1455.TW-PreClose" advise="1">
        <values>
          <value>
            <val>7.05</val>
          </value>
        </values>
      </ddeItem>
      <ddeItem name="1455.TW-Price" advise="1">
        <values>
          <value>
            <val>6.85</val>
          </value>
        </values>
      </ddeItem>
      <ddeItem name="1455.TW-SimulatePrice" advise="1">
        <values>
          <value>
            <val>6.85</val>
          </value>
        </values>
      </ddeItem>
      <ddeItem name="1455.TW-SimulateTime" advise="1">
        <values>
          <value t="str">
            <val>13:29:56</val>
          </value>
        </values>
      </ddeItem>
      <ddeItem name="1456.TW-ID" advise="1">
        <values>
          <value t="str">
            <val>1456</val>
          </value>
        </values>
      </ddeItem>
      <ddeItem name="1456.TW-Name" advise="1">
        <values>
          <value t="str">
            <val>怡華</val>
          </value>
        </values>
      </ddeItem>
      <ddeItem name="1456.TW-PreClose" advise="1">
        <values>
          <value>
            <val>8.1199999999999992</val>
          </value>
        </values>
      </ddeItem>
      <ddeItem name="1456.TW-Price" advise="1">
        <values>
          <value>
            <val>8.1199999999999992</val>
          </value>
        </values>
      </ddeItem>
      <ddeItem name="1456.TW-SimulatePrice" advise="1">
        <values>
          <value>
            <val>8.1199999999999992</val>
          </value>
        </values>
      </ddeItem>
      <ddeItem name="1456.TW-SimulateTime" advise="1">
        <values>
          <value t="str">
            <val>13:29:08</val>
          </value>
        </values>
      </ddeItem>
      <ddeItem name="1457.TW-ID" advise="1">
        <values>
          <value t="str">
            <val>1457</val>
          </value>
        </values>
      </ddeItem>
      <ddeItem name="1457.TW-Name" advise="1">
        <values>
          <value t="str">
            <val>宜進</val>
          </value>
        </values>
      </ddeItem>
      <ddeItem name="1457.TW-PreClose" advise="1">
        <values>
          <value>
            <val>12.2</val>
          </value>
        </values>
      </ddeItem>
      <ddeItem name="1457.TW-Price" advise="1">
        <values>
          <value>
            <val>12.1</val>
          </value>
        </values>
      </ddeItem>
      <ddeItem name="1457.TW-SimulatePrice" advise="1">
        <values>
          <value>
            <val>12.1</val>
          </value>
        </values>
      </ddeItem>
      <ddeItem name="1457.TW-SimulateTime" advise="1">
        <values>
          <value t="str">
            <val>13:29:55</val>
          </value>
        </values>
      </ddeItem>
      <ddeItem name="1459.TW-ID" advise="1">
        <values>
          <value t="str">
            <val>1459</val>
          </value>
        </values>
      </ddeItem>
      <ddeItem name="1459.TW-Name" advise="1">
        <values>
          <value t="str">
            <val>聯發</val>
          </value>
        </values>
      </ddeItem>
      <ddeItem name="1459.TW-PreClose" advise="1">
        <values>
          <value>
            <val>6.72</val>
          </value>
        </values>
      </ddeItem>
      <ddeItem name="1459.TW-Price" advise="1">
        <values>
          <value>
            <val>6.7</val>
          </value>
        </values>
      </ddeItem>
      <ddeItem name="1459.TW-SimulatePrice" advise="1">
        <values>
          <value>
            <val>6.7</val>
          </value>
        </values>
      </ddeItem>
      <ddeItem name="1459.TW-SimulateTime" advise="1">
        <values>
          <value t="str">
            <val>13:29:10</val>
          </value>
        </values>
      </ddeItem>
      <ddeItem name="1460.TW-ID" advise="1">
        <values>
          <value t="str">
            <val>1460</val>
          </value>
        </values>
      </ddeItem>
      <ddeItem name="1460.TW-Name" advise="1">
        <values>
          <value t="str">
            <val>宏遠</val>
          </value>
        </values>
      </ddeItem>
      <ddeItem name="1460.TW-PreClose" advise="1">
        <values>
          <value>
            <val>8.08</val>
          </value>
        </values>
      </ddeItem>
      <ddeItem name="1460.TW-Price" advise="1">
        <values>
          <value>
            <val>7.61</val>
          </value>
        </values>
      </ddeItem>
      <ddeItem name="1460.TW-SimulatePrice" advise="1">
        <values>
          <value>
            <val>7.61</val>
          </value>
        </values>
      </ddeItem>
      <ddeItem name="1460.TW-SimulateTime" advise="1">
        <values>
          <value t="str">
            <val>13:29:55</val>
          </value>
        </values>
      </ddeItem>
      <ddeItem name="1463.TW-ID" advise="1">
        <values>
          <value t="str">
            <val>1463</val>
          </value>
        </values>
      </ddeItem>
      <ddeItem name="1463.TW-Name" advise="1">
        <values>
          <value t="str">
            <val>強盛</val>
          </value>
        </values>
      </ddeItem>
      <ddeItem name="1463.TW-PreClose" advise="1">
        <values>
          <value>
            <val>11.35</val>
          </value>
        </values>
      </ddeItem>
      <ddeItem name="1463.TW-Price" advise="1">
        <values>
          <value>
            <val>11.45</val>
          </value>
        </values>
      </ddeItem>
      <ddeItem name="1463.TW-SimulatePrice" advise="1">
        <values>
          <value t="str">
            <val>--</val>
          </value>
        </values>
      </ddeItem>
      <ddeItem name="1463.TW-SimulateTime" advise="1">
        <values>
          <value t="str">
            <val>--</val>
          </value>
        </values>
      </ddeItem>
      <ddeItem name="1464.TW-ID" advise="1">
        <values>
          <value t="str">
            <val>1464</val>
          </value>
        </values>
      </ddeItem>
      <ddeItem name="1464.TW-Name" advise="1">
        <values>
          <value t="str">
            <val>得力</val>
          </value>
        </values>
      </ddeItem>
      <ddeItem name="1464.TW-PreClose" advise="1">
        <values>
          <value>
            <val>20.350000000000001</val>
          </value>
        </values>
      </ddeItem>
      <ddeItem name="1464.TW-Price" advise="1">
        <values>
          <value>
            <val>20.25</val>
          </value>
        </values>
      </ddeItem>
      <ddeItem name="1464.TW-SimulatePrice" advise="1">
        <values>
          <value>
            <val>20.25</val>
          </value>
        </values>
      </ddeItem>
      <ddeItem name="1464.TW-SimulateTime" advise="1">
        <values>
          <value t="str">
            <val>13:29:52</val>
          </value>
        </values>
      </ddeItem>
      <ddeItem name="1465.TW-ID" advise="1">
        <values>
          <value t="str">
            <val>1465</val>
          </value>
        </values>
      </ddeItem>
      <ddeItem name="1465.TW-Name" advise="1">
        <values>
          <value t="str">
            <val>偉全</val>
          </value>
        </values>
      </ddeItem>
      <ddeItem name="1465.TW-PreClose" advise="1">
        <values>
          <value>
            <val>15.4</val>
          </value>
        </values>
      </ddeItem>
      <ddeItem name="1465.TW-Price" advise="1">
        <values>
          <value>
            <val>15.3</val>
          </value>
        </values>
      </ddeItem>
      <ddeItem name="1465.TW-SimulatePrice" advise="1">
        <values>
          <value>
            <val>15.3</val>
          </value>
        </values>
      </ddeItem>
      <ddeItem name="1465.TW-SimulateTime" advise="1">
        <values>
          <value t="str">
            <val>13:29:45</val>
          </value>
        </values>
      </ddeItem>
      <ddeItem name="1466.TW-ID" advise="1">
        <values>
          <value t="str">
            <val>1466</val>
          </value>
        </values>
      </ddeItem>
      <ddeItem name="1466.TW-Name" advise="1">
        <values>
          <value t="str">
            <val>聚隆</val>
          </value>
        </values>
      </ddeItem>
      <ddeItem name="1466.TW-PreClose" advise="1">
        <values>
          <value>
            <val>7.76</val>
          </value>
        </values>
      </ddeItem>
      <ddeItem name="1466.TW-Price" advise="1">
        <values>
          <value t="str">
            <val>--</val>
          </value>
        </values>
      </ddeItem>
      <ddeItem name="1466.TW-SimulatePrice" advise="1">
        <values>
          <value t="str">
            <val>--</val>
          </value>
        </values>
      </ddeItem>
      <ddeItem name="1466.TW-SimulateTime" advise="1">
        <values>
          <value t="str">
            <val>--</val>
          </value>
        </values>
      </ddeItem>
      <ddeItem name="1467.TW-ID" advise="1">
        <values>
          <value t="str">
            <val>1467</val>
          </value>
        </values>
      </ddeItem>
      <ddeItem name="1467.TW-Name" advise="1">
        <values>
          <value t="str">
            <val>南緯</val>
          </value>
        </values>
      </ddeItem>
      <ddeItem name="1467.TW-PreClose" advise="1">
        <values>
          <value>
            <val>10.15</val>
          </value>
        </values>
      </ddeItem>
      <ddeItem name="1467.TW-Price" advise="1">
        <values>
          <value>
            <val>10.050000000000001</val>
          </value>
        </values>
      </ddeItem>
      <ddeItem name="1467.TW-SimulatePrice" advise="1">
        <values>
          <value>
            <val>10.050000000000001</val>
          </value>
        </values>
      </ddeItem>
      <ddeItem name="1467.TW-SimulateTime" advise="1">
        <values>
          <value t="str">
            <val>13:29:44</val>
          </value>
        </values>
      </ddeItem>
      <ddeItem name="1468.TW-ID" advise="1">
        <values>
          <value t="str">
            <val>1468</val>
          </value>
        </values>
      </ddeItem>
      <ddeItem name="1468.TW-Name" advise="1">
        <values>
          <value t="str">
            <val>昶和</val>
          </value>
        </values>
      </ddeItem>
      <ddeItem name="1468.TW-PreClose" advise="1">
        <values>
          <value>
            <val>9.94</val>
          </value>
        </values>
      </ddeItem>
      <ddeItem name="1468.TW-Price" advise="1">
        <values>
          <value>
            <val>9.86</val>
          </value>
        </values>
      </ddeItem>
      <ddeItem name="1468.TW-SimulatePrice" advise="1">
        <values>
          <value t="str">
            <val>--</val>
          </value>
        </values>
      </ddeItem>
      <ddeItem name="1468.TW-SimulateTime" advise="1">
        <values>
          <value t="str">
            <val>--</val>
          </value>
        </values>
      </ddeItem>
      <ddeItem name="1470.TW-ID" advise="1">
        <values>
          <value t="str">
            <val>1470</val>
          </value>
        </values>
      </ddeItem>
      <ddeItem name="1470.TW-Name" advise="1">
        <values>
          <value t="str">
            <val>大統新創</val>
          </value>
        </values>
      </ddeItem>
      <ddeItem name="1470.TW-PreClose" advise="1">
        <values>
          <value>
            <val>19.05</val>
          </value>
        </values>
      </ddeItem>
      <ddeItem name="1470.TW-Price" advise="1">
        <values>
          <value t="str">
            <val>--</val>
          </value>
        </values>
      </ddeItem>
      <ddeItem name="1470.TW-SimulatePrice" advise="1">
        <values>
          <value t="str">
            <val>--</val>
          </value>
        </values>
      </ddeItem>
      <ddeItem name="1470.TW-SimulateTime" advise="1">
        <values>
          <value t="str">
            <val>--</val>
          </value>
        </values>
      </ddeItem>
      <ddeItem name="1471.TW-ID" advise="1">
        <values>
          <value t="str">
            <val>1471</val>
          </value>
        </values>
      </ddeItem>
      <ddeItem name="1471.TW-Name" advise="1">
        <values>
          <value t="str">
            <val>首利</val>
          </value>
        </values>
      </ddeItem>
      <ddeItem name="1471.TW-PreClose" advise="1">
        <values>
          <value>
            <val>2.16</val>
          </value>
        </values>
      </ddeItem>
      <ddeItem name="1471.TW-Price" advise="1">
        <values>
          <value>
            <val>2.27</val>
          </value>
        </values>
      </ddeItem>
      <ddeItem name="1471.TW-SimulatePrice" advise="1">
        <values>
          <value>
            <val>2.27</val>
          </value>
        </values>
      </ddeItem>
      <ddeItem name="1471.TW-SimulateTime" advise="1">
        <values>
          <value t="str">
            <val>13:29:49</val>
          </value>
        </values>
      </ddeItem>
      <ddeItem name="1472.TW-ID" advise="1">
        <values>
          <value t="str">
            <val>1472</val>
          </value>
        </values>
      </ddeItem>
      <ddeItem name="1472.TW-Name" advise="1">
        <values>
          <value t="str">
            <val>三洋紡</val>
          </value>
        </values>
      </ddeItem>
      <ddeItem name="1472.TW-PreClose" advise="1">
        <values>
          <value>
            <val>11</val>
          </value>
        </values>
      </ddeItem>
      <ddeItem name="1472.TW-Price" advise="1">
        <values>
          <value>
            <val>10.45</val>
          </value>
        </values>
      </ddeItem>
      <ddeItem name="1472.TW-SimulatePrice" advise="1">
        <values>
          <value>
            <val>10.45</val>
          </value>
        </values>
      </ddeItem>
      <ddeItem name="1472.TW-SimulateTime" advise="1">
        <values>
          <value t="str">
            <val>13:29:53</val>
          </value>
        </values>
      </ddeItem>
      <ddeItem name="1473.TW-ID" advise="1">
        <values>
          <value t="str">
            <val>1473</val>
          </value>
        </values>
      </ddeItem>
      <ddeItem name="1473.TW-Name" advise="1">
        <values>
          <value t="str">
            <val>台南</val>
          </value>
        </values>
      </ddeItem>
      <ddeItem name="1473.TW-PreClose" advise="1">
        <values>
          <value>
            <val>19.399999999999999</val>
          </value>
        </values>
      </ddeItem>
      <ddeItem name="1473.TW-Price" advise="1">
        <values>
          <value>
            <val>19.149999999999999</val>
          </value>
        </values>
      </ddeItem>
      <ddeItem name="1473.TW-SimulatePrice" advise="1">
        <values>
          <value>
            <val>19.149999999999999</val>
          </value>
        </values>
      </ddeItem>
      <ddeItem name="1473.TW-SimulateTime" advise="1">
        <values>
          <value t="str">
            <val>13:28:55</val>
          </value>
        </values>
      </ddeItem>
      <ddeItem name="1474.TW-ID" advise="1">
        <values>
          <value t="str">
            <val>1474</val>
          </value>
        </values>
      </ddeItem>
      <ddeItem name="1474.TW-Name" advise="1">
        <values>
          <value t="str">
            <val>弘裕</val>
          </value>
        </values>
      </ddeItem>
      <ddeItem name="1474.TW-PreClose" advise="1">
        <values>
          <value>
            <val>9.51</val>
          </value>
        </values>
      </ddeItem>
      <ddeItem name="1474.TW-Price" advise="1">
        <values>
          <value>
            <val>9.5299999999999994</val>
          </value>
        </values>
      </ddeItem>
      <ddeItem name="1474.TW-SimulatePrice" advise="1">
        <values>
          <value>
            <val>9.5299999999999994</val>
          </value>
        </values>
      </ddeItem>
      <ddeItem name="1474.TW-SimulateTime" advise="1">
        <values>
          <value t="str">
            <val>13:29:59</val>
          </value>
        </values>
      </ddeItem>
      <ddeItem name="1475.TW-ID" advise="1">
        <values>
          <value t="str">
            <val>1475</val>
          </value>
        </values>
      </ddeItem>
      <ddeItem name="1475.TW-Name" advise="1">
        <values>
          <value t="str">
            <val>本盟</val>
          </value>
        </values>
      </ddeItem>
      <ddeItem name="1475.TW-PreClose" advise="1">
        <values>
          <value>
            <val>15.5</val>
          </value>
        </values>
      </ddeItem>
      <ddeItem name="1475.TW-Price" advise="1">
        <values>
          <value>
            <val>15.5</val>
          </value>
        </values>
      </ddeItem>
      <ddeItem name="1475.TW-SimulatePrice" advise="1">
        <values>
          <value t="str">
            <val>--</val>
          </value>
        </values>
      </ddeItem>
      <ddeItem name="1475.TW-SimulateTime" advise="1">
        <values>
          <value t="str">
            <val>--</val>
          </value>
        </values>
      </ddeItem>
      <ddeItem name="1476.TW-ID" advise="1">
        <values>
          <value t="str">
            <val>1476</val>
          </value>
        </values>
      </ddeItem>
      <ddeItem name="1476.TW-Name" advise="1">
        <values>
          <value t="str">
            <val>儒鴻</val>
          </value>
        </values>
      </ddeItem>
      <ddeItem name="1476.TW-PreClose" advise="1">
        <values>
          <value>
            <val>263</val>
          </value>
        </values>
      </ddeItem>
      <ddeItem name="1476.TW-Price" advise="1">
        <values>
          <value>
            <val>269.5</val>
          </value>
        </values>
      </ddeItem>
      <ddeItem name="1476.TW-SimulatePrice" advise="1">
        <values>
          <value>
            <val>269.5</val>
          </value>
        </values>
      </ddeItem>
      <ddeItem name="1476.TW-SimulateTime" advise="1">
        <values>
          <value t="str">
            <val>13:29:59</val>
          </value>
        </values>
      </ddeItem>
      <ddeItem name="1477.TW-ID" advise="1">
        <values>
          <value t="str">
            <val>1477</val>
          </value>
        </values>
      </ddeItem>
      <ddeItem name="1477.TW-Name" advise="1">
        <values>
          <value t="str">
            <val>聚陽</val>
          </value>
        </values>
      </ddeItem>
      <ddeItem name="1477.TW-PreClose" advise="1">
        <values>
          <value>
            <val>114</val>
          </value>
        </values>
      </ddeItem>
      <ddeItem name="1477.TW-Price" advise="1">
        <values>
          <value>
            <val>118.5</val>
          </value>
        </values>
      </ddeItem>
      <ddeItem name="1477.TW-SimulatePrice" advise="1">
        <values>
          <value>
            <val>119</val>
          </value>
        </values>
      </ddeItem>
      <ddeItem name="1477.TW-SimulateTime" advise="1">
        <values>
          <value t="str">
            <val>13:29:58</val>
          </value>
        </values>
      </ddeItem>
      <ddeItem name="1503.TW-ID" advise="1">
        <values>
          <value t="str">
            <val>1503</val>
          </value>
        </values>
      </ddeItem>
      <ddeItem name="1503.TW-Name" advise="1">
        <values>
          <value t="str">
            <val>士電</val>
          </value>
        </values>
      </ddeItem>
      <ddeItem name="1503.TW-PreClose" advise="1">
        <values>
          <value>
            <val>42.7</val>
          </value>
        </values>
      </ddeItem>
      <ddeItem name="1503.TW-Price" advise="1">
        <values>
          <value>
            <val>43.3</val>
          </value>
        </values>
      </ddeItem>
      <ddeItem name="1503.TW-SimulatePrice" advise="1">
        <values>
          <value>
            <val>43.3</val>
          </value>
        </values>
      </ddeItem>
      <ddeItem name="1503.TW-SimulateTime" advise="1">
        <values>
          <value t="str">
            <val>13:29:52</val>
          </value>
        </values>
      </ddeItem>
      <ddeItem name="1504.TW-ID" advise="1">
        <values>
          <value t="str">
            <val>1504</val>
          </value>
        </values>
      </ddeItem>
      <ddeItem name="1504.TW-Name" advise="1">
        <values>
          <value t="str">
            <val>東元</val>
          </value>
        </values>
      </ddeItem>
      <ddeItem name="1504.TW-PreClose" advise="1">
        <values>
          <value>
            <val>26.9</val>
          </value>
        </values>
      </ddeItem>
      <ddeItem name="1504.TW-Price" advise="1">
        <values>
          <value>
            <val>26.95</val>
          </value>
        </values>
      </ddeItem>
      <ddeItem name="1504.TW-SimulatePrice" advise="1">
        <values>
          <value>
            <val>26.95</val>
          </value>
        </values>
      </ddeItem>
      <ddeItem name="1504.TW-SimulateTime" advise="1">
        <values>
          <value t="str">
            <val>13:29:59</val>
          </value>
        </values>
      </ddeItem>
      <ddeItem name="1506.TW-ID" advise="1">
        <values>
          <value t="str">
            <val>1506</val>
          </value>
        </values>
      </ddeItem>
      <ddeItem name="1506.TW-Name" advise="1">
        <values>
          <value t="str">
            <val>正道</val>
          </value>
        </values>
      </ddeItem>
      <ddeItem name="1506.TW-PreClose" advise="1">
        <values>
          <value>
            <val>13.4</val>
          </value>
        </values>
      </ddeItem>
      <ddeItem name="1506.TW-Price" advise="1">
        <values>
          <value>
            <val>13.35</val>
          </value>
        </values>
      </ddeItem>
      <ddeItem name="1506.TW-SimulatePrice" advise="1">
        <values>
          <value>
            <val>13.3</val>
          </value>
        </values>
      </ddeItem>
      <ddeItem name="1506.TW-SimulateTime" advise="1">
        <values>
          <value t="str">
            <val>13:29:57</val>
          </value>
        </values>
      </ddeItem>
      <ddeItem name="1507.TW-ID" advise="1">
        <values>
          <value t="str">
            <val>1507</val>
          </value>
        </values>
      </ddeItem>
      <ddeItem name="1507.TW-Name" advise="1">
        <values>
          <value t="str">
            <val>永大</val>
          </value>
        </values>
      </ddeItem>
      <ddeItem name="1507.TW-PreClose" advise="1">
        <values>
          <value>
            <val>58.4</val>
          </value>
        </values>
      </ddeItem>
      <ddeItem name="1507.TW-Price" advise="1">
        <values>
          <value>
            <val>57.2</val>
          </value>
        </values>
      </ddeItem>
      <ddeItem name="1507.TW-SimulatePrice" advise="1">
        <values>
          <value>
            <val>57.2</val>
          </value>
        </values>
      </ddeItem>
      <ddeItem name="1507.TW-SimulateTime" advise="1">
        <values>
          <value t="str">
            <val>13:29:55</val>
          </value>
        </values>
      </ddeItem>
      <ddeItem name="1512.TW-ID" advise="1">
        <values>
          <value t="str">
            <val>1512</val>
          </value>
        </values>
      </ddeItem>
      <ddeItem name="1512.TW-Name" advise="1">
        <values>
          <value t="str">
            <val>瑞利</val>
          </value>
        </values>
      </ddeItem>
      <ddeItem name="1512.TW-PreClose" advise="1">
        <values>
          <value>
            <val>3.86</val>
          </value>
        </values>
      </ddeItem>
      <ddeItem name="1512.TW-Price" advise="1">
        <values>
          <value>
            <val>4.24</val>
          </value>
        </values>
      </ddeItem>
      <ddeItem name="1512.TW-SimulatePrice" advise="1">
        <values>
          <value t="str">
            <val>--</val>
          </value>
        </values>
      </ddeItem>
      <ddeItem name="1512.TW-SimulateTime" advise="1">
        <values>
          <value t="str">
            <val>--</val>
          </value>
        </values>
      </ddeItem>
      <ddeItem name="1513.TW-ID" advise="1">
        <values>
          <value t="str">
            <val>1513</val>
          </value>
        </values>
      </ddeItem>
      <ddeItem name="1513.TW-Name" advise="1">
        <values>
          <value t="str">
            <val>中興電</val>
          </value>
        </values>
      </ddeItem>
      <ddeItem name="1513.TW-PreClose" advise="1">
        <values>
          <value>
            <val>27.5</val>
          </value>
        </values>
      </ddeItem>
      <ddeItem name="1513.TW-Price" advise="1">
        <values>
          <value>
            <val>27.55</val>
          </value>
        </values>
      </ddeItem>
      <ddeItem name="1513.TW-SimulatePrice" advise="1">
        <values>
          <value>
            <val>27.55</val>
          </value>
        </values>
      </ddeItem>
      <ddeItem name="1513.TW-SimulateTime" advise="1">
        <values>
          <value t="str">
            <val>13:29:57</val>
          </value>
        </values>
      </ddeItem>
      <ddeItem name="1514.TW-ID" advise="1">
        <values>
          <value t="str">
            <val>1514</val>
          </value>
        </values>
      </ddeItem>
      <ddeItem name="1514.TW-Name" advise="1">
        <values>
          <value t="str">
            <val>亞力</val>
          </value>
        </values>
      </ddeItem>
      <ddeItem name="1514.TW-PreClose" advise="1">
        <values>
          <value>
            <val>20.2</val>
          </value>
        </values>
      </ddeItem>
      <ddeItem name="1514.TW-Price" advise="1">
        <values>
          <value>
            <val>20.100000000000001</val>
          </value>
        </values>
      </ddeItem>
      <ddeItem name="1514.TW-SimulatePrice" advise="1">
        <values>
          <value>
            <val>20.100000000000001</val>
          </value>
        </values>
      </ddeItem>
      <ddeItem name="1514.TW-SimulateTime" advise="1">
        <values>
          <value t="str">
            <val>13:29:55</val>
          </value>
        </values>
      </ddeItem>
      <ddeItem name="1515.TW-ID" advise="1">
        <values>
          <value t="str">
            <val>1515</val>
          </value>
        </values>
      </ddeItem>
      <ddeItem name="1515.TW-Name" advise="1">
        <values>
          <value t="str">
            <val>力山</val>
          </value>
        </values>
      </ddeItem>
      <ddeItem name="1515.TW-PreClose" advise="1">
        <values>
          <value>
            <val>69.099999999999994</val>
          </value>
        </values>
      </ddeItem>
      <ddeItem name="1515.TW-Price" advise="1">
        <values>
          <value>
            <val>68.5</val>
          </value>
        </values>
      </ddeItem>
      <ddeItem name="1515.TW-SimulatePrice" advise="1">
        <values>
          <value>
            <val>68.5</val>
          </value>
        </values>
      </ddeItem>
      <ddeItem name="1515.TW-SimulateTime" advise="1">
        <values>
          <value t="str">
            <val>13:29:53</val>
          </value>
        </values>
      </ddeItem>
      <ddeItem name="1516.TW-ID" advise="1">
        <values>
          <value t="str">
            <val>1516</val>
          </value>
        </values>
      </ddeItem>
      <ddeItem name="1516.TW-Name" advise="1">
        <values>
          <value t="str">
            <val>川飛</val>
          </value>
        </values>
      </ddeItem>
      <ddeItem name="1516.TW-PreClose" advise="1">
        <values>
          <value>
            <val>13.9</val>
          </value>
        </values>
      </ddeItem>
      <ddeItem name="1516.TW-Price" advise="1">
        <values>
          <value>
            <val>13.55</val>
          </value>
        </values>
      </ddeItem>
      <ddeItem name="1516.TW-SimulatePrice" advise="1">
        <values>
          <value>
            <val>13.55</val>
          </value>
        </values>
      </ddeItem>
      <ddeItem name="1516.TW-SimulateTime" advise="1">
        <values>
          <value t="str">
            <val>13:28:31</val>
          </value>
        </values>
      </ddeItem>
      <ddeItem name="1517.TW-ID" advise="1">
        <values>
          <value t="str">
            <val>1517</val>
          </value>
        </values>
      </ddeItem>
      <ddeItem name="1517.TW-Name" advise="1">
        <values>
          <value t="str">
            <val>利奇</val>
          </value>
        </values>
      </ddeItem>
      <ddeItem name="1517.TW-PreClose" advise="1">
        <values>
          <value>
            <val>7.72</val>
          </value>
        </values>
      </ddeItem>
      <ddeItem name="1517.TW-Price" advise="1">
        <values>
          <value>
            <val>7.78</val>
          </value>
        </values>
      </ddeItem>
      <ddeItem name="1517.TW-SimulatePrice" advise="1">
        <values>
          <value t="str">
            <val>--</val>
          </value>
        </values>
      </ddeItem>
      <ddeItem name="1517.TW-SimulateTime" advise="1">
        <values>
          <value t="str">
            <val>--</val>
          </value>
        </values>
      </ddeItem>
      <ddeItem name="1519.TW-ID" advise="1">
        <values>
          <value t="str">
            <val>1519</val>
          </value>
        </values>
      </ddeItem>
      <ddeItem name="1519.TW-Name" advise="1">
        <values>
          <value t="str">
            <val>華城</val>
          </value>
        </values>
      </ddeItem>
      <ddeItem name="1519.TW-PreClose" advise="1">
        <values>
          <value>
            <val>26.85</val>
          </value>
        </values>
      </ddeItem>
      <ddeItem name="1519.TW-Price" advise="1">
        <values>
          <value>
            <val>25.9</val>
          </value>
        </values>
      </ddeItem>
      <ddeItem name="1519.TW-SimulatePrice" advise="1">
        <values>
          <value>
            <val>25.9</val>
          </value>
        </values>
      </ddeItem>
      <ddeItem name="1519.TW-SimulateTime" advise="1">
        <values>
          <value t="str">
            <val>13:29:50</val>
          </value>
        </values>
      </ddeItem>
      <ddeItem name="1521.TW-ID" advise="1">
        <values>
          <value t="str">
            <val>1521</val>
          </value>
        </values>
      </ddeItem>
      <ddeItem name="1521.TW-Name" advise="1">
        <values>
          <value t="str">
            <val>大億</val>
          </value>
        </values>
      </ddeItem>
      <ddeItem name="1521.TW-PreClose" advise="1">
        <values>
          <value>
            <val>57.1</val>
          </value>
        </values>
      </ddeItem>
      <ddeItem name="1521.TW-Price" advise="1">
        <values>
          <value>
            <val>57</val>
          </value>
        </values>
      </ddeItem>
      <ddeItem name="1521.TW-SimulatePrice" advise="1">
        <values>
          <value t="str">
            <val>--</val>
          </value>
        </values>
      </ddeItem>
      <ddeItem name="1521.TW-SimulateTime" advise="1">
        <values>
          <value t="str">
            <val>--</val>
          </value>
        </values>
      </ddeItem>
      <ddeItem name="1522.TW-ID" advise="1">
        <values>
          <value t="str">
            <val>1522</val>
          </value>
        </values>
      </ddeItem>
      <ddeItem name="1522.TW-Name" advise="1">
        <values>
          <value t="str">
            <val>堤維西</val>
          </value>
        </values>
      </ddeItem>
      <ddeItem name="1522.TW-PreClose" advise="1">
        <values>
          <value>
            <val>23</val>
          </value>
        </values>
      </ddeItem>
      <ddeItem name="1522.TW-Price" advise="1">
        <values>
          <value>
            <val>22.8</val>
          </value>
        </values>
      </ddeItem>
      <ddeItem name="1522.TW-SimulatePrice" advise="1">
        <values>
          <value>
            <val>22.8</val>
          </value>
        </values>
      </ddeItem>
      <ddeItem name="1522.TW-SimulateTime" advise="1">
        <values>
          <value t="str">
            <val>13:29:50</val>
          </value>
        </values>
      </ddeItem>
      <ddeItem name="1524.TW-ID" advise="1">
        <values>
          <value t="str">
            <val>1524</val>
          </value>
        </values>
      </ddeItem>
      <ddeItem name="1524.TW-Name" advise="1">
        <values>
          <value t="str">
            <val>耿鼎</val>
          </value>
        </values>
      </ddeItem>
      <ddeItem name="1524.TW-PreClose" advise="1">
        <values>
          <value>
            <val>8.65</val>
          </value>
        </values>
      </ddeItem>
      <ddeItem name="1524.TW-Price" advise="1">
        <values>
          <value>
            <val>8.85</val>
          </value>
        </values>
      </ddeItem>
      <ddeItem name="1524.TW-SimulatePrice" advise="1">
        <values>
          <value>
            <val>8.85</val>
          </value>
        </values>
      </ddeItem>
      <ddeItem name="1524.TW-SimulateTime" advise="1">
        <values>
          <value t="str">
            <val>13:29:50</val>
          </value>
        </values>
      </ddeItem>
      <ddeItem name="1525.TW-ID" advise="1">
        <values>
          <value t="str">
            <val>1525</val>
          </value>
        </values>
      </ddeItem>
      <ddeItem name="1525.TW-Name" advise="1">
        <values>
          <value t="str">
            <val>江申</val>
          </value>
        </values>
      </ddeItem>
      <ddeItem name="1525.TW-PreClose" advise="1">
        <values>
          <value>
            <val>43.15</val>
          </value>
        </values>
      </ddeItem>
      <ddeItem name="1525.TW-Price" advise="1">
        <values>
          <value>
            <val>42.8</val>
          </value>
        </values>
      </ddeItem>
      <ddeItem name="1525.TW-SimulatePrice" advise="1">
        <values>
          <value>
            <val>42.8</val>
          </value>
        </values>
      </ddeItem>
      <ddeItem name="1525.TW-SimulateTime" advise="1">
        <values>
          <value t="str">
            <val>13:29:15</val>
          </value>
        </values>
      </ddeItem>
      <ddeItem name="1526.TW-ID" advise="1">
        <values>
          <value t="str">
            <val>1526</val>
          </value>
        </values>
      </ddeItem>
      <ddeItem name="1526.TW-Name" advise="1">
        <values>
          <value t="str">
            <val>日馳</val>
          </value>
        </values>
      </ddeItem>
      <ddeItem name="1526.TW-PreClose" advise="1">
        <values>
          <value>
            <val>18.399999999999999</val>
          </value>
        </values>
      </ddeItem>
      <ddeItem name="1526.TW-Price" advise="1">
        <values>
          <value>
            <val>18.100000000000001</val>
          </value>
        </values>
      </ddeItem>
      <ddeItem name="1526.TW-SimulatePrice" advise="1">
        <values>
          <value>
            <val>18.100000000000001</val>
          </value>
        </values>
      </ddeItem>
      <ddeItem name="1526.TW-SimulateTime" advise="1">
        <values>
          <value t="str">
            <val>13:29:57</val>
          </value>
        </values>
      </ddeItem>
      <ddeItem name="1527.TW-ID" advise="1">
        <values>
          <value t="str">
            <val>1527</val>
          </value>
        </values>
      </ddeItem>
      <ddeItem name="1527.TW-Name" advise="1">
        <values>
          <value t="str">
            <val>鑽全</val>
          </value>
        </values>
      </ddeItem>
      <ddeItem name="1527.TW-PreClose" advise="1">
        <values>
          <value>
            <val>38.799999999999997</val>
          </value>
        </values>
      </ddeItem>
      <ddeItem name="1527.TW-Price" advise="1">
        <values>
          <value>
            <val>39.4</val>
          </value>
        </values>
      </ddeItem>
      <ddeItem name="1527.TW-SimulatePrice" advise="1">
        <values>
          <value>
            <val>39.4</val>
          </value>
        </values>
      </ddeItem>
      <ddeItem name="1527.TW-SimulateTime" advise="1">
        <values>
          <value t="str">
            <val>13:29:51</val>
          </value>
        </values>
      </ddeItem>
      <ddeItem name="1528.TW-ID" advise="1">
        <values>
          <value t="str">
            <val>1528</val>
          </value>
        </values>
      </ddeItem>
      <ddeItem name="1528.TW-Name" advise="1">
        <values>
          <value t="str">
            <val>恩德</val>
          </value>
        </values>
      </ddeItem>
      <ddeItem name="1528.TW-PreClose" advise="1">
        <values>
          <value>
            <val>7.33</val>
          </value>
        </values>
      </ddeItem>
      <ddeItem name="1528.TW-Price" advise="1">
        <values>
          <value>
            <val>7.41</val>
          </value>
        </values>
      </ddeItem>
      <ddeItem name="1528.TW-SimulatePrice" advise="1">
        <values>
          <value t="str">
            <val>--</val>
          </value>
        </values>
      </ddeItem>
      <ddeItem name="1528.TW-SimulateTime" advise="1">
        <values>
          <value t="str">
            <val>--</val>
          </value>
        </values>
      </ddeItem>
      <ddeItem name="1529.TW-ID" advise="1">
        <values>
          <value t="str">
            <val>1529</val>
          </value>
        </values>
      </ddeItem>
      <ddeItem name="1529.TW-Name" advise="1">
        <values>
          <value t="str">
            <val>樂士</val>
          </value>
        </values>
      </ddeItem>
      <ddeItem name="1529.TW-PreClose" advise="1">
        <values>
          <value>
            <val>14.35</val>
          </value>
        </values>
      </ddeItem>
      <ddeItem name="1529.TW-Price" advise="1">
        <values>
          <value>
            <val>13.85</val>
          </value>
        </values>
      </ddeItem>
      <ddeItem name="1529.TW-SimulatePrice" advise="1">
        <values>
          <value>
            <val>13.85</val>
          </value>
        </values>
      </ddeItem>
      <ddeItem name="1529.TW-SimulateTime" advise="1">
        <values>
          <value t="str">
            <val>13:28:51</val>
          </value>
        </values>
      </ddeItem>
      <ddeItem name="1530.TW-ID" advise="1">
        <values>
          <value t="str">
            <val>1530</val>
          </value>
        </values>
      </ddeItem>
      <ddeItem name="1530.TW-Name" advise="1">
        <values>
          <value t="str">
            <val>亞崴</val>
          </value>
        </values>
      </ddeItem>
      <ddeItem name="1530.TW-PreClose" advise="1">
        <values>
          <value>
            <val>31.3</val>
          </value>
        </values>
      </ddeItem>
      <ddeItem name="1530.TW-Price" advise="1">
        <values>
          <value>
            <val>31.35</val>
          </value>
        </values>
      </ddeItem>
      <ddeItem name="1530.TW-SimulatePrice" advise="1">
        <values>
          <value t="str">
            <val>--</val>
          </value>
        </values>
      </ddeItem>
      <ddeItem name="1530.TW-SimulateTime" advise="1">
        <values>
          <value t="str">
            <val>--</val>
          </value>
        </values>
      </ddeItem>
      <ddeItem name="1531.TW-ID" advise="1">
        <values>
          <value t="str">
            <val>1531</val>
          </value>
        </values>
      </ddeItem>
      <ddeItem name="1531.TW-Name" advise="1">
        <values>
          <value t="str">
            <val>高林股</val>
          </value>
        </values>
      </ddeItem>
      <ddeItem name="1531.TW-PreClose" advise="1">
        <values>
          <value>
            <val>12.7</val>
          </value>
        </values>
      </ddeItem>
      <ddeItem name="1531.TW-Price" advise="1">
        <values>
          <value>
            <val>12.7</val>
          </value>
        </values>
      </ddeItem>
      <ddeItem name="1531.TW-SimulatePrice" advise="1">
        <values>
          <value>
            <val>12.7</val>
          </value>
        </values>
      </ddeItem>
      <ddeItem name="1531.TW-SimulateTime" advise="1">
        <values>
          <value t="str">
            <val>13:29:57</val>
          </value>
        </values>
      </ddeItem>
      <ddeItem name="1532.TW-ID" advise="1">
        <values>
          <value t="str">
            <val>1532</val>
          </value>
        </values>
      </ddeItem>
      <ddeItem name="1532.TW-Name" advise="1">
        <values>
          <value t="str">
            <val>勤美</val>
          </value>
        </values>
      </ddeItem>
      <ddeItem name="1532.TW-PreClose" advise="1">
        <values>
          <value>
            <val>27.15</val>
          </value>
        </values>
      </ddeItem>
      <ddeItem name="1532.TW-Price" advise="1">
        <values>
          <value>
            <val>27.7</val>
          </value>
        </values>
      </ddeItem>
      <ddeItem name="1532.TW-SimulatePrice" advise="1">
        <values>
          <value>
            <val>27.65</val>
          </value>
        </values>
      </ddeItem>
      <ddeItem name="1532.TW-SimulateTime" advise="1">
        <values>
          <value t="str">
            <val>13:29:45</val>
          </value>
        </values>
      </ddeItem>
      <ddeItem name="1533.TW-ID" advise="1">
        <values>
          <value t="str">
            <val>1533</val>
          </value>
        </values>
      </ddeItem>
      <ddeItem name="1533.TW-Name" advise="1">
        <values>
          <value t="str">
            <val>車王電</val>
          </value>
        </values>
      </ddeItem>
      <ddeItem name="1533.TW-PreClose" advise="1">
        <values>
          <value>
            <val>26.25</val>
          </value>
        </values>
      </ddeItem>
      <ddeItem name="1533.TW-Price" advise="1">
        <values>
          <value>
            <val>26</val>
          </value>
        </values>
      </ddeItem>
      <ddeItem name="1533.TW-SimulatePrice" advise="1">
        <values>
          <value>
            <val>26</val>
          </value>
        </values>
      </ddeItem>
      <ddeItem name="1533.TW-SimulateTime" advise="1">
        <values>
          <value t="str">
            <val>13:28:29</val>
          </value>
        </values>
      </ddeItem>
      <ddeItem name="1535.TW-ID" advise="1">
        <values>
          <value t="str">
            <val>1535</val>
          </value>
        </values>
      </ddeItem>
      <ddeItem name="1535.TW-Name" advise="1">
        <values>
          <value t="str">
            <val>中宇</val>
          </value>
        </values>
      </ddeItem>
      <ddeItem name="1535.TW-PreClose" advise="1">
        <values>
          <value>
            <val>32.799999999999997</val>
          </value>
        </values>
      </ddeItem>
      <ddeItem name="1535.TW-Price" advise="1">
        <values>
          <value>
            <val>32.85</val>
          </value>
        </values>
      </ddeItem>
      <ddeItem name="1535.TW-SimulatePrice" advise="1">
        <values>
          <value t="str">
            <val>--</val>
          </value>
        </values>
      </ddeItem>
      <ddeItem name="1535.TW-SimulateTime" advise="1">
        <values>
          <value t="str">
            <val>--</val>
          </value>
        </values>
      </ddeItem>
      <ddeItem name="1536.TW-ID" advise="1">
        <values>
          <value t="str">
            <val>1536</val>
          </value>
        </values>
      </ddeItem>
      <ddeItem name="1536.TW-Name" advise="1">
        <values>
          <value t="str">
            <val>和大</val>
          </value>
        </values>
      </ddeItem>
      <ddeItem name="1536.TW-PreClose" advise="1">
        <values>
          <value>
            <val>93.9</val>
          </value>
        </values>
      </ddeItem>
      <ddeItem name="1536.TW-Price" advise="1">
        <values>
          <value>
            <val>92.1</val>
          </value>
        </values>
      </ddeItem>
      <ddeItem name="1536.TW-SimulatePrice" advise="1">
        <values>
          <value>
            <val>92.1</val>
          </value>
        </values>
      </ddeItem>
      <ddeItem name="1536.TW-SimulateTime" advise="1">
        <values>
          <value t="str">
            <val>13:29:37</val>
          </value>
        </values>
      </ddeItem>
      <ddeItem name="1537.TW-ID" advise="1">
        <values>
          <value t="str">
            <val>1537</val>
          </value>
        </values>
      </ddeItem>
      <ddeItem name="1537.TW-Name" advise="1">
        <values>
          <value t="str">
            <val>廣隆</val>
          </value>
        </values>
      </ddeItem>
      <ddeItem name="1537.TW-PreClose" advise="1">
        <values>
          <value>
            <val>143</val>
          </value>
        </values>
      </ddeItem>
      <ddeItem name="1537.TW-Price" advise="1">
        <values>
          <value>
            <val>142</val>
          </value>
        </values>
      </ddeItem>
      <ddeItem name="1537.TW-SimulatePrice" advise="1">
        <values>
          <value>
            <val>142</val>
          </value>
        </values>
      </ddeItem>
      <ddeItem name="1537.TW-SimulateTime" advise="1">
        <values>
          <value t="str">
            <val>13:29:59</val>
          </value>
        </values>
      </ddeItem>
      <ddeItem name="1538.TW-ID" advise="1">
        <values>
          <value t="str">
            <val>1538</val>
          </value>
        </values>
      </ddeItem>
      <ddeItem name="1538.TW-Name" advise="1">
        <values>
          <value t="str">
            <val>正峰新</val>
          </value>
        </values>
      </ddeItem>
      <ddeItem name="1538.TW-PreClose" advise="1">
        <values>
          <value>
            <val>2.52</val>
          </value>
        </values>
      </ddeItem>
      <ddeItem name="1538.TW-Price" advise="1">
        <values>
          <value>
            <val>2.62</val>
          </value>
        </values>
      </ddeItem>
      <ddeItem name="1538.TW-SimulatePrice" advise="1">
        <values>
          <value t="str">
            <val>--</val>
          </value>
        </values>
      </ddeItem>
      <ddeItem name="1538.TW-SimulateTime" advise="1">
        <values>
          <value t="str">
            <val>--</val>
          </value>
        </values>
      </ddeItem>
      <ddeItem name="1539.TW-ID" advise="1">
        <values>
          <value t="str">
            <val>1539</val>
          </value>
        </values>
      </ddeItem>
      <ddeItem name="1539.TW-Name" advise="1">
        <values>
          <value t="str">
            <val>巨庭</val>
          </value>
        </values>
      </ddeItem>
      <ddeItem name="1539.TW-PreClose" advise="1">
        <values>
          <value>
            <val>18.100000000000001</val>
          </value>
        </values>
      </ddeItem>
      <ddeItem name="1539.TW-Price" advise="1">
        <values>
          <value>
            <val>17.8</val>
          </value>
        </values>
      </ddeItem>
      <ddeItem name="1539.TW-SimulatePrice" advise="1">
        <values>
          <value>
            <val>17.8</val>
          </value>
        </values>
      </ddeItem>
      <ddeItem name="1539.TW-SimulateTime" advise="1">
        <values>
          <value t="str">
            <val>13:29:58</val>
          </value>
        </values>
      </ddeItem>
      <ddeItem name="1540.TW-ID" advise="1">
        <values>
          <value t="str">
            <val>1540</val>
          </value>
        </values>
      </ddeItem>
      <ddeItem name="1540.TW-Name" advise="1">
        <values>
          <value t="str">
            <val>喬福</val>
          </value>
        </values>
      </ddeItem>
      <ddeItem name="1540.TW-PreClose" advise="1">
        <values>
          <value>
            <val>15.95</val>
          </value>
        </values>
      </ddeItem>
      <ddeItem name="1540.TW-Price" advise="1">
        <values>
          <value>
            <val>15.9</val>
          </value>
        </values>
      </ddeItem>
      <ddeItem name="1540.TW-SimulatePrice" advise="1">
        <values>
          <value>
            <val>15.9</val>
          </value>
        </values>
      </ddeItem>
      <ddeItem name="1540.TW-SimulateTime" advise="1">
        <values>
          <value t="str">
            <val>13:29:16</val>
          </value>
        </values>
      </ddeItem>
      <ddeItem name="1541.TW-ID" advise="1">
        <values>
          <value t="str">
            <val>1541</val>
          </value>
        </values>
      </ddeItem>
      <ddeItem name="1541.TW-Name" advise="1">
        <values>
          <value t="str">
            <val>錩泰</val>
          </value>
        </values>
      </ddeItem>
      <ddeItem name="1541.TW-PreClose" advise="1">
        <values>
          <value>
            <val>40.799999999999997</val>
          </value>
        </values>
      </ddeItem>
      <ddeItem name="1541.TW-Price" advise="1">
        <values>
          <value>
            <val>41.05</val>
          </value>
        </values>
      </ddeItem>
      <ddeItem name="1541.TW-SimulatePrice" advise="1">
        <values>
          <value>
            <val>41.05</val>
          </value>
        </values>
      </ddeItem>
      <ddeItem name="1541.TW-SimulateTime" advise="1">
        <values>
          <value t="str">
            <val>13:28:57</val>
          </value>
        </values>
      </ddeItem>
      <ddeItem name="1558.TW-ID" advise="1">
        <values>
          <value t="str">
            <val>1558</val>
          </value>
        </values>
      </ddeItem>
      <ddeItem name="1558.TW-Name" advise="1">
        <values>
          <value t="str">
            <val>伸興</val>
          </value>
        </values>
      </ddeItem>
      <ddeItem name="1558.TW-PreClose" advise="1">
        <values>
          <value>
            <val>132</val>
          </value>
        </values>
      </ddeItem>
      <ddeItem name="1558.TW-Price" advise="1">
        <values>
          <value>
            <val>131.5</val>
          </value>
        </values>
      </ddeItem>
      <ddeItem name="1558.TW-SimulatePrice" advise="1">
        <values>
          <value>
            <val>131.5</val>
          </value>
        </values>
      </ddeItem>
      <ddeItem name="1558.TW-SimulateTime" advise="1">
        <values>
          <value t="str">
            <val>13:28:05</val>
          </value>
        </values>
      </ddeItem>
      <ddeItem name="1560.TW-ID" advise="1">
        <values>
          <value t="str">
            <val>1560</val>
          </value>
        </values>
      </ddeItem>
      <ddeItem name="1560.TW-Name" advise="1">
        <values>
          <value t="str">
            <val>中砂</val>
          </value>
        </values>
      </ddeItem>
      <ddeItem name="1560.TW-PreClose" advise="1">
        <values>
          <value>
            <val>60.1</val>
          </value>
        </values>
      </ddeItem>
      <ddeItem name="1560.TW-Price" advise="1">
        <values>
          <value>
            <val>60.2</val>
          </value>
        </values>
      </ddeItem>
      <ddeItem name="1560.TW-SimulatePrice" advise="1">
        <values>
          <value>
            <val>60.2</val>
          </value>
        </values>
      </ddeItem>
      <ddeItem name="1560.TW-SimulateTime" advise="1">
        <values>
          <value t="str">
            <val>13:29:52</val>
          </value>
        </values>
      </ddeItem>
      <ddeItem name="1568.TW-ID" advise="1">
        <values>
          <value t="str">
            <val>1568</val>
          </value>
        </values>
      </ddeItem>
      <ddeItem name="1568.TW-Name" advise="1">
        <values>
          <value t="str">
            <val>倉佑</val>
          </value>
        </values>
      </ddeItem>
      <ddeItem name="1568.TW-PreClose" advise="1">
        <values>
          <value>
            <val>14.2</val>
          </value>
        </values>
      </ddeItem>
      <ddeItem name="1568.TW-Price" advise="1">
        <values>
          <value>
            <val>14.4</val>
          </value>
        </values>
      </ddeItem>
      <ddeItem name="1568.TW-SimulatePrice" advise="1">
        <values>
          <value>
            <val>14.4</val>
          </value>
        </values>
      </ddeItem>
      <ddeItem name="1568.TW-SimulateTime" advise="1">
        <values>
          <value t="str">
            <val>13:29:49</val>
          </value>
        </values>
      </ddeItem>
      <ddeItem name="1582.TW-ID" advise="1">
        <values>
          <value t="str">
            <val>1582</val>
          </value>
        </values>
      </ddeItem>
      <ddeItem name="1582.TW-Name" advise="1">
        <values>
          <value t="str">
            <val>信錦</val>
          </value>
        </values>
      </ddeItem>
      <ddeItem name="1582.TW-PreClose" advise="1">
        <values>
          <value>
            <val>81.5</val>
          </value>
        </values>
      </ddeItem>
      <ddeItem name="1582.TW-Price" advise="1">
        <values>
          <value>
            <val>81</val>
          </value>
        </values>
      </ddeItem>
      <ddeItem name="1582.TW-SimulatePrice" advise="1">
        <values>
          <value>
            <val>81.099999999999994</val>
          </value>
        </values>
      </ddeItem>
      <ddeItem name="1582.TW-SimulateTime" advise="1">
        <values>
          <value t="str">
            <val>13:29:56</val>
          </value>
        </values>
      </ddeItem>
      <ddeItem name="1583.TW-ID" advise="1">
        <values>
          <value t="str">
            <val>1583</val>
          </value>
        </values>
      </ddeItem>
      <ddeItem name="1583.TW-Name" advise="1">
        <values>
          <value t="str">
            <val>程泰</val>
          </value>
        </values>
      </ddeItem>
      <ddeItem name="1583.TW-PreClose" advise="1">
        <values>
          <value>
            <val>61.2</val>
          </value>
        </values>
      </ddeItem>
      <ddeItem name="1583.TW-Price" advise="1">
        <values>
          <value>
            <val>61</val>
          </value>
        </values>
      </ddeItem>
      <ddeItem name="1583.TW-SimulatePrice" advise="1">
        <values>
          <value t="str">
            <val>--</val>
          </value>
        </values>
      </ddeItem>
      <ddeItem name="1583.TW-SimulateTime" advise="1">
        <values>
          <value t="str">
            <val>--</val>
          </value>
        </values>
      </ddeItem>
      <ddeItem name="1587.TW-ID" advise="1">
        <values>
          <value t="str">
            <val>1587</val>
          </value>
        </values>
      </ddeItem>
      <ddeItem name="1587.TW-Name" advise="1">
        <values>
          <value t="str">
            <val>吉茂</val>
          </value>
        </values>
      </ddeItem>
      <ddeItem name="1587.TW-PreClose" advise="1">
        <values>
          <value>
            <val>12.7</val>
          </value>
        </values>
      </ddeItem>
      <ddeItem name="1587.TW-Price" advise="1">
        <values>
          <value>
            <val>12.7</val>
          </value>
        </values>
      </ddeItem>
      <ddeItem name="1587.TW-SimulatePrice" advise="1">
        <values>
          <value t="str">
            <val>--</val>
          </value>
        </values>
      </ddeItem>
      <ddeItem name="1587.TW-SimulateTime" advise="1">
        <values>
          <value t="str">
            <val>--</val>
          </value>
        </values>
      </ddeItem>
      <ddeItem name="1589.TW-ID" advise="1">
        <values>
          <value t="str">
            <val>1589</val>
          </value>
        </values>
      </ddeItem>
      <ddeItem name="1589.TW-Name" advise="1">
        <values>
          <value t="str">
            <val>永冠-KY</val>
          </value>
        </values>
      </ddeItem>
      <ddeItem name="1589.TW-PreClose" advise="1">
        <values>
          <value>
            <val>59.3</val>
          </value>
        </values>
      </ddeItem>
      <ddeItem name="1589.TW-Price" advise="1">
        <values>
          <value>
            <val>59.3</val>
          </value>
        </values>
      </ddeItem>
      <ddeItem name="1589.TW-SimulatePrice" advise="1">
        <values>
          <value>
            <val>59.3</val>
          </value>
        </values>
      </ddeItem>
      <ddeItem name="1589.TW-SimulateTime" advise="1">
        <values>
          <value t="str">
            <val>13:29:51</val>
          </value>
        </values>
      </ddeItem>
      <ddeItem name="1590.TW-ID" advise="1">
        <values>
          <value t="str">
            <val>1590</val>
          </value>
        </values>
      </ddeItem>
      <ddeItem name="1590.TW-Name" advise="1">
        <values>
          <value t="str">
            <val>亞德客-KY</val>
          </value>
        </values>
      </ddeItem>
      <ddeItem name="1590.TW-PreClose" advise="1">
        <values>
          <value>
            <val>523</val>
          </value>
        </values>
      </ddeItem>
      <ddeItem name="1590.TW-Price" advise="1">
        <values>
          <value>
            <val>555</val>
          </value>
        </values>
      </ddeItem>
      <ddeItem name="1590.TW-SimulatePrice" advise="1">
        <values>
          <value>
            <val>556</val>
          </value>
        </values>
      </ddeItem>
      <ddeItem name="1590.TW-SimulateTime" advise="1">
        <values>
          <value t="str">
            <val>13:29:57</val>
          </value>
        </values>
      </ddeItem>
      <ddeItem name="1592.TW-ID" advise="1">
        <values>
          <value t="str">
            <val>1592</val>
          </value>
        </values>
      </ddeItem>
      <ddeItem name="1592.TW-Name" advise="1">
        <values>
          <value t="str">
            <val>英瑞-KY</val>
          </value>
        </values>
      </ddeItem>
      <ddeItem name="1592.TW-PreClose" advise="1">
        <values>
          <value>
            <val>10.6</val>
          </value>
        </values>
      </ddeItem>
      <ddeItem name="1592.TW-Price" advise="1">
        <values>
          <value>
            <val>10.55</val>
          </value>
        </values>
      </ddeItem>
      <ddeItem name="1592.TW-SimulatePrice" advise="1">
        <values>
          <value>
            <val>10.55</val>
          </value>
        </values>
      </ddeItem>
      <ddeItem name="1592.TW-SimulateTime" advise="1">
        <values>
          <value t="str">
            <val>13:29:58</val>
          </value>
        </values>
      </ddeItem>
      <ddeItem name="1598.TW-ID" advise="1">
        <values>
          <value t="str">
            <val>1598</val>
          </value>
        </values>
      </ddeItem>
      <ddeItem name="1598.TW-Name" advise="1">
        <values>
          <value t="str">
            <val>岱宇</val>
          </value>
        </values>
      </ddeItem>
      <ddeItem name="1598.TW-PreClose" advise="1">
        <values>
          <value>
            <val>37.35</val>
          </value>
        </values>
      </ddeItem>
      <ddeItem name="1598.TW-Price" advise="1">
        <values>
          <value>
            <val>38.700000000000003</val>
          </value>
        </values>
      </ddeItem>
      <ddeItem name="1598.TW-SimulatePrice" advise="1">
        <values>
          <value>
            <val>38.700000000000003</val>
          </value>
        </values>
      </ddeItem>
      <ddeItem name="1598.TW-SimulateTime" advise="1">
        <values>
          <value t="str">
            <val>13:32:55</val>
          </value>
        </values>
      </ddeItem>
      <ddeItem name="1603.TW-ID" advise="1">
        <values>
          <value t="str">
            <val>1603</val>
          </value>
        </values>
      </ddeItem>
      <ddeItem name="1603.TW-Name" advise="1">
        <values>
          <value t="str">
            <val>華電</val>
          </value>
        </values>
      </ddeItem>
      <ddeItem name="1603.TW-PreClose" advise="1">
        <values>
          <value>
            <val>27.2</val>
          </value>
        </values>
      </ddeItem>
      <ddeItem name="1603.TW-Price" advise="1">
        <values>
          <value>
            <val>27.15</val>
          </value>
        </values>
      </ddeItem>
      <ddeItem name="1603.TW-SimulatePrice" advise="1">
        <values>
          <value>
            <val>27.15</val>
          </value>
        </values>
      </ddeItem>
      <ddeItem name="1603.TW-SimulateTime" advise="1">
        <values>
          <value t="str">
            <val>13:25:49</val>
          </value>
        </values>
      </ddeItem>
      <ddeItem name="1604.TW-ID" advise="1">
        <values>
          <value t="str">
            <val>1604</val>
          </value>
        </values>
      </ddeItem>
      <ddeItem name="1604.TW-Name" advise="1">
        <values>
          <value t="str">
            <val>聲寶</val>
          </value>
        </values>
      </ddeItem>
      <ddeItem name="1604.TW-PreClose" advise="1">
        <values>
          <value>
            <val>19.649999999999999</val>
          </value>
        </values>
      </ddeItem>
      <ddeItem name="1604.TW-Price" advise="1">
        <values>
          <value>
            <val>19.55</val>
          </value>
        </values>
      </ddeItem>
      <ddeItem name="1604.TW-SimulatePrice" advise="1">
        <values>
          <value>
            <val>19.55</val>
          </value>
        </values>
      </ddeItem>
      <ddeItem name="1604.TW-SimulateTime" advise="1">
        <values>
          <value t="str">
            <val>13:28:53</val>
          </value>
        </values>
      </ddeItem>
      <ddeItem name="1605.TW-ID" advise="1">
        <values>
          <value t="str">
            <val>1605</val>
          </value>
        </values>
      </ddeItem>
      <ddeItem name="1605.TW-Name" advise="1">
        <values>
          <value t="str">
            <val>華新</val>
          </value>
        </values>
      </ddeItem>
      <ddeItem name="1605.TW-PreClose" advise="1">
        <values>
          <value>
            <val>12.55</val>
          </value>
        </values>
      </ddeItem>
      <ddeItem name="1605.TW-Price" advise="1">
        <values>
          <value>
            <val>12.45</val>
          </value>
        </values>
      </ddeItem>
      <ddeItem name="1605.TW-SimulatePrice" advise="1">
        <values>
          <value>
            <val>12.45</val>
          </value>
        </values>
      </ddeItem>
      <ddeItem name="1605.TW-SimulateTime" advise="1">
        <values>
          <value t="str">
            <val>13:29:56</val>
          </value>
        </values>
      </ddeItem>
      <ddeItem name="1608.TW-ID" advise="1">
        <values>
          <value t="str">
            <val>1608</val>
          </value>
        </values>
      </ddeItem>
      <ddeItem name="1608.TW-Name" advise="1">
        <values>
          <value t="str">
            <val>華榮</val>
          </value>
        </values>
      </ddeItem>
      <ddeItem name="1608.TW-PreClose" advise="1">
        <values>
          <value>
            <val>9.16</val>
          </value>
        </values>
      </ddeItem>
      <ddeItem name="1608.TW-Price" advise="1">
        <values>
          <value>
            <val>9.1</val>
          </value>
        </values>
      </ddeItem>
      <ddeItem name="1608.TW-SimulatePrice" advise="1">
        <values>
          <value>
            <val>9.1</val>
          </value>
        </values>
      </ddeItem>
      <ddeItem name="1608.TW-SimulateTime" advise="1">
        <values>
          <value t="str">
            <val>13:29:53</val>
          </value>
        </values>
      </ddeItem>
      <ddeItem name="1609.TW-ID" advise="1">
        <values>
          <value t="str">
            <val>1609</val>
          </value>
        </values>
      </ddeItem>
      <ddeItem name="1609.TW-Name" advise="1">
        <values>
          <value t="str">
            <val>大亞</val>
          </value>
        </values>
      </ddeItem>
      <ddeItem name="1609.TW-PreClose" advise="1">
        <values>
          <value>
            <val>10.5</val>
          </value>
        </values>
      </ddeItem>
      <ddeItem name="1609.TW-Price" advise="1">
        <values>
          <value>
            <val>10.4</val>
          </value>
        </values>
      </ddeItem>
      <ddeItem name="1609.TW-SimulatePrice" advise="1">
        <values>
          <value>
            <val>10.4</val>
          </value>
        </values>
      </ddeItem>
      <ddeItem name="1609.TW-SimulateTime" advise="1">
        <values>
          <value t="str">
            <val>13:29:54</val>
          </value>
        </values>
      </ddeItem>
      <ddeItem name="1611.TW-ID" advise="1">
        <values>
          <value t="str">
            <val>1611</val>
          </value>
        </values>
      </ddeItem>
      <ddeItem name="1611.TW-Name" advise="1">
        <values>
          <value t="str">
            <val>中電</val>
          </value>
        </values>
      </ddeItem>
      <ddeItem name="1611.TW-PreClose" advise="1">
        <values>
          <value>
            <val>13.15</val>
          </value>
        </values>
      </ddeItem>
      <ddeItem name="1611.TW-Price" advise="1">
        <values>
          <value>
            <val>13.1</val>
          </value>
        </values>
      </ddeItem>
      <ddeItem name="1611.TW-SimulatePrice" advise="1">
        <values>
          <value>
            <val>13.1</val>
          </value>
        </values>
      </ddeItem>
      <ddeItem name="1611.TW-SimulateTime" advise="1">
        <values>
          <value t="str">
            <val>13:29:51</val>
          </value>
        </values>
      </ddeItem>
      <ddeItem name="1612.TW-ID" advise="1">
        <values>
          <value t="str">
            <val>1612</val>
          </value>
        </values>
      </ddeItem>
      <ddeItem name="1612.TW-Name" advise="1">
        <values>
          <value t="str">
            <val>宏泰</val>
          </value>
        </values>
      </ddeItem>
      <ddeItem name="1612.TW-PreClose" advise="1">
        <values>
          <value>
            <val>10</val>
          </value>
        </values>
      </ddeItem>
      <ddeItem name="1612.TW-Price" advise="1">
        <values>
          <value>
            <val>10</val>
          </value>
        </values>
      </ddeItem>
      <ddeItem name="1612.TW-SimulatePrice" advise="1">
        <values>
          <value>
            <val>10</val>
          </value>
        </values>
      </ddeItem>
      <ddeItem name="1612.TW-SimulateTime" advise="1">
        <values>
          <value t="str">
            <val>13:29:01</val>
          </value>
        </values>
      </ddeItem>
      <ddeItem name="1614.TW-ID" advise="1">
        <values>
          <value t="str">
            <val>1614</val>
          </value>
        </values>
      </ddeItem>
      <ddeItem name="1614.TW-Name" advise="1">
        <values>
          <value t="str">
            <val>三洋電</val>
          </value>
        </values>
      </ddeItem>
      <ddeItem name="1614.TW-PreClose" advise="1">
        <values>
          <value>
            <val>30.6</val>
          </value>
        </values>
      </ddeItem>
      <ddeItem name="1614.TW-Price" advise="1">
        <values>
          <value>
            <val>30.6</val>
          </value>
        </values>
      </ddeItem>
      <ddeItem name="1614.TW-SimulatePrice" advise="1">
        <values>
          <value>
            <val>30.6</val>
          </value>
        </values>
      </ddeItem>
      <ddeItem name="1614.TW-SimulateTime" advise="1">
        <values>
          <value t="str">
            <val>13:29:36</val>
          </value>
        </values>
      </ddeItem>
      <ddeItem name="1615.TW-ID" advise="1">
        <values>
          <value t="str">
            <val>1615</val>
          </value>
        </values>
      </ddeItem>
      <ddeItem name="1615.TW-Name" advise="1">
        <values>
          <value t="str">
            <val>大山</val>
          </value>
        </values>
      </ddeItem>
      <ddeItem name="1615.TW-PreClose" advise="1">
        <values>
          <value>
            <val>22.4</val>
          </value>
        </values>
      </ddeItem>
      <ddeItem name="1615.TW-Price" advise="1">
        <values>
          <value>
            <val>22.2</val>
          </value>
        </values>
      </ddeItem>
      <ddeItem name="1615.TW-SimulatePrice" advise="1">
        <values>
          <value>
            <val>22.2</val>
          </value>
        </values>
      </ddeItem>
      <ddeItem name="1615.TW-SimulateTime" advise="1">
        <values>
          <value t="str">
            <val>13:29:39</val>
          </value>
        </values>
      </ddeItem>
      <ddeItem name="1616.TW-ID" advise="1">
        <values>
          <value t="str">
            <val>1616</val>
          </value>
        </values>
      </ddeItem>
      <ddeItem name="1616.TW-Name" advise="1">
        <values>
          <value t="str">
            <val>億泰</val>
          </value>
        </values>
      </ddeItem>
      <ddeItem name="1616.TW-PreClose" advise="1">
        <values>
          <value>
            <val>4.25</val>
          </value>
        </values>
      </ddeItem>
      <ddeItem name="1616.TW-Price" advise="1">
        <values>
          <value>
            <val>4.24</val>
          </value>
        </values>
      </ddeItem>
      <ddeItem name="1616.TW-SimulatePrice" advise="1">
        <values>
          <value>
            <val>4.24</val>
          </value>
        </values>
      </ddeItem>
      <ddeItem name="1616.TW-SimulateTime" advise="1">
        <values>
          <value t="str">
            <val>13:28:04</val>
          </value>
        </values>
      </ddeItem>
      <ddeItem name="1617.TW-ID" advise="1">
        <values>
          <value t="str">
            <val>1617</val>
          </value>
        </values>
      </ddeItem>
      <ddeItem name="1617.TW-Name" advise="1">
        <values>
          <value t="str">
            <val>榮星</val>
          </value>
        </values>
      </ddeItem>
      <ddeItem name="1617.TW-PreClose" advise="1">
        <values>
          <value>
            <val>11</val>
          </value>
        </values>
      </ddeItem>
      <ddeItem name="1617.TW-Price" advise="1">
        <values>
          <value>
            <val>11.05</val>
          </value>
        </values>
      </ddeItem>
      <ddeItem name="1617.TW-SimulatePrice" advise="1">
        <values>
          <value>
            <val>11.05</val>
          </value>
        </values>
      </ddeItem>
      <ddeItem name="1617.TW-SimulateTime" advise="1">
        <values>
          <value t="str">
            <val>13:29:51</val>
          </value>
        </values>
      </ddeItem>
      <ddeItem name="1618.TW-ID" advise="1">
        <values>
          <value t="str">
            <val>1618</val>
          </value>
        </values>
      </ddeItem>
      <ddeItem name="1618.TW-Name" advise="1">
        <values>
          <value t="str">
            <val>合機</val>
          </value>
        </values>
      </ddeItem>
      <ddeItem name="1618.TW-PreClose" advise="1">
        <values>
          <value>
            <val>7.75</val>
          </value>
        </values>
      </ddeItem>
      <ddeItem name="1618.TW-Price" advise="1">
        <values>
          <value>
            <val>7.72</val>
          </value>
        </values>
      </ddeItem>
      <ddeItem name="1618.TW-SimulatePrice" advise="1">
        <values>
          <value t="str">
            <val>--</val>
          </value>
        </values>
      </ddeItem>
      <ddeItem name="1618.TW-SimulateTime" advise="1">
        <values>
          <value t="str">
            <val>--</val>
          </value>
        </values>
      </ddeItem>
      <ddeItem name="1626.TW-ID" advise="1">
        <values>
          <value t="str">
            <val>1626</val>
          </value>
        </values>
      </ddeItem>
      <ddeItem name="1626.TW-Name" advise="1">
        <values>
          <value t="str">
            <val>艾美特-KY</val>
          </value>
        </values>
      </ddeItem>
      <ddeItem name="1626.TW-PreClose" advise="1">
        <values>
          <value>
            <val>24.6</val>
          </value>
        </values>
      </ddeItem>
      <ddeItem name="1626.TW-Price" advise="1">
        <values>
          <value>
            <val>25.4</val>
          </value>
        </values>
      </ddeItem>
      <ddeItem name="1626.TW-SimulatePrice" advise="1">
        <values>
          <value>
            <val>25.4</val>
          </value>
        </values>
      </ddeItem>
      <ddeItem name="1626.TW-SimulateTime" advise="1">
        <values>
          <value t="str">
            <val>13:29:56</val>
          </value>
        </values>
      </ddeItem>
      <ddeItem name="1701.TW-ID" advise="1">
        <values>
          <value t="str">
            <val>1701</val>
          </value>
        </values>
      </ddeItem>
      <ddeItem name="1701.TW-Name" advise="1">
        <values>
          <value t="str">
            <val>中化</val>
          </value>
        </values>
      </ddeItem>
      <ddeItem name="1701.TW-PreClose" advise="1">
        <values>
          <value>
            <val>21.45</val>
          </value>
        </values>
      </ddeItem>
      <ddeItem name="1701.TW-Price" advise="1">
        <values>
          <value>
            <val>21.25</val>
          </value>
        </values>
      </ddeItem>
      <ddeItem name="1701.TW-SimulatePrice" advise="1">
        <values>
          <value>
            <val>21.25</val>
          </value>
        </values>
      </ddeItem>
      <ddeItem name="1701.TW-SimulateTime" advise="1">
        <values>
          <value t="str">
            <val>13:29:57</val>
          </value>
        </values>
      </ddeItem>
      <ddeItem name="1702.TW-ID" advise="1">
        <values>
          <value t="str">
            <val>1702</val>
          </value>
        </values>
      </ddeItem>
      <ddeItem name="1702.TW-Name" advise="1">
        <values>
          <value t="str">
            <val>南僑</val>
          </value>
        </values>
      </ddeItem>
      <ddeItem name="1702.TW-PreClose" advise="1">
        <values>
          <value>
            <val>44.35</val>
          </value>
        </values>
      </ddeItem>
      <ddeItem name="1702.TW-Price" advise="1">
        <values>
          <value>
            <val>44.2</val>
          </value>
        </values>
      </ddeItem>
      <ddeItem name="1702.TW-SimulatePrice" advise="1">
        <values>
          <value>
            <val>44.2</val>
          </value>
        </values>
      </ddeItem>
      <ddeItem name="1702.TW-SimulateTime" advise="1">
        <values>
          <value t="str">
            <val>13:28:50</val>
          </value>
        </values>
      </ddeItem>
      <ddeItem name="1707.TW-ID" advise="1">
        <values>
          <value t="str">
            <val>1707</val>
          </value>
        </values>
      </ddeItem>
      <ddeItem name="1707.TW-Name" advise="1">
        <values>
          <value t="str">
            <val>葡萄王</val>
          </value>
        </values>
      </ddeItem>
      <ddeItem name="1707.TW-PreClose" advise="1">
        <values>
          <value>
            <val>194</val>
          </value>
        </values>
      </ddeItem>
      <ddeItem name="1707.TW-Price" advise="1">
        <values>
          <value>
            <val>192</val>
          </value>
        </values>
      </ddeItem>
      <ddeItem name="1707.TW-SimulatePrice" advise="1">
        <values>
          <value>
            <val>192</val>
          </value>
        </values>
      </ddeItem>
      <ddeItem name="1707.TW-SimulateTime" advise="1">
        <values>
          <value t="str">
            <val>13:29:59</val>
          </value>
        </values>
      </ddeItem>
      <ddeItem name="1708.TW-ID" advise="1">
        <values>
          <value t="str">
            <val>1708</val>
          </value>
        </values>
      </ddeItem>
      <ddeItem name="1708.TW-Name" advise="1">
        <values>
          <value t="str">
            <val>東鹼</val>
          </value>
        </values>
      </ddeItem>
      <ddeItem name="1708.TW-PreClose" advise="1">
        <values>
          <value>
            <val>23.95</val>
          </value>
        </values>
      </ddeItem>
      <ddeItem name="1708.TW-Price" advise="1">
        <values>
          <value>
            <val>24</val>
          </value>
        </values>
      </ddeItem>
      <ddeItem name="1708.TW-SimulatePrice" advise="1">
        <values>
          <value>
            <val>24</val>
          </value>
        </values>
      </ddeItem>
      <ddeItem name="1708.TW-SimulateTime" advise="1">
        <values>
          <value t="str">
            <val>13:29:46</val>
          </value>
        </values>
      </ddeItem>
      <ddeItem name="1709.TW-ID" advise="1">
        <values>
          <value t="str">
            <val>1709</val>
          </value>
        </values>
      </ddeItem>
      <ddeItem name="1709.TW-Name" advise="1">
        <values>
          <value t="str">
            <val>和益</val>
          </value>
        </values>
      </ddeItem>
      <ddeItem name="1709.TW-PreClose" advise="1">
        <values>
          <value>
            <val>12.85</val>
          </value>
        </values>
      </ddeItem>
      <ddeItem name="1709.TW-Price" advise="1">
        <values>
          <value>
            <val>12.8</val>
          </value>
        </values>
      </ddeItem>
      <ddeItem name="1709.TW-SimulatePrice" advise="1">
        <values>
          <value>
            <val>12.8</val>
          </value>
        </values>
      </ddeItem>
      <ddeItem name="1709.TW-SimulateTime" advise="1">
        <values>
          <value t="str">
            <val>13:29:56</val>
          </value>
        </values>
      </ddeItem>
      <ddeItem name="1710.TW-ID" advise="1">
        <values>
          <value t="str">
            <val>1710</val>
          </value>
        </values>
      </ddeItem>
      <ddeItem name="1710.TW-Name" advise="1">
        <values>
          <value t="str">
            <val>東聯</val>
          </value>
        </values>
      </ddeItem>
      <ddeItem name="1710.TW-PreClose" advise="1">
        <values>
          <value>
            <val>16.649999999999999</val>
          </value>
        </values>
      </ddeItem>
      <ddeItem name="1710.TW-Price" advise="1">
        <values>
          <value>
            <val>16.3</val>
          </value>
        </values>
      </ddeItem>
      <ddeItem name="1710.TW-SimulatePrice" advise="1">
        <values>
          <value>
            <val>16.3</val>
          </value>
        </values>
      </ddeItem>
      <ddeItem name="1710.TW-SimulateTime" advise="1">
        <values>
          <value t="str">
            <val>13:29:57</val>
          </value>
        </values>
      </ddeItem>
      <ddeItem name="1711.TW-ID" advise="1">
        <values>
          <value t="str">
            <val>1711</val>
          </value>
        </values>
      </ddeItem>
      <ddeItem name="1711.TW-Name" advise="1">
        <values>
          <value t="str">
            <val>永光</val>
          </value>
        </values>
      </ddeItem>
      <ddeItem name="1711.TW-PreClose" advise="1">
        <values>
          <value>
            <val>15.05</val>
          </value>
        </values>
      </ddeItem>
      <ddeItem name="1711.TW-Price" advise="1">
        <values>
          <value>
            <val>14.8</val>
          </value>
        </values>
      </ddeItem>
      <ddeItem name="1711.TW-SimulatePrice" advise="1">
        <values>
          <value>
            <val>14.8</val>
          </value>
        </values>
      </ddeItem>
      <ddeItem name="1711.TW-SimulateTime" advise="1">
        <values>
          <value t="str">
            <val>13:29:56</val>
          </value>
        </values>
      </ddeItem>
      <ddeItem name="1712.TW-ID" advise="1">
        <values>
          <value t="str">
            <val>1712</val>
          </value>
        </values>
      </ddeItem>
      <ddeItem name="1712.TW-Name" advise="1">
        <values>
          <value t="str">
            <val>興農</val>
          </value>
        </values>
      </ddeItem>
      <ddeItem name="1712.TW-PreClose" advise="1">
        <values>
          <value>
            <val>18.149999999999999</val>
          </value>
        </values>
      </ddeItem>
      <ddeItem name="1712.TW-Price" advise="1">
        <values>
          <value>
            <val>18.05</val>
          </value>
        </values>
      </ddeItem>
      <ddeItem name="1712.TW-SimulatePrice" advise="1">
        <values>
          <value>
            <val>18.05</val>
          </value>
        </values>
      </ddeItem>
      <ddeItem name="1712.TW-SimulateTime" advise="1">
        <values>
          <value t="str">
            <val>13:29:59</val>
          </value>
        </values>
      </ddeItem>
      <ddeItem name="1713.TW-ID" advise="1">
        <values>
          <value t="str">
            <val>1713</val>
          </value>
        </values>
      </ddeItem>
      <ddeItem name="1713.TW-Name" advise="1">
        <values>
          <value t="str">
            <val>國化</val>
          </value>
        </values>
      </ddeItem>
      <ddeItem name="1713.TW-PreClose" advise="1">
        <values>
          <value>
            <val>17.850000000000001</val>
          </value>
        </values>
      </ddeItem>
      <ddeItem name="1713.TW-Price" advise="1">
        <values>
          <value>
            <val>17.850000000000001</val>
          </value>
        </values>
      </ddeItem>
      <ddeItem name="1713.TW-SimulatePrice" advise="1">
        <values>
          <value>
            <val>17.850000000000001</val>
          </value>
        </values>
      </ddeItem>
      <ddeItem name="1713.TW-SimulateTime" advise="1">
        <values>
          <value t="str">
            <val>13:29:54</val>
          </value>
        </values>
      </ddeItem>
      <ddeItem name="1714.TW-ID" advise="1">
        <values>
          <value t="str">
            <val>1714</val>
          </value>
        </values>
      </ddeItem>
      <ddeItem name="1714.TW-Name" advise="1">
        <values>
          <value t="str">
            <val>和桐</val>
          </value>
        </values>
      </ddeItem>
      <ddeItem name="1714.TW-PreClose" advise="1">
        <values>
          <value>
            <val>7.08</val>
          </value>
        </values>
      </ddeItem>
      <ddeItem name="1714.TW-Price" advise="1">
        <values>
          <value>
            <val>7.08</val>
          </value>
        </values>
      </ddeItem>
      <ddeItem name="1714.TW-SimulatePrice" advise="1">
        <values>
          <value>
            <val>7.08</val>
          </value>
        </values>
      </ddeItem>
      <ddeItem name="1714.TW-SimulateTime" advise="1">
        <values>
          <value t="str">
            <val>13:29:41</val>
          </value>
        </values>
      </ddeItem>
      <ddeItem name="1717.TW-ID" advise="1">
        <values>
          <value t="str">
            <val>1717</val>
          </value>
        </values>
      </ddeItem>
      <ddeItem name="1717.TW-Name" advise="1">
        <values>
          <value t="str">
            <val>長興</val>
          </value>
        </values>
      </ddeItem>
      <ddeItem name="1717.TW-PreClose" advise="1">
        <values>
          <value>
            <val>29.2</val>
          </value>
        </values>
      </ddeItem>
      <ddeItem name="1717.TW-Price" advise="1">
        <values>
          <value>
            <val>29.3</val>
          </value>
        </values>
      </ddeItem>
      <ddeItem name="1717.TW-SimulatePrice" advise="1">
        <values>
          <value>
            <val>29.3</val>
          </value>
        </values>
      </ddeItem>
      <ddeItem name="1717.TW-SimulateTime" advise="1">
        <values>
          <value t="str">
            <val>13:29:48</val>
          </value>
        </values>
      </ddeItem>
      <ddeItem name="1718.TW-ID" advise="1">
        <values>
          <value t="str">
            <val>1718</val>
          </value>
        </values>
      </ddeItem>
      <ddeItem name="1718.TW-Name" advise="1">
        <values>
          <value t="str">
            <val>中纖</val>
          </value>
        </values>
      </ddeItem>
      <ddeItem name="1718.TW-PreClose" advise="1">
        <values>
          <value>
            <val>6.16</val>
          </value>
        </values>
      </ddeItem>
      <ddeItem name="1718.TW-Price" advise="1">
        <values>
          <value>
            <val>6.13</val>
          </value>
        </values>
      </ddeItem>
      <ddeItem name="1718.TW-SimulatePrice" advise="1">
        <values>
          <value>
            <val>6.13</val>
          </value>
        </values>
      </ddeItem>
      <ddeItem name="1718.TW-SimulateTime" advise="1">
        <values>
          <value t="str">
            <val>13:29:59</val>
          </value>
        </values>
      </ddeItem>
      <ddeItem name="1720.TW-ID" advise="1">
        <values>
          <value t="str">
            <val>1720</val>
          </value>
        </values>
      </ddeItem>
      <ddeItem name="1720.TW-Name" advise="1">
        <values>
          <value t="str">
            <val>生達</val>
          </value>
        </values>
      </ddeItem>
      <ddeItem name="1720.TW-PreClose" advise="1">
        <values>
          <value>
            <val>39.700000000000003</val>
          </value>
        </values>
      </ddeItem>
      <ddeItem name="1720.TW-Price" advise="1">
        <values>
          <value>
            <val>38.75</val>
          </value>
        </values>
      </ddeItem>
      <ddeItem name="1720.TW-SimulatePrice" advise="1">
        <values>
          <value>
            <val>38.75</val>
          </value>
        </values>
      </ddeItem>
      <ddeItem name="1720.TW-SimulateTime" advise="1">
        <values>
          <value t="str">
            <val>13:29:57</val>
          </value>
        </values>
      </ddeItem>
      <ddeItem name="1721.TW-ID" advise="1">
        <values>
          <value t="str">
            <val>1721</val>
          </value>
        </values>
      </ddeItem>
      <ddeItem name="1721.TW-Name" advise="1">
        <values>
          <value t="str">
            <val>三晃</val>
          </value>
        </values>
      </ddeItem>
      <ddeItem name="1721.TW-PreClose" advise="1">
        <values>
          <value>
            <val>9.9</val>
          </value>
        </values>
      </ddeItem>
      <ddeItem name="1721.TW-Price" advise="1">
        <values>
          <value>
            <val>9.76</val>
          </value>
        </values>
      </ddeItem>
      <ddeItem name="1721.TW-SimulatePrice" advise="1">
        <values>
          <value>
            <val>9.76</val>
          </value>
        </values>
      </ddeItem>
      <ddeItem name="1721.TW-SimulateTime" advise="1">
        <values>
          <value t="str">
            <val>13:28:35</val>
          </value>
        </values>
      </ddeItem>
      <ddeItem name="1722.TW-ID" advise="1">
        <values>
          <value t="str">
            <val>1722</val>
          </value>
        </values>
      </ddeItem>
      <ddeItem name="1722.TW-Name" advise="1">
        <values>
          <value t="str">
            <val>台肥</val>
          </value>
        </values>
      </ddeItem>
      <ddeItem name="1722.TW-PreClose" advise="1">
        <values>
          <value>
            <val>49.05</val>
          </value>
        </values>
      </ddeItem>
      <ddeItem name="1722.TW-Price" advise="1">
        <values>
          <value>
            <val>48.95</val>
          </value>
        </values>
      </ddeItem>
      <ddeItem name="1722.TW-SimulatePrice" advise="1">
        <values>
          <value>
            <val>48.95</val>
          </value>
        </values>
      </ddeItem>
      <ddeItem name="1722.TW-SimulateTime" advise="1">
        <values>
          <value t="str">
            <val>13:29:59</val>
          </value>
        </values>
      </ddeItem>
      <ddeItem name="1723.TW-ID" advise="1">
        <values>
          <value t="str">
            <val>1723</val>
          </value>
        </values>
      </ddeItem>
      <ddeItem name="1723.TW-Name" advise="1">
        <values>
          <value t="str">
            <val>中碳</val>
          </value>
        </values>
      </ddeItem>
      <ddeItem name="1723.TW-PreClose" advise="1">
        <values>
          <value>
            <val>100</val>
          </value>
        </values>
      </ddeItem>
      <ddeItem name="1723.TW-Price" advise="1">
        <values>
          <value>
            <val>101.5</val>
          </value>
        </values>
      </ddeItem>
      <ddeItem name="1723.TW-SimulatePrice" advise="1">
        <values>
          <value>
            <val>101.5</val>
          </value>
        </values>
      </ddeItem>
      <ddeItem name="1723.TW-SimulateTime" advise="1">
        <values>
          <value t="str">
            <val>13:29:59</val>
          </value>
        </values>
      </ddeItem>
      <ddeItem name="1724.TW-ID" advise="1">
        <values>
          <value t="str">
            <val>1724</val>
          </value>
        </values>
      </ddeItem>
      <ddeItem name="1724.TW-Name" advise="1">
        <values>
          <value t="str">
            <val>台硝</val>
          </value>
        </values>
      </ddeItem>
      <ddeItem name="1724.TW-PreClose" advise="1">
        <values>
          <value>
            <val>12.1</val>
          </value>
        </values>
      </ddeItem>
      <ddeItem name="1724.TW-Price" advise="1">
        <values>
          <value>
            <val>12.1</val>
          </value>
        </values>
      </ddeItem>
      <ddeItem name="1724.TW-SimulatePrice" advise="1">
        <values>
          <value>
            <val>12.1</val>
          </value>
        </values>
      </ddeItem>
      <ddeItem name="1724.TW-SimulateTime" advise="1">
        <values>
          <value t="str">
            <val>13:26:13</val>
          </value>
        </values>
      </ddeItem>
      <ddeItem name="1725.TW-ID" advise="1">
        <values>
          <value t="str">
            <val>1725</val>
          </value>
        </values>
      </ddeItem>
      <ddeItem name="1725.TW-Name" advise="1">
        <values>
          <value t="str">
            <val>元禎</val>
          </value>
        </values>
      </ddeItem>
      <ddeItem name="1725.TW-PreClose" advise="1">
        <values>
          <value>
            <val>14.4</val>
          </value>
        </values>
      </ddeItem>
      <ddeItem name="1725.TW-Price" advise="1">
        <values>
          <value>
            <val>14.75</val>
          </value>
        </values>
      </ddeItem>
      <ddeItem name="1725.TW-SimulatePrice" advise="1">
        <values>
          <value>
            <val>14.75</val>
          </value>
        </values>
      </ddeItem>
      <ddeItem name="1725.TW-SimulateTime" advise="1">
        <values>
          <value t="str">
            <val>13:29:30</val>
          </value>
        </values>
      </ddeItem>
      <ddeItem name="1726.TW-ID" advise="1">
        <values>
          <value t="str">
            <val>1726</val>
          </value>
        </values>
      </ddeItem>
      <ddeItem name="1726.TW-Name" advise="1">
        <values>
          <value t="str">
            <val>永記</val>
          </value>
        </values>
      </ddeItem>
      <ddeItem name="1726.TW-PreClose" advise="1">
        <values>
          <value>
            <val>68.7</val>
          </value>
        </values>
      </ddeItem>
      <ddeItem name="1726.TW-Price" advise="1">
        <values>
          <value>
            <val>68.5</val>
          </value>
        </values>
      </ddeItem>
      <ddeItem name="1726.TW-SimulatePrice" advise="1">
        <values>
          <value t="str">
            <val>--</val>
          </value>
        </values>
      </ddeItem>
      <ddeItem name="1726.TW-SimulateTime" advise="1">
        <values>
          <value t="str">
            <val>--</val>
          </value>
        </values>
      </ddeItem>
      <ddeItem name="1727.TW-ID" advise="1">
        <values>
          <value t="str">
            <val>1727</val>
          </value>
        </values>
      </ddeItem>
      <ddeItem name="1727.TW-Name" advise="1">
        <values>
          <value t="str">
            <val>中華化</val>
          </value>
        </values>
      </ddeItem>
      <ddeItem name="1727.TW-PreClose" advise="1">
        <values>
          <value>
            <val>9.26</val>
          </value>
        </values>
      </ddeItem>
      <ddeItem name="1727.TW-Price" advise="1">
        <values>
          <value>
            <val>9.08</val>
          </value>
        </values>
      </ddeItem>
      <ddeItem name="1727.TW-SimulatePrice" advise="1">
        <values>
          <value>
            <val>9.08</val>
          </value>
        </values>
      </ddeItem>
      <ddeItem name="1727.TW-SimulateTime" advise="1">
        <values>
          <value t="str">
            <val>13:28:16</val>
          </value>
        </values>
      </ddeItem>
      <ddeItem name="1730.TW-ID" advise="1">
        <values>
          <value t="str">
            <val>1730</val>
          </value>
        </values>
      </ddeItem>
      <ddeItem name="1730.TW-Name" advise="1">
        <values>
          <value t="str">
            <val>花仙子</val>
          </value>
        </values>
      </ddeItem>
      <ddeItem name="1730.TW-PreClose" advise="1">
        <values>
          <value>
            <val>71.5</val>
          </value>
        </values>
      </ddeItem>
      <ddeItem name="1730.TW-Price" advise="1">
        <values>
          <value>
            <val>70</val>
          </value>
        </values>
      </ddeItem>
      <ddeItem name="1730.TW-SimulatePrice" advise="1">
        <values>
          <value>
            <val>70</val>
          </value>
        </values>
      </ddeItem>
      <ddeItem name="1730.TW-SimulateTime" advise="1">
        <values>
          <value t="str">
            <val>13:27:52</val>
          </value>
        </values>
      </ddeItem>
      <ddeItem name="1731.TW-ID" advise="1">
        <values>
          <value t="str">
            <val>1731</val>
          </value>
        </values>
      </ddeItem>
      <ddeItem name="1731.TW-Name" advise="1">
        <values>
          <value t="str">
            <val>美吾華</val>
          </value>
        </values>
      </ddeItem>
      <ddeItem name="1731.TW-PreClose" advise="1">
        <values>
          <value>
            <val>13.65</val>
          </value>
        </values>
      </ddeItem>
      <ddeItem name="1731.TW-Price" advise="1">
        <values>
          <value>
            <val>13.65</val>
          </value>
        </values>
      </ddeItem>
      <ddeItem name="1731.TW-SimulatePrice" advise="1">
        <values>
          <value>
            <val>13.65</val>
          </value>
        </values>
      </ddeItem>
      <ddeItem name="1731.TW-SimulateTime" advise="1">
        <values>
          <value t="str">
            <val>13:29:56</val>
          </value>
        </values>
      </ddeItem>
      <ddeItem name="1732.TW-ID" advise="1">
        <values>
          <value t="str">
            <val>1732</val>
          </value>
        </values>
      </ddeItem>
      <ddeItem name="1732.TW-Name" advise="1">
        <values>
          <value t="str">
            <val>毛寶</val>
          </value>
        </values>
      </ddeItem>
      <ddeItem name="1732.TW-PreClose" advise="1">
        <values>
          <value>
            <val>30</val>
          </value>
        </values>
      </ddeItem>
      <ddeItem name="1732.TW-Price" advise="1">
        <values>
          <value>
            <val>30.65</val>
          </value>
        </values>
      </ddeItem>
      <ddeItem name="1732.TW-SimulatePrice" advise="1">
        <values>
          <value t="str">
            <val>--</val>
          </value>
        </values>
      </ddeItem>
      <ddeItem name="1732.TW-SimulateTime" advise="1">
        <values>
          <value t="str">
            <val>--</val>
          </value>
        </values>
      </ddeItem>
      <ddeItem name="1733.TW-ID" advise="1">
        <values>
          <value t="str">
            <val>1733</val>
          </value>
        </values>
      </ddeItem>
      <ddeItem name="1733.TW-Name" advise="1">
        <values>
          <value t="str">
            <val>五鼎</val>
          </value>
        </values>
      </ddeItem>
      <ddeItem name="1733.TW-PreClose" advise="1">
        <values>
          <value>
            <val>22.8</val>
          </value>
        </values>
      </ddeItem>
      <ddeItem name="1733.TW-Price" advise="1">
        <values>
          <value>
            <val>25.05</val>
          </value>
        </values>
      </ddeItem>
      <ddeItem name="1733.TW-SimulatePrice" advise="1">
        <values>
          <value>
            <val>25.05</val>
          </value>
        </values>
      </ddeItem>
      <ddeItem name="1733.TW-SimulateTime" advise="1">
        <values>
          <value t="str">
            <val>13:29:50</val>
          </value>
        </values>
      </ddeItem>
      <ddeItem name="1734.TW-ID" advise="1">
        <values>
          <value t="str">
            <val>1734</val>
          </value>
        </values>
      </ddeItem>
      <ddeItem name="1734.TW-Name" advise="1">
        <values>
          <value t="str">
            <val>杏輝</val>
          </value>
        </values>
      </ddeItem>
      <ddeItem name="1734.TW-PreClose" advise="1">
        <values>
          <value>
            <val>20.350000000000001</val>
          </value>
        </values>
      </ddeItem>
      <ddeItem name="1734.TW-Price" advise="1">
        <values>
          <value>
            <val>20.3</val>
          </value>
        </values>
      </ddeItem>
      <ddeItem name="1734.TW-SimulatePrice" advise="1">
        <values>
          <value>
            <val>20.3</val>
          </value>
        </values>
      </ddeItem>
      <ddeItem name="1734.TW-SimulateTime" advise="1">
        <values>
          <value t="str">
            <val>13:29:57</val>
          </value>
        </values>
      </ddeItem>
      <ddeItem name="1735.TW-ID" advise="1">
        <values>
          <value t="str">
            <val>1735</val>
          </value>
        </values>
      </ddeItem>
      <ddeItem name="1735.TW-Name" advise="1">
        <values>
          <value t="str">
            <val>日勝化</val>
          </value>
        </values>
      </ddeItem>
      <ddeItem name="1735.TW-PreClose" advise="1">
        <values>
          <value>
            <val>16.850000000000001</val>
          </value>
        </values>
      </ddeItem>
      <ddeItem name="1735.TW-Price" advise="1">
        <values>
          <value>
            <val>16.600000000000001</val>
          </value>
        </values>
      </ddeItem>
      <ddeItem name="1735.TW-SimulatePrice" advise="1">
        <values>
          <value t="str">
            <val>--</val>
          </value>
        </values>
      </ddeItem>
      <ddeItem name="1735.TW-SimulateTime" advise="1">
        <values>
          <value t="str">
            <val>--</val>
          </value>
        </values>
      </ddeItem>
      <ddeItem name="1736.TW-ID" advise="1">
        <values>
          <value t="str">
            <val>1736</val>
          </value>
        </values>
      </ddeItem>
      <ddeItem name="1736.TW-Name" advise="1">
        <values>
          <value t="str">
            <val>喬山</val>
          </value>
        </values>
      </ddeItem>
      <ddeItem name="1736.TW-PreClose" advise="1">
        <values>
          <value>
            <val>59.1</val>
          </value>
        </values>
      </ddeItem>
      <ddeItem name="1736.TW-Price" advise="1">
        <values>
          <value>
            <val>58.5</val>
          </value>
        </values>
      </ddeItem>
      <ddeItem name="1736.TW-SimulatePrice" advise="1">
        <values>
          <value>
            <val>58.5</val>
          </value>
        </values>
      </ddeItem>
      <ddeItem name="1736.TW-SimulateTime" advise="1">
        <values>
          <value t="str">
            <val>13:29:47</val>
          </value>
        </values>
      </ddeItem>
      <ddeItem name="1737.TW-ID" advise="1">
        <values>
          <value t="str">
            <val>1737</val>
          </value>
        </values>
      </ddeItem>
      <ddeItem name="1737.TW-Name" advise="1">
        <values>
          <value t="str">
            <val>臺鹽</val>
          </value>
        </values>
      </ddeItem>
      <ddeItem name="1737.TW-PreClose" advise="1">
        <values>
          <value>
            <val>30.75</val>
          </value>
        </values>
      </ddeItem>
      <ddeItem name="1737.TW-Price" advise="1">
        <values>
          <value>
            <val>30.7</val>
          </value>
        </values>
      </ddeItem>
      <ddeItem name="1737.TW-SimulatePrice" advise="1">
        <values>
          <value>
            <val>30.7</val>
          </value>
        </values>
      </ddeItem>
      <ddeItem name="1737.TW-SimulateTime" advise="1">
        <values>
          <value t="str">
            <val>13:29:59</val>
          </value>
        </values>
      </ddeItem>
      <ddeItem name="1760.TW-ID" advise="1">
        <values>
          <value t="str">
            <val>1760</val>
          </value>
        </values>
      </ddeItem>
      <ddeItem name="1760.TW-Name" advise="1">
        <values>
          <value t="str">
            <val>寶齡富錦</val>
          </value>
        </values>
      </ddeItem>
      <ddeItem name="1760.TW-PreClose" advise="1">
        <values>
          <value>
            <val>142</val>
          </value>
        </values>
      </ddeItem>
      <ddeItem name="1760.TW-Price" advise="1">
        <values>
          <value>
            <val>146</val>
          </value>
        </values>
      </ddeItem>
      <ddeItem name="1760.TW-SimulatePrice" advise="1">
        <values>
          <value>
            <val>146</val>
          </value>
        </values>
      </ddeItem>
      <ddeItem name="1760.TW-SimulateTime" advise="1">
        <values>
          <value t="str">
            <val>13:29:57</val>
          </value>
        </values>
      </ddeItem>
      <ddeItem name="1762.TW-ID" advise="1">
        <values>
          <value t="str">
            <val>1762</val>
          </value>
        </values>
      </ddeItem>
      <ddeItem name="1762.TW-Name" advise="1">
        <values>
          <value t="str">
            <val>中化生</val>
          </value>
        </values>
      </ddeItem>
      <ddeItem name="1762.TW-PreClose" advise="1">
        <values>
          <value>
            <val>66.3</val>
          </value>
        </values>
      </ddeItem>
      <ddeItem name="1762.TW-Price" advise="1">
        <values>
          <value>
            <val>64</val>
          </value>
        </values>
      </ddeItem>
      <ddeItem name="1762.TW-SimulatePrice" advise="1">
        <values>
          <value>
            <val>64</val>
          </value>
        </values>
      </ddeItem>
      <ddeItem name="1762.TW-SimulateTime" advise="1">
        <values>
          <value t="str">
            <val>13:29:57</val>
          </value>
        </values>
      </ddeItem>
      <ddeItem name="1773.TW-ID" advise="1">
        <values>
          <value t="str">
            <val>1773</val>
          </value>
        </values>
      </ddeItem>
      <ddeItem name="1773.TW-Name" advise="1">
        <values>
          <value t="str">
            <val>勝一</val>
          </value>
        </values>
      </ddeItem>
      <ddeItem name="1773.TW-PreClose" advise="1">
        <values>
          <value>
            <val>94.6</val>
          </value>
        </values>
      </ddeItem>
      <ddeItem name="1773.TW-Price" advise="1">
        <values>
          <value>
            <val>95.7</val>
          </value>
        </values>
      </ddeItem>
      <ddeItem name="1773.TW-SimulatePrice" advise="1">
        <values>
          <value>
            <val>95.7</val>
          </value>
        </values>
      </ddeItem>
      <ddeItem name="1773.TW-SimulateTime" advise="1">
        <values>
          <value t="str">
            <val>13:29:30</val>
          </value>
        </values>
      </ddeItem>
      <ddeItem name="1776.TW-ID" advise="1">
        <values>
          <value t="str">
            <val>1776</val>
          </value>
        </values>
      </ddeItem>
      <ddeItem name="1776.TW-Name" advise="1">
        <values>
          <value t="str">
            <val>展宇</val>
          </value>
        </values>
      </ddeItem>
      <ddeItem name="1776.TW-PreClose" advise="1">
        <values>
          <value>
            <val>17.05</val>
          </value>
        </values>
      </ddeItem>
      <ddeItem name="1776.TW-Price" advise="1">
        <values>
          <value>
            <val>17.149999999999999</val>
          </value>
        </values>
      </ddeItem>
      <ddeItem name="1776.TW-SimulatePrice" advise="1">
        <values>
          <value t="str">
            <val>--</val>
          </value>
        </values>
      </ddeItem>
      <ddeItem name="1776.TW-SimulateTime" advise="1">
        <values>
          <value t="str">
            <val>--</val>
          </value>
        </values>
      </ddeItem>
      <ddeItem name="1783.TW-ID" advise="1">
        <values>
          <value t="str">
            <val>1783</val>
          </value>
        </values>
      </ddeItem>
      <ddeItem name="1783.TW-Name" advise="1">
        <values>
          <value t="str">
            <val>和康生</val>
          </value>
        </values>
      </ddeItem>
      <ddeItem name="1783.TW-PreClose" advise="1">
        <values>
          <value>
            <val>25.3</val>
          </value>
        </values>
      </ddeItem>
      <ddeItem name="1783.TW-Price" advise="1">
        <values>
          <value>
            <val>25</val>
          </value>
        </values>
      </ddeItem>
      <ddeItem name="1783.TW-SimulatePrice" advise="1">
        <values>
          <value>
            <val>25</val>
          </value>
        </values>
      </ddeItem>
      <ddeItem name="1783.TW-SimulateTime" advise="1">
        <values>
          <value t="str">
            <val>13:28:55</val>
          </value>
        </values>
      </ddeItem>
      <ddeItem name="1786.TW-ID" advise="1">
        <values>
          <value t="str">
            <val>1786</val>
          </value>
        </values>
      </ddeItem>
      <ddeItem name="1786.TW-Name" advise="1">
        <values>
          <value t="str">
            <val>科妍</val>
          </value>
        </values>
      </ddeItem>
      <ddeItem name="1786.TW-PreClose" advise="1">
        <values>
          <value>
            <val>62</val>
          </value>
        </values>
      </ddeItem>
      <ddeItem name="1786.TW-Price" advise="1">
        <values>
          <value>
            <val>61.8</val>
          </value>
        </values>
      </ddeItem>
      <ddeItem name="1786.TW-SimulatePrice" advise="1">
        <values>
          <value>
            <val>61.7</val>
          </value>
        </values>
      </ddeItem>
      <ddeItem name="1786.TW-SimulateTime" advise="1">
        <values>
          <value t="str">
            <val>13:29:50</val>
          </value>
        </values>
      </ddeItem>
      <ddeItem name="1789.TW-ID" advise="1">
        <values>
          <value t="str">
            <val>1789</val>
          </value>
        </values>
      </ddeItem>
      <ddeItem name="1789.TW-Name" advise="1">
        <values>
          <value t="str">
            <val>神隆</val>
          </value>
        </values>
      </ddeItem>
      <ddeItem name="1789.TW-PreClose" advise="1">
        <values>
          <value>
            <val>31.5</val>
          </value>
        </values>
      </ddeItem>
      <ddeItem name="1789.TW-Price" advise="1">
        <values>
          <value>
            <val>30.9</val>
          </value>
        </values>
      </ddeItem>
      <ddeItem name="1789.TW-SimulatePrice" advise="1">
        <values>
          <value>
            <val>30.9</val>
          </value>
        </values>
      </ddeItem>
      <ddeItem name="1789.TW-SimulateTime" advise="1">
        <values>
          <value t="str">
            <val>13:29:53</val>
          </value>
        </values>
      </ddeItem>
      <ddeItem name="1795.TW-ID" advise="1">
        <values>
          <value t="str">
            <val>1795</val>
          </value>
        </values>
      </ddeItem>
      <ddeItem name="1795.TW-Name" advise="1">
        <values>
          <value t="str">
            <val>美時</val>
          </value>
        </values>
      </ddeItem>
      <ddeItem name="1795.TW-PreClose" advise="1">
        <values>
          <value>
            <val>75.099999999999994</val>
          </value>
        </values>
      </ddeItem>
      <ddeItem name="1795.TW-Price" advise="1">
        <values>
          <value>
            <val>75</val>
          </value>
        </values>
      </ddeItem>
      <ddeItem name="1795.TW-SimulatePrice" advise="1">
        <values>
          <value>
            <val>75</val>
          </value>
        </values>
      </ddeItem>
      <ddeItem name="1795.TW-SimulateTime" advise="1">
        <values>
          <value t="str">
            <val>13:29:55</val>
          </value>
        </values>
      </ddeItem>
      <ddeItem name="1802.TW-ID" advise="1">
        <values>
          <value t="str">
            <val>1802</val>
          </value>
        </values>
      </ddeItem>
      <ddeItem name="1802.TW-Name" advise="1">
        <values>
          <value t="str">
            <val>台玻</val>
          </value>
        </values>
      </ddeItem>
      <ddeItem name="1802.TW-PreClose" advise="1">
        <values>
          <value>
            <val>8.7100000000000009</val>
          </value>
        </values>
      </ddeItem>
      <ddeItem name="1802.TW-Price" advise="1">
        <values>
          <value>
            <val>8.56</val>
          </value>
        </values>
      </ddeItem>
      <ddeItem name="1802.TW-SimulatePrice" advise="1">
        <values>
          <value>
            <val>8.56</val>
          </value>
        </values>
      </ddeItem>
      <ddeItem name="1802.TW-SimulateTime" advise="1">
        <values>
          <value t="str">
            <val>13:29:42</val>
          </value>
        </values>
      </ddeItem>
      <ddeItem name="1805.TW-ID" advise="1">
        <values>
          <value t="str">
            <val>1805</val>
          </value>
        </values>
      </ddeItem>
      <ddeItem name="1805.TW-Name" advise="1">
        <values>
          <value t="str">
            <val>寶徠</val>
          </value>
        </values>
      </ddeItem>
      <ddeItem name="1805.TW-PreClose" advise="1">
        <values>
          <value>
            <val>8.31</val>
          </value>
        </values>
      </ddeItem>
      <ddeItem name="1805.TW-Price" advise="1">
        <values>
          <value t="str">
            <val>--</val>
          </value>
        </values>
      </ddeItem>
      <ddeItem name="1805.TW-SimulatePrice" advise="1">
        <values>
          <value t="str">
            <val>--</val>
          </value>
        </values>
      </ddeItem>
      <ddeItem name="1805.TW-SimulateTime" advise="1">
        <values>
          <value t="str">
            <val>--</val>
          </value>
        </values>
      </ddeItem>
      <ddeItem name="1806.TW-ID" advise="1">
        <values>
          <value t="str">
            <val>1806</val>
          </value>
        </values>
      </ddeItem>
      <ddeItem name="1806.TW-Name" advise="1">
        <values>
          <value t="str">
            <val>冠軍</val>
          </value>
        </values>
      </ddeItem>
      <ddeItem name="1806.TW-PreClose" advise="1">
        <values>
          <value>
            <val>4.8600000000000003</val>
          </value>
        </values>
      </ddeItem>
      <ddeItem name="1806.TW-Price" advise="1">
        <values>
          <value>
            <val>4.79</val>
          </value>
        </values>
      </ddeItem>
      <ddeItem name="1806.TW-SimulatePrice" advise="1">
        <values>
          <value>
            <val>4.79</val>
          </value>
        </values>
      </ddeItem>
      <ddeItem name="1806.TW-SimulateTime" advise="1">
        <values>
          <value t="str">
            <val>13:29:13</val>
          </value>
        </values>
      </ddeItem>
      <ddeItem name="1808.TW-ID" advise="1">
        <values>
          <value t="str">
            <val>1808</val>
          </value>
        </values>
      </ddeItem>
      <ddeItem name="1808.TW-Name" advise="1">
        <values>
          <value t="str">
            <val>潤隆</val>
          </value>
        </values>
      </ddeItem>
      <ddeItem name="1808.TW-PreClose" advise="1">
        <values>
          <value>
            <val>58.4</val>
          </value>
        </values>
      </ddeItem>
      <ddeItem name="1808.TW-Price" advise="1">
        <values>
          <value>
            <val>59.3</val>
          </value>
        </values>
      </ddeItem>
      <ddeItem name="1808.TW-SimulatePrice" advise="1">
        <values>
          <value>
            <val>59.3</val>
          </value>
        </values>
      </ddeItem>
      <ddeItem name="1808.TW-SimulateTime" advise="1">
        <values>
          <value t="str">
            <val>13:29:26</val>
          </value>
        </values>
      </ddeItem>
      <ddeItem name="1809.TW-ID" advise="1">
        <values>
          <value t="str">
            <val>1809</val>
          </value>
        </values>
      </ddeItem>
      <ddeItem name="1809.TW-Name" advise="1">
        <values>
          <value t="str">
            <val>中釉</val>
          </value>
        </values>
      </ddeItem>
      <ddeItem name="1809.TW-PreClose" advise="1">
        <values>
          <value>
            <val>8.86</val>
          </value>
        </values>
      </ddeItem>
      <ddeItem name="1809.TW-Price" advise="1">
        <values>
          <value>
            <val>8.75</val>
          </value>
        </values>
      </ddeItem>
      <ddeItem name="1809.TW-SimulatePrice" advise="1">
        <values>
          <value>
            <val>8.75</val>
          </value>
        </values>
      </ddeItem>
      <ddeItem name="1809.TW-SimulateTime" advise="1">
        <values>
          <value t="str">
            <val>13:28:36</val>
          </value>
        </values>
      </ddeItem>
      <ddeItem name="1810.TW-ID" advise="1">
        <values>
          <value t="str">
            <val>1810</val>
          </value>
        </values>
      </ddeItem>
      <ddeItem name="1810.TW-Name" advise="1">
        <values>
          <value t="str">
            <val>和成</val>
          </value>
        </values>
      </ddeItem>
      <ddeItem name="1810.TW-PreClose" advise="1">
        <values>
          <value>
            <val>7.3</val>
          </value>
        </values>
      </ddeItem>
      <ddeItem name="1810.TW-Price" advise="1">
        <values>
          <value>
            <val>7.27</val>
          </value>
        </values>
      </ddeItem>
      <ddeItem name="1810.TW-SimulatePrice" advise="1">
        <values>
          <value>
            <val>7.27</val>
          </value>
        </values>
      </ddeItem>
      <ddeItem name="1810.TW-SimulateTime" advise="1">
        <values>
          <value t="str">
            <val>13:29:31</val>
          </value>
        </values>
      </ddeItem>
      <ddeItem name="1817.TW-ID" advise="1">
        <values>
          <value t="str">
            <val>1817</val>
          </value>
        </values>
      </ddeItem>
      <ddeItem name="1817.TW-Name" advise="1">
        <values>
          <value t="str">
            <val>凱撒衛</val>
          </value>
        </values>
      </ddeItem>
      <ddeItem name="1817.TW-PreClose" advise="1">
        <values>
          <value>
            <val>29.35</val>
          </value>
        </values>
      </ddeItem>
      <ddeItem name="1817.TW-Price" advise="1">
        <values>
          <value>
            <val>29.4</val>
          </value>
        </values>
      </ddeItem>
      <ddeItem name="1817.TW-SimulatePrice" advise="1">
        <values>
          <value>
            <val>29.4</val>
          </value>
        </values>
      </ddeItem>
      <ddeItem name="1817.TW-SimulateTime" advise="1">
        <values>
          <value t="str">
            <val>13:29:57</val>
          </value>
        </values>
      </ddeItem>
      <ddeItem name="1902.TW-ID" advise="1">
        <values>
          <value t="str">
            <val>1902</val>
          </value>
        </values>
      </ddeItem>
      <ddeItem name="1902.TW-Name" advise="1">
        <values>
          <value t="str">
            <val>台紙</val>
          </value>
        </values>
      </ddeItem>
      <ddeItem name="1902.TW-PreClose" advise="1">
        <values>
          <value>
            <val>20.7</val>
          </value>
        </values>
      </ddeItem>
      <ddeItem name="1902.TW-Price" advise="1">
        <values>
          <value>
            <val>20.65</val>
          </value>
        </values>
      </ddeItem>
      <ddeItem name="1902.TW-SimulatePrice" advise="1">
        <values>
          <value>
            <val>20.65</val>
          </value>
        </values>
      </ddeItem>
      <ddeItem name="1902.TW-SimulateTime" advise="1">
        <values>
          <value t="str">
            <val>13:29:57</val>
          </value>
        </values>
      </ddeItem>
      <ddeItem name="1903.TW-ID" advise="1">
        <values>
          <value t="str">
            <val>1903</val>
          </value>
        </values>
      </ddeItem>
      <ddeItem name="1903.TW-Name" advise="1">
        <values>
          <value t="str">
            <val>士紙</val>
          </value>
        </values>
      </ddeItem>
      <ddeItem name="1903.TW-PreClose" advise="1">
        <values>
          <value>
            <val>41.2</val>
          </value>
        </values>
      </ddeItem>
      <ddeItem name="1903.TW-Price" advise="1">
        <values>
          <value>
            <val>40.9</val>
          </value>
        </values>
      </ddeItem>
      <ddeItem name="1903.TW-SimulatePrice" advise="1">
        <values>
          <value>
            <val>40.9</val>
          </value>
        </values>
      </ddeItem>
      <ddeItem name="1903.TW-SimulateTime" advise="1">
        <values>
          <value t="str">
            <val>13:29:24</val>
          </value>
        </values>
      </ddeItem>
      <ddeItem name="1904.TW-ID" advise="1">
        <values>
          <value t="str">
            <val>1904</val>
          </value>
        </values>
      </ddeItem>
      <ddeItem name="1904.TW-Name" advise="1">
        <values>
          <value t="str">
            <val>正隆</val>
          </value>
        </values>
      </ddeItem>
      <ddeItem name="1904.TW-PreClose" advise="1">
        <values>
          <value>
            <val>21.5</val>
          </value>
        </values>
      </ddeItem>
      <ddeItem name="1904.TW-Price" advise="1">
        <values>
          <value>
            <val>22.2</val>
          </value>
        </values>
      </ddeItem>
      <ddeItem name="1904.TW-SimulatePrice" advise="1">
        <values>
          <value>
            <val>22.2</val>
          </value>
        </values>
      </ddeItem>
      <ddeItem name="1904.TW-SimulateTime" advise="1">
        <values>
          <value t="str">
            <val>13:29:55</val>
          </value>
        </values>
      </ddeItem>
      <ddeItem name="1905.TW-ID" advise="1">
        <values>
          <value t="str">
            <val>1905</val>
          </value>
        </values>
      </ddeItem>
      <ddeItem name="1905.TW-Name" advise="1">
        <values>
          <value t="str">
            <val>華紙</val>
          </value>
        </values>
      </ddeItem>
      <ddeItem name="1905.TW-PreClose" advise="1">
        <values>
          <value>
            <val>7.24</val>
          </value>
        </values>
      </ddeItem>
      <ddeItem name="1905.TW-Price" advise="1">
        <values>
          <value>
            <val>7.41</val>
          </value>
        </values>
      </ddeItem>
      <ddeItem name="1905.TW-SimulatePrice" advise="1">
        <values>
          <value>
            <val>7.41</val>
          </value>
        </values>
      </ddeItem>
      <ddeItem name="1905.TW-SimulateTime" advise="1">
        <values>
          <value t="str">
            <val>13:29:51</val>
          </value>
        </values>
      </ddeItem>
      <ddeItem name="1906.TW-ID" advise="1">
        <values>
          <value t="str">
            <val>1906</val>
          </value>
        </values>
      </ddeItem>
      <ddeItem name="1906.TW-Name" advise="1">
        <values>
          <value t="str">
            <val>寶隆</val>
          </value>
        </values>
      </ddeItem>
      <ddeItem name="1906.TW-PreClose" advise="1">
        <values>
          <value>
            <val>12</val>
          </value>
        </values>
      </ddeItem>
      <ddeItem name="1906.TW-Price" advise="1">
        <values>
          <value>
            <val>11.7</val>
          </value>
        </values>
      </ddeItem>
      <ddeItem name="1906.TW-SimulatePrice" advise="1">
        <values>
          <value>
            <val>11.7</val>
          </value>
        </values>
      </ddeItem>
      <ddeItem name="1906.TW-SimulateTime" advise="1">
        <values>
          <value t="str">
            <val>13:28:58</val>
          </value>
        </values>
      </ddeItem>
      <ddeItem name="1907.TW-ID" advise="1">
        <values>
          <value t="str">
            <val>1907</val>
          </value>
        </values>
      </ddeItem>
      <ddeItem name="1907.TW-Name" advise="1">
        <values>
          <value t="str">
            <val>永豐餘</val>
          </value>
        </values>
      </ddeItem>
      <ddeItem name="1907.TW-PreClose" advise="1">
        <values>
          <value>
            <val>12.75</val>
          </value>
        </values>
      </ddeItem>
      <ddeItem name="1907.TW-Price" advise="1">
        <values>
          <value>
            <val>13</val>
          </value>
        </values>
      </ddeItem>
      <ddeItem name="1907.TW-SimulatePrice" advise="1">
        <values>
          <value>
            <val>13</val>
          </value>
        </values>
      </ddeItem>
      <ddeItem name="1907.TW-SimulateTime" advise="1">
        <values>
          <value t="str">
            <val>13:29:57</val>
          </value>
        </values>
      </ddeItem>
      <ddeItem name="1909.TW-ID" advise="1">
        <values>
          <value t="str">
            <val>1909</val>
          </value>
        </values>
      </ddeItem>
      <ddeItem name="1909.TW-Name" advise="1">
        <values>
          <value t="str">
            <val>榮成</val>
          </value>
        </values>
      </ddeItem>
      <ddeItem name="1909.TW-PreClose" advise="1">
        <values>
          <value>
            <val>12.05</val>
          </value>
        </values>
      </ddeItem>
      <ddeItem name="1909.TW-Price" advise="1">
        <values>
          <value>
            <val>12</val>
          </value>
        </values>
      </ddeItem>
      <ddeItem name="1909.TW-SimulatePrice" advise="1">
        <values>
          <value>
            <val>12</val>
          </value>
        </values>
      </ddeItem>
      <ddeItem name="1909.TW-SimulateTime" advise="1">
        <values>
          <value t="str">
            <val>13:29:59</val>
          </value>
        </values>
      </ddeItem>
      <ddeItem name="2002.TW-ID" advise="1">
        <values>
          <value t="str">
            <val>2002</val>
          </value>
        </values>
      </ddeItem>
      <ddeItem name="2002.TW-Name" advise="1">
        <values>
          <value t="str">
            <val>中鋼</val>
          </value>
        </values>
      </ddeItem>
      <ddeItem name="2002.TW-PreClose" advise="1">
        <values>
          <value>
            <val>19.55</val>
          </value>
        </values>
      </ddeItem>
      <ddeItem name="2002.TW-Price" advise="1">
        <values>
          <value>
            <val>19.55</val>
          </value>
        </values>
      </ddeItem>
      <ddeItem name="2002.TW-SimulatePrice" advise="1">
        <values>
          <value>
            <val>19.55</val>
          </value>
        </values>
      </ddeItem>
      <ddeItem name="2002.TW-SimulateTime" advise="1">
        <values>
          <value t="str">
            <val>13:29:56</val>
          </value>
        </values>
      </ddeItem>
      <ddeItem name="2006.TW-ID" advise="1">
        <values>
          <value t="str">
            <val>2006</val>
          </value>
        </values>
      </ddeItem>
      <ddeItem name="2006.TW-Name" advise="1">
        <values>
          <value t="str">
            <val>東和鋼鐵</val>
          </value>
        </values>
      </ddeItem>
      <ddeItem name="2006.TW-PreClose" advise="1">
        <values>
          <value>
            <val>23.05</val>
          </value>
        </values>
      </ddeItem>
      <ddeItem name="2006.TW-Price" advise="1">
        <values>
          <value>
            <val>23.1</val>
          </value>
        </values>
      </ddeItem>
      <ddeItem name="2006.TW-SimulatePrice" advise="1">
        <values>
          <value>
            <val>23.1</val>
          </value>
        </values>
      </ddeItem>
      <ddeItem name="2006.TW-SimulateTime" advise="1">
        <values>
          <value t="str">
            <val>13:29:56</val>
          </value>
        </values>
      </ddeItem>
      <ddeItem name="2007.TW-ID" advise="1">
        <values>
          <value t="str">
            <val>2007</val>
          </value>
        </values>
      </ddeItem>
      <ddeItem name="2007.TW-Name" advise="1">
        <values>
          <value t="str">
            <val>燁興</val>
          </value>
        </values>
      </ddeItem>
      <ddeItem name="2007.TW-PreClose" advise="1">
        <values>
          <value>
            <val>3.75</val>
          </value>
        </values>
      </ddeItem>
      <ddeItem name="2007.TW-Price" advise="1">
        <values>
          <value>
            <val>3.7</val>
          </value>
        </values>
      </ddeItem>
      <ddeItem name="2007.TW-SimulatePrice" advise="1">
        <values>
          <value>
            <val>3.7</val>
          </value>
        </values>
      </ddeItem>
      <ddeItem name="2007.TW-SimulateTime" advise="1">
        <values>
          <value t="str">
            <val>13:29:52</val>
          </value>
        </values>
      </ddeItem>
      <ddeItem name="2008.TW-ID" advise="1">
        <values>
          <value t="str">
            <val>2008</val>
          </value>
        </values>
      </ddeItem>
      <ddeItem name="2008.TW-Name" advise="1">
        <values>
          <value t="str">
            <val>高興昌</val>
          </value>
        </values>
      </ddeItem>
      <ddeItem name="2008.TW-PreClose" advise="1">
        <values>
          <value>
            <val>12.3</val>
          </value>
        </values>
      </ddeItem>
      <ddeItem name="2008.TW-Price" advise="1">
        <values>
          <value>
            <val>12.35</val>
          </value>
        </values>
      </ddeItem>
      <ddeItem name="2008.TW-SimulatePrice" advise="1">
        <values>
          <value t="str">
            <val>--</val>
          </value>
        </values>
      </ddeItem>
      <ddeItem name="2008.TW-SimulateTime" advise="1">
        <values>
          <value t="str">
            <val>--</val>
          </value>
        </values>
      </ddeItem>
      <ddeItem name="2009.TW-ID" advise="1">
        <values>
          <value t="str">
            <val>2009</val>
          </value>
        </values>
      </ddeItem>
      <ddeItem name="2009.TW-Name" advise="1">
        <values>
          <value t="str">
            <val>第一銅</val>
          </value>
        </values>
      </ddeItem>
      <ddeItem name="2009.TW-PreClose" advise="1">
        <values>
          <value>
            <val>7.27</val>
          </value>
        </values>
      </ddeItem>
      <ddeItem name="2009.TW-Price" advise="1">
        <values>
          <value>
            <val>7.23</val>
          </value>
        </values>
      </ddeItem>
      <ddeItem name="2009.TW-SimulatePrice" advise="1">
        <values>
          <value>
            <val>7.23</val>
          </value>
        </values>
      </ddeItem>
      <ddeItem name="2009.TW-SimulateTime" advise="1">
        <values>
          <value t="str">
            <val>13:28:46</val>
          </value>
        </values>
      </ddeItem>
      <ddeItem name="2010.TW-ID" advise="1">
        <values>
          <value t="str">
            <val>2010</val>
          </value>
        </values>
      </ddeItem>
      <ddeItem name="2010.TW-Name" advise="1">
        <values>
          <value t="str">
            <val>春源</val>
          </value>
        </values>
      </ddeItem>
      <ddeItem name="2010.TW-PreClose" advise="1">
        <values>
          <value>
            <val>9.2899999999999991</val>
          </value>
        </values>
      </ddeItem>
      <ddeItem name="2010.TW-Price" advise="1">
        <values>
          <value>
            <val>9.2799999999999994</val>
          </value>
        </values>
      </ddeItem>
      <ddeItem name="2010.TW-SimulatePrice" advise="1">
        <values>
          <value>
            <val>9.2799999999999994</val>
          </value>
        </values>
      </ddeItem>
      <ddeItem name="2010.TW-SimulateTime" advise="1">
        <values>
          <value t="str">
            <val>13:27:24</val>
          </value>
        </values>
      </ddeItem>
      <ddeItem name="2012.TW-ID" advise="1">
        <values>
          <value t="str">
            <val>2012</val>
          </value>
        </values>
      </ddeItem>
      <ddeItem name="2012.TW-Name" advise="1">
        <values>
          <value t="str">
            <val>春雨</val>
          </value>
        </values>
      </ddeItem>
      <ddeItem name="2012.TW-PreClose" advise="1">
        <values>
          <value>
            <val>17.45</val>
          </value>
        </values>
      </ddeItem>
      <ddeItem name="2012.TW-Price" advise="1">
        <values>
          <value>
            <val>17.399999999999999</val>
          </value>
        </values>
      </ddeItem>
      <ddeItem name="2012.TW-SimulatePrice" advise="1">
        <values>
          <value>
            <val>17.399999999999999</val>
          </value>
        </values>
      </ddeItem>
      <ddeItem name="2012.TW-SimulateTime" advise="1">
        <values>
          <value t="str">
            <val>13:29:12</val>
          </value>
        </values>
      </ddeItem>
      <ddeItem name="2013.TW-ID" advise="1">
        <values>
          <value t="str">
            <val>2013</val>
          </value>
        </values>
      </ddeItem>
      <ddeItem name="2013.TW-Name" advise="1">
        <values>
          <value t="str">
            <val>中鋼構</val>
          </value>
        </values>
      </ddeItem>
      <ddeItem name="2013.TW-PreClose" advise="1">
        <values>
          <value>
            <val>23.75</val>
          </value>
        </values>
      </ddeItem>
      <ddeItem name="2013.TW-Price" advise="1">
        <values>
          <value>
            <val>24.2</val>
          </value>
        </values>
      </ddeItem>
      <ddeItem name="2013.TW-SimulatePrice" advise="1">
        <values>
          <value>
            <val>24.2</val>
          </value>
        </values>
      </ddeItem>
      <ddeItem name="2013.TW-SimulateTime" advise="1">
        <values>
          <value t="str">
            <val>13:29:52</val>
          </value>
        </values>
      </ddeItem>
      <ddeItem name="2014.TW-ID" advise="1">
        <values>
          <value t="str">
            <val>2014</val>
          </value>
        </values>
      </ddeItem>
      <ddeItem name="2014.TW-Name" advise="1">
        <values>
          <value t="str">
            <val>中鴻</val>
          </value>
        </values>
      </ddeItem>
      <ddeItem name="2014.TW-PreClose" advise="1">
        <values>
          <value>
            <val>7.21</val>
          </value>
        </values>
      </ddeItem>
      <ddeItem name="2014.TW-Price" advise="1">
        <values>
          <value>
            <val>7.15</val>
          </value>
        </values>
      </ddeItem>
      <ddeItem name="2014.TW-SimulatePrice" advise="1">
        <values>
          <value>
            <val>7.15</val>
          </value>
        </values>
      </ddeItem>
      <ddeItem name="2014.TW-SimulateTime" advise="1">
        <values>
          <value t="str">
            <val>13:29:43</val>
          </value>
        </values>
      </ddeItem>
      <ddeItem name="2015.TW-ID" advise="1">
        <values>
          <value t="str">
            <val>2015</val>
          </value>
        </values>
      </ddeItem>
      <ddeItem name="2015.TW-Name" advise="1">
        <values>
          <value t="str">
            <val>豐興</val>
          </value>
        </values>
      </ddeItem>
      <ddeItem name="2015.TW-PreClose" advise="1">
        <values>
          <value>
            <val>51.7</val>
          </value>
        </values>
      </ddeItem>
      <ddeItem name="2015.TW-Price" advise="1">
        <values>
          <value>
            <val>51.8</val>
          </value>
        </values>
      </ddeItem>
      <ddeItem name="2015.TW-SimulatePrice" advise="1">
        <values>
          <value>
            <val>51.9</val>
          </value>
        </values>
      </ddeItem>
      <ddeItem name="2015.TW-SimulateTime" advise="1">
        <values>
          <value t="str">
            <val>13:28:21</val>
          </value>
        </values>
      </ddeItem>
      <ddeItem name="2017.TW-ID" advise="1">
        <values>
          <value t="str">
            <val>2017</val>
          </value>
        </values>
      </ddeItem>
      <ddeItem name="2017.TW-Name" advise="1">
        <values>
          <value t="str">
            <val>官田鋼</val>
          </value>
        </values>
      </ddeItem>
      <ddeItem name="2017.TW-PreClose" advise="1">
        <values>
          <value>
            <val>6.69</val>
          </value>
        </values>
      </ddeItem>
      <ddeItem name="2017.TW-Price" advise="1">
        <values>
          <value>
            <val>6.72</val>
          </value>
        </values>
      </ddeItem>
      <ddeItem name="2017.TW-SimulatePrice" advise="1">
        <values>
          <value>
            <val>6.72</val>
          </value>
        </values>
      </ddeItem>
      <ddeItem name="2017.TW-SimulateTime" advise="1">
        <values>
          <value t="str">
            <val>13:29:13</val>
          </value>
        </values>
      </ddeItem>
      <ddeItem name="2020.TW-ID" advise="1">
        <values>
          <value t="str">
            <val>2020</val>
          </value>
        </values>
      </ddeItem>
      <ddeItem name="2020.TW-Name" advise="1">
        <values>
          <value t="str">
            <val>美亞</val>
          </value>
        </values>
      </ddeItem>
      <ddeItem name="2020.TW-PreClose" advise="1">
        <values>
          <value>
            <val>17.7</val>
          </value>
        </values>
      </ddeItem>
      <ddeItem name="2020.TW-Price" advise="1">
        <values>
          <value>
            <val>17.7</val>
          </value>
        </values>
      </ddeItem>
      <ddeItem name="2020.TW-SimulatePrice" advise="1">
        <values>
          <value>
            <val>17.7</val>
          </value>
        </values>
      </ddeItem>
      <ddeItem name="2020.TW-SimulateTime" advise="1">
        <values>
          <value t="str">
            <val>13:28:49</val>
          </value>
        </values>
      </ddeItem>
      <ddeItem name="2022.TW-ID" advise="1">
        <values>
          <value t="str">
            <val>2022</val>
          </value>
        </values>
      </ddeItem>
      <ddeItem name="2022.TW-Name" advise="1">
        <values>
          <value t="str">
            <val>聚亨</val>
          </value>
        </values>
      </ddeItem>
      <ddeItem name="2022.TW-PreClose" advise="1">
        <values>
          <value>
            <val>4</val>
          </value>
        </values>
      </ddeItem>
      <ddeItem name="2022.TW-Price" advise="1">
        <values>
          <value>
            <val>4</val>
          </value>
        </values>
      </ddeItem>
      <ddeItem name="2022.TW-SimulatePrice" advise="1">
        <values>
          <value>
            <val>4</val>
          </value>
        </values>
      </ddeItem>
      <ddeItem name="2022.TW-SimulateTime" advise="1">
        <values>
          <value t="str">
            <val>13:29:47</val>
          </value>
        </values>
      </ddeItem>
      <ddeItem name="2023.TW-ID" advise="1">
        <values>
          <value t="str">
            <val>2023</val>
          </value>
        </values>
      </ddeItem>
      <ddeItem name="2023.TW-Name" advise="1">
        <values>
          <value t="str">
            <val>燁輝</val>
          </value>
        </values>
      </ddeItem>
      <ddeItem name="2023.TW-PreClose" advise="1">
        <values>
          <value>
            <val>8.33</val>
          </value>
        </values>
      </ddeItem>
      <ddeItem name="2023.TW-Price" advise="1">
        <values>
          <value>
            <val>8.33</val>
          </value>
        </values>
      </ddeItem>
      <ddeItem name="2023.TW-SimulatePrice" advise="1">
        <values>
          <value>
            <val>8.33</val>
          </value>
        </values>
      </ddeItem>
      <ddeItem name="2023.TW-SimulateTime" advise="1">
        <values>
          <value t="str">
            <val>13:29:54</val>
          </value>
        </values>
      </ddeItem>
      <ddeItem name="2024.TW-ID" advise="1">
        <values>
          <value t="str">
            <val>2024</val>
          </value>
        </values>
      </ddeItem>
      <ddeItem name="2024.TW-Name" advise="1">
        <values>
          <value t="str">
            <val>志聯</val>
          </value>
        </values>
      </ddeItem>
      <ddeItem name="2024.TW-PreClose" advise="1">
        <values>
          <value>
            <val>12</val>
          </value>
        </values>
      </ddeItem>
      <ddeItem name="2024.TW-Price" advise="1">
        <values>
          <value>
            <val>12.15</val>
          </value>
        </values>
      </ddeItem>
      <ddeItem name="2024.TW-SimulatePrice" advise="1">
        <values>
          <value>
            <val>12.15</val>
          </value>
        </values>
      </ddeItem>
      <ddeItem name="2024.TW-SimulateTime" advise="1">
        <values>
          <value t="str">
            <val>13:29:58</val>
          </value>
        </values>
      </ddeItem>
      <ddeItem name="2025.TW-ID" advise="1">
        <values>
          <value t="str">
            <val>2025</val>
          </value>
        </values>
      </ddeItem>
      <ddeItem name="2025.TW-Name" advise="1">
        <values>
          <value t="str">
            <val>千興</val>
          </value>
        </values>
      </ddeItem>
      <ddeItem name="2025.TW-PreClose" advise="1">
        <values>
          <value>
            <val>1.78</val>
          </value>
        </values>
      </ddeItem>
      <ddeItem name="2025.TW-Price" advise="1">
        <values>
          <value>
            <val>1.75</val>
          </value>
        </values>
      </ddeItem>
      <ddeItem name="2025.TW-SimulatePrice" advise="1">
        <values>
          <value t="str">
            <val>--</val>
          </value>
        </values>
      </ddeItem>
      <ddeItem name="2025.TW-SimulateTime" advise="1">
        <values>
          <value t="str">
            <val>--</val>
          </value>
        </values>
      </ddeItem>
      <ddeItem name="2027.TW-ID" advise="1">
        <values>
          <value t="str">
            <val>2027</val>
          </value>
        </values>
      </ddeItem>
      <ddeItem name="2027.TW-Name" advise="1">
        <values>
          <value t="str">
            <val>大成鋼</val>
          </value>
        </values>
      </ddeItem>
      <ddeItem name="2027.TW-PreClose" advise="1">
        <values>
          <value>
            <val>25.8</val>
          </value>
        </values>
      </ddeItem>
      <ddeItem name="2027.TW-Price" advise="1">
        <values>
          <value>
            <val>25.55</val>
          </value>
        </values>
      </ddeItem>
      <ddeItem name="2027.TW-SimulatePrice" advise="1">
        <values>
          <value>
            <val>25.55</val>
          </value>
        </values>
      </ddeItem>
      <ddeItem name="2027.TW-SimulateTime" advise="1">
        <values>
          <value t="str">
            <val>13:29:59</val>
          </value>
        </values>
      </ddeItem>
      <ddeItem name="2028.TW-ID" advise="1">
        <values>
          <value t="str">
            <val>2028</val>
          </value>
        </values>
      </ddeItem>
      <ddeItem name="2028.TW-Name" advise="1">
        <values>
          <value t="str">
            <val>威致</val>
          </value>
        </values>
      </ddeItem>
      <ddeItem name="2028.TW-PreClose" advise="1">
        <values>
          <value>
            <val>9.5</val>
          </value>
        </values>
      </ddeItem>
      <ddeItem name="2028.TW-Price" advise="1">
        <values>
          <value>
            <val>9.4</val>
          </value>
        </values>
      </ddeItem>
      <ddeItem name="2028.TW-SimulatePrice" advise="1">
        <values>
          <value t="str">
            <val>--</val>
          </value>
        </values>
      </ddeItem>
      <ddeItem name="2028.TW-SimulateTime" advise="1">
        <values>
          <value t="str">
            <val>--</val>
          </value>
        </values>
      </ddeItem>
      <ddeItem name="2029.TW-ID" advise="1">
        <values>
          <value t="str">
            <val>2029</val>
          </value>
        </values>
      </ddeItem>
      <ddeItem name="2029.TW-Name" advise="1">
        <values>
          <value t="str">
            <val>盛餘</val>
          </value>
        </values>
      </ddeItem>
      <ddeItem name="2029.TW-PreClose" advise="1">
        <values>
          <value>
            <val>15.8</val>
          </value>
        </values>
      </ddeItem>
      <ddeItem name="2029.TW-Price" advise="1">
        <values>
          <value>
            <val>15.8</val>
          </value>
        </values>
      </ddeItem>
      <ddeItem name="2029.TW-SimulatePrice" advise="1">
        <values>
          <value>
            <val>15.8</val>
          </value>
        </values>
      </ddeItem>
      <ddeItem name="2029.TW-SimulateTime" advise="1">
        <values>
          <value t="str">
            <val>13:29:20</val>
          </value>
        </values>
      </ddeItem>
      <ddeItem name="2030.TW-ID" advise="1">
        <values>
          <value t="str">
            <val>2030</val>
          </value>
        </values>
      </ddeItem>
      <ddeItem name="2030.TW-Name" advise="1">
        <values>
          <value t="str">
            <val>彰源</val>
          </value>
        </values>
      </ddeItem>
      <ddeItem name="2030.TW-PreClose" advise="1">
        <values>
          <value>
            <val>10.1</val>
          </value>
        </values>
      </ddeItem>
      <ddeItem name="2030.TW-Price" advise="1">
        <values>
          <value>
            <val>10.1</val>
          </value>
        </values>
      </ddeItem>
      <ddeItem name="2030.TW-SimulatePrice" advise="1">
        <values>
          <value>
            <val>10.1</val>
          </value>
        </values>
      </ddeItem>
      <ddeItem name="2030.TW-SimulateTime" advise="1">
        <values>
          <value t="str">
            <val>13:28:35</val>
          </value>
        </values>
      </ddeItem>
      <ddeItem name="2031.TW-ID" advise="1">
        <values>
          <value t="str">
            <val>2031</val>
          </value>
        </values>
      </ddeItem>
      <ddeItem name="2031.TW-Name" advise="1">
        <values>
          <value t="str">
            <val>新光鋼</val>
          </value>
        </values>
      </ddeItem>
      <ddeItem name="2031.TW-PreClose" advise="1">
        <values>
          <value>
            <val>23.85</val>
          </value>
        </values>
      </ddeItem>
      <ddeItem name="2031.TW-Price" advise="1">
        <values>
          <value>
            <val>23.6</val>
          </value>
        </values>
      </ddeItem>
      <ddeItem name="2031.TW-SimulatePrice" advise="1">
        <values>
          <value>
            <val>23.6</val>
          </value>
        </values>
      </ddeItem>
      <ddeItem name="2031.TW-SimulateTime" advise="1">
        <values>
          <value t="str">
            <val>13:29:56</val>
          </value>
        </values>
      </ddeItem>
      <ddeItem name="2032.TW-ID" advise="1">
        <values>
          <value t="str">
            <val>2032</val>
          </value>
        </values>
      </ddeItem>
      <ddeItem name="2032.TW-Name" advise="1">
        <values>
          <value t="str">
            <val>新鋼</val>
          </value>
        </values>
      </ddeItem>
      <ddeItem name="2032.TW-PreClose" advise="1">
        <values>
          <value>
            <val>8.23</val>
          </value>
        </values>
      </ddeItem>
      <ddeItem name="2032.TW-Price" advise="1">
        <values>
          <value>
            <val>8.2799999999999994</val>
          </value>
        </values>
      </ddeItem>
      <ddeItem name="2032.TW-SimulatePrice" advise="1">
        <values>
          <value t="str">
            <val>--</val>
          </value>
        </values>
      </ddeItem>
      <ddeItem name="2032.TW-SimulateTime" advise="1">
        <values>
          <value t="str">
            <val>--</val>
          </value>
        </values>
      </ddeItem>
      <ddeItem name="2033.TW-ID" advise="1">
        <values>
          <value t="str">
            <val>2033</val>
          </value>
        </values>
      </ddeItem>
      <ddeItem name="2033.TW-Name" advise="1">
        <values>
          <value t="str">
            <val>佳大</val>
          </value>
        </values>
      </ddeItem>
      <ddeItem name="2033.TW-PreClose" advise="1">
        <values>
          <value>
            <val>9.42</val>
          </value>
        </values>
      </ddeItem>
      <ddeItem name="2033.TW-Price" advise="1">
        <values>
          <value>
            <val>9.31</val>
          </value>
        </values>
      </ddeItem>
      <ddeItem name="2033.TW-SimulatePrice" advise="1">
        <values>
          <value>
            <val>9.31</val>
          </value>
        </values>
      </ddeItem>
      <ddeItem name="2033.TW-SimulateTime" advise="1">
        <values>
          <value t="str">
            <val>13:27:52</val>
          </value>
        </values>
      </ddeItem>
      <ddeItem name="2034.TW-ID" advise="1">
        <values>
          <value t="str">
            <val>2034</val>
          </value>
        </values>
      </ddeItem>
      <ddeItem name="2034.TW-Name" advise="1">
        <values>
          <value t="str">
            <val>允強</val>
          </value>
        </values>
      </ddeItem>
      <ddeItem name="2034.TW-PreClose" advise="1">
        <values>
          <value>
            <val>23.4</val>
          </value>
        </values>
      </ddeItem>
      <ddeItem name="2034.TW-Price" advise="1">
        <values>
          <value>
            <val>23.35</val>
          </value>
        </values>
      </ddeItem>
      <ddeItem name="2034.TW-SimulatePrice" advise="1">
        <values>
          <value>
            <val>23.4</val>
          </value>
        </values>
      </ddeItem>
      <ddeItem name="2034.TW-SimulateTime" advise="1">
        <values>
          <value t="str">
            <val>13:29:30</val>
          </value>
        </values>
      </ddeItem>
      <ddeItem name="2038.TW-ID" advise="1">
        <values>
          <value t="str">
            <val>2038</val>
          </value>
        </values>
      </ddeItem>
      <ddeItem name="2038.TW-Name" advise="1">
        <values>
          <value t="str">
            <val>海光</val>
          </value>
        </values>
      </ddeItem>
      <ddeItem name="2038.TW-PreClose" advise="1">
        <values>
          <value>
            <val>5.91</val>
          </value>
        </values>
      </ddeItem>
      <ddeItem name="2038.TW-Price" advise="1">
        <values>
          <value>
            <val>6.5</val>
          </value>
        </values>
      </ddeItem>
      <ddeItem name="2038.TW-SimulatePrice" advise="1">
        <values>
          <value>
            <val>6.5</val>
          </value>
        </values>
      </ddeItem>
      <ddeItem name="2038.TW-SimulateTime" advise="1">
        <values>
          <value t="str">
            <val>13:29:58</val>
          </value>
        </values>
      </ddeItem>
      <ddeItem name="2049.TW-ID" advise="1">
        <values>
          <value t="str">
            <val>2049</val>
          </value>
        </values>
      </ddeItem>
      <ddeItem name="2049.TW-Name" advise="1">
        <values>
          <value t="str">
            <val>上銀</val>
          </value>
        </values>
      </ddeItem>
      <ddeItem name="2049.TW-PreClose" advise="1">
        <values>
          <value>
            <val>286.5</val>
          </value>
        </values>
      </ddeItem>
      <ddeItem name="2049.TW-Price" advise="1">
        <values>
          <value>
            <val>283.5</val>
          </value>
        </values>
      </ddeItem>
      <ddeItem name="2049.TW-SimulatePrice" advise="1">
        <values>
          <value>
            <val>283</val>
          </value>
        </values>
      </ddeItem>
      <ddeItem name="2049.TW-SimulateTime" advise="1">
        <values>
          <value t="str">
            <val>13:29:57</val>
          </value>
        </values>
      </ddeItem>
      <ddeItem name="2059.TW-ID" advise="1">
        <values>
          <value t="str">
            <val>2059</val>
          </value>
        </values>
      </ddeItem>
      <ddeItem name="2059.TW-Name" advise="1">
        <values>
          <value t="str">
            <val>川湖</val>
          </value>
        </values>
      </ddeItem>
      <ddeItem name="2059.TW-PreClose" advise="1">
        <values>
          <value>
            <val>307</val>
          </value>
        </values>
      </ddeItem>
      <ddeItem name="2059.TW-Price" advise="1">
        <values>
          <value>
            <val>301</val>
          </value>
        </values>
      </ddeItem>
      <ddeItem name="2059.TW-SimulatePrice" advise="1">
        <values>
          <value>
            <val>301</val>
          </value>
        </values>
      </ddeItem>
      <ddeItem name="2059.TW-SimulateTime" advise="1">
        <values>
          <value t="str">
            <val>13:29:58</val>
          </value>
        </values>
      </ddeItem>
      <ddeItem name="2062.TW-ID" advise="1">
        <values>
          <value t="str">
            <val>2062</val>
          </value>
        </values>
      </ddeItem>
      <ddeItem name="2062.TW-Name" advise="1">
        <values>
          <value t="str">
            <val>橋椿</val>
          </value>
        </values>
      </ddeItem>
      <ddeItem name="2062.TW-PreClose" advise="1">
        <values>
          <value>
            <val>19.05</val>
          </value>
        </values>
      </ddeItem>
      <ddeItem name="2062.TW-Price" advise="1">
        <values>
          <value>
            <val>19.100000000000001</val>
          </value>
        </values>
      </ddeItem>
      <ddeItem name="2062.TW-SimulatePrice" advise="1">
        <values>
          <value>
            <val>19.100000000000001</val>
          </value>
        </values>
      </ddeItem>
      <ddeItem name="2062.TW-SimulateTime" advise="1">
        <values>
          <value t="str">
            <val>13:26:23</val>
          </value>
        </values>
      </ddeItem>
      <ddeItem name="2069.TW-ID" advise="1">
        <values>
          <value t="str">
            <val>2069</val>
          </value>
        </values>
      </ddeItem>
      <ddeItem name="2069.TW-Name" advise="1">
        <values>
          <value t="str">
            <val>運錩</val>
          </value>
        </values>
      </ddeItem>
      <ddeItem name="2069.TW-PreClose" advise="1">
        <values>
          <value>
            <val>15.95</val>
          </value>
        </values>
      </ddeItem>
      <ddeItem name="2069.TW-Price" advise="1">
        <values>
          <value>
            <val>16.3</val>
          </value>
        </values>
      </ddeItem>
      <ddeItem name="2069.TW-SimulatePrice" advise="1">
        <values>
          <value t="str">
            <val>--</val>
          </value>
        </values>
      </ddeItem>
      <ddeItem name="2069.TW-SimulateTime" advise="1">
        <values>
          <value t="str">
            <val>--</val>
          </value>
        </values>
      </ddeItem>
      <ddeItem name="2101.TW-ID" advise="1">
        <values>
          <value t="str">
            <val>2101</val>
          </value>
        </values>
      </ddeItem>
      <ddeItem name="2101.TW-Name" advise="1">
        <values>
          <value t="str">
            <val>南港</val>
          </value>
        </values>
      </ddeItem>
      <ddeItem name="2101.TW-PreClose" advise="1">
        <values>
          <value>
            <val>38.200000000000003</val>
          </value>
        </values>
      </ddeItem>
      <ddeItem name="2101.TW-Price" advise="1">
        <values>
          <value>
            <val>38.1</val>
          </value>
        </values>
      </ddeItem>
      <ddeItem name="2101.TW-SimulatePrice" advise="1">
        <values>
          <value>
            <val>38.1</val>
          </value>
        </values>
      </ddeItem>
      <ddeItem name="2101.TW-SimulateTime" advise="1">
        <values>
          <value t="str">
            <val>13:29:55</val>
          </value>
        </values>
      </ddeItem>
      <ddeItem name="2102.TW-ID" advise="1">
        <values>
          <value t="str">
            <val>2102</val>
          </value>
        </values>
      </ddeItem>
      <ddeItem name="2102.TW-Name" advise="1">
        <values>
          <value t="str">
            <val>泰豐</val>
          </value>
        </values>
      </ddeItem>
      <ddeItem name="2102.TW-PreClose" advise="1">
        <values>
          <value>
            <val>15.5</val>
          </value>
        </values>
      </ddeItem>
      <ddeItem name="2102.TW-Price" advise="1">
        <values>
          <value>
            <val>15.4</val>
          </value>
        </values>
      </ddeItem>
      <ddeItem name="2102.TW-SimulatePrice" advise="1">
        <values>
          <value>
            <val>15.4</val>
          </value>
        </values>
      </ddeItem>
      <ddeItem name="2102.TW-SimulateTime" advise="1">
        <values>
          <value t="str">
            <val>13:29:56</val>
          </value>
        </values>
      </ddeItem>
      <ddeItem name="2103.TW-ID" advise="1">
        <values>
          <value t="str">
            <val>2103</val>
          </value>
        </values>
      </ddeItem>
      <ddeItem name="2103.TW-Name" advise="1">
        <values>
          <value t="str">
            <val>台橡</val>
          </value>
        </values>
      </ddeItem>
      <ddeItem name="2103.TW-PreClose" advise="1">
        <values>
          <value>
            <val>16.2</val>
          </value>
        </values>
      </ddeItem>
      <ddeItem name="2103.TW-Price" advise="1">
        <values>
          <value>
            <val>16.100000000000001</val>
          </value>
        </values>
      </ddeItem>
      <ddeItem name="2103.TW-SimulatePrice" advise="1">
        <values>
          <value>
            <val>16.100000000000001</val>
          </value>
        </values>
      </ddeItem>
      <ddeItem name="2103.TW-SimulateTime" advise="1">
        <values>
          <value t="str">
            <val>13:29:59</val>
          </value>
        </values>
      </ddeItem>
      <ddeItem name="2104.TW-ID" advise="1">
        <values>
          <value t="str">
            <val>2104</val>
          </value>
        </values>
      </ddeItem>
      <ddeItem name="2104.TW-Name" advise="1">
        <values>
          <value t="str">
            <val>國際中橡</val>
          </value>
        </values>
      </ddeItem>
      <ddeItem name="2104.TW-PreClose" advise="1">
        <values>
          <value>
            <val>19.899999999999999</val>
          </value>
        </values>
      </ddeItem>
      <ddeItem name="2104.TW-Price" advise="1">
        <values>
          <value>
            <val>19.899999999999999</val>
          </value>
        </values>
      </ddeItem>
      <ddeItem name="2104.TW-SimulatePrice" advise="1">
        <values>
          <value>
            <val>19.899999999999999</val>
          </value>
        </values>
      </ddeItem>
      <ddeItem name="2104.TW-SimulateTime" advise="1">
        <values>
          <value t="str">
            <val>13:29:51</val>
          </value>
        </values>
      </ddeItem>
      <ddeItem name="2105.TW-ID" advise="1">
        <values>
          <value t="str">
            <val>2105</val>
          </value>
        </values>
      </ddeItem>
      <ddeItem name="2105.TW-Name" advise="1">
        <values>
          <value t="str">
            <val>正新</val>
          </value>
        </values>
      </ddeItem>
      <ddeItem name="2105.TW-PreClose" advise="1">
        <values>
          <value>
            <val>32</val>
          </value>
        </values>
      </ddeItem>
      <ddeItem name="2105.TW-Price" advise="1">
        <values>
          <value>
            <val>31.8</val>
          </value>
        </values>
      </ddeItem>
      <ddeItem name="2105.TW-SimulatePrice" advise="1">
        <values>
          <value>
            <val>31.8</val>
          </value>
        </values>
      </ddeItem>
      <ddeItem name="2105.TW-SimulateTime" advise="1">
        <values>
          <value t="str">
            <val>13:29:55</val>
          </value>
        </values>
      </ddeItem>
      <ddeItem name="2106.TW-ID" advise="1">
        <values>
          <value t="str">
            <val>2106</val>
          </value>
        </values>
      </ddeItem>
      <ddeItem name="2106.TW-Name" advise="1">
        <values>
          <value t="str">
            <val>建大</val>
          </value>
        </values>
      </ddeItem>
      <ddeItem name="2106.TW-PreClose" advise="1">
        <values>
          <value>
            <val>26.3</val>
          </value>
        </values>
      </ddeItem>
      <ddeItem name="2106.TW-Price" advise="1">
        <values>
          <value>
            <val>28.9</val>
          </value>
        </values>
      </ddeItem>
      <ddeItem name="2106.TW-SimulatePrice" advise="1">
        <values>
          <value>
            <val>28.9</val>
          </value>
        </values>
      </ddeItem>
      <ddeItem name="2106.TW-SimulateTime" advise="1">
        <values>
          <value t="str">
            <val>13:29:58</val>
          </value>
        </values>
      </ddeItem>
      <ddeItem name="2107.TW-ID" advise="1">
        <values>
          <value t="str">
            <val>2107</val>
          </value>
        </values>
      </ddeItem>
      <ddeItem name="2107.TW-Name" advise="1">
        <values>
          <value t="str">
            <val>厚生</val>
          </value>
        </values>
      </ddeItem>
      <ddeItem name="2107.TW-PreClose" advise="1">
        <values>
          <value>
            <val>17.899999999999999</val>
          </value>
        </values>
      </ddeItem>
      <ddeItem name="2107.TW-Price" advise="1">
        <values>
          <value>
            <val>17.95</val>
          </value>
        </values>
      </ddeItem>
      <ddeItem name="2107.TW-SimulatePrice" advise="1">
        <values>
          <value>
            <val>17.95</val>
          </value>
        </values>
      </ddeItem>
      <ddeItem name="2107.TW-SimulateTime" advise="1">
        <values>
          <value t="str">
            <val>13:29:39</val>
          </value>
        </values>
      </ddeItem>
      <ddeItem name="2108.TW-ID" advise="1">
        <values>
          <value t="str">
            <val>2108</val>
          </value>
        </values>
      </ddeItem>
      <ddeItem name="2108.TW-Name" advise="1">
        <values>
          <value t="str">
            <val>南帝</val>
          </value>
        </values>
      </ddeItem>
      <ddeItem name="2108.TW-PreClose" advise="1">
        <values>
          <value>
            <val>36.299999999999997</val>
          </value>
        </values>
      </ddeItem>
      <ddeItem name="2108.TW-Price" advise="1">
        <values>
          <value>
            <val>36.5</val>
          </value>
        </values>
      </ddeItem>
      <ddeItem name="2108.TW-SimulatePrice" advise="1">
        <values>
          <value>
            <val>36.5</val>
          </value>
        </values>
      </ddeItem>
      <ddeItem name="2108.TW-SimulateTime" advise="1">
        <values>
          <value t="str">
            <val>13:29:58</val>
          </value>
        </values>
      </ddeItem>
      <ddeItem name="2109.TW-ID" advise="1">
        <values>
          <value t="str">
            <val>2109</val>
          </value>
        </values>
      </ddeItem>
      <ddeItem name="2109.TW-Name" advise="1">
        <values>
          <value t="str">
            <val>華豐</val>
          </value>
        </values>
      </ddeItem>
      <ddeItem name="2109.TW-PreClose" advise="1">
        <values>
          <value>
            <val>12.85</val>
          </value>
        </values>
      </ddeItem>
      <ddeItem name="2109.TW-Price" advise="1">
        <values>
          <value>
            <val>12.85</val>
          </value>
        </values>
      </ddeItem>
      <ddeItem name="2109.TW-SimulatePrice" advise="1">
        <values>
          <value>
            <val>12.85</val>
          </value>
        </values>
      </ddeItem>
      <ddeItem name="2109.TW-SimulateTime" advise="1">
        <values>
          <value t="str">
            <val>13:29:41</val>
          </value>
        </values>
      </ddeItem>
      <ddeItem name="2114.TW-ID" advise="1">
        <values>
          <value t="str">
            <val>2114</val>
          </value>
        </values>
      </ddeItem>
      <ddeItem name="2114.TW-Name" advise="1">
        <values>
          <value t="str">
            <val>鑫永銓</val>
          </value>
        </values>
      </ddeItem>
      <ddeItem name="2114.TW-PreClose" advise="1">
        <values>
          <value>
            <val>80</val>
          </value>
        </values>
      </ddeItem>
      <ddeItem name="2114.TW-Price" advise="1">
        <values>
          <value>
            <val>79.8</val>
          </value>
        </values>
      </ddeItem>
      <ddeItem name="2114.TW-SimulatePrice" advise="1">
        <values>
          <value t="str">
            <val>--</val>
          </value>
        </values>
      </ddeItem>
      <ddeItem name="2114.TW-SimulateTime" advise="1">
        <values>
          <value t="str">
            <val>--</val>
          </value>
        </values>
      </ddeItem>
      <ddeItem name="2115.TW-ID" advise="1">
        <values>
          <value t="str">
            <val>2115</val>
          </value>
        </values>
      </ddeItem>
      <ddeItem name="2115.TW-Name" advise="1">
        <values>
          <value t="str">
            <val>六暉-KY</val>
          </value>
        </values>
      </ddeItem>
      <ddeItem name="2115.TW-PreClose" advise="1">
        <values>
          <value>
            <val>39</val>
          </value>
        </values>
      </ddeItem>
      <ddeItem name="2115.TW-Price" advise="1">
        <values>
          <value>
            <val>39.25</val>
          </value>
        </values>
      </ddeItem>
      <ddeItem name="2115.TW-SimulatePrice" advise="1">
        <values>
          <value>
            <val>39.25</val>
          </value>
        </values>
      </ddeItem>
      <ddeItem name="2115.TW-SimulateTime" advise="1">
        <values>
          <value t="str">
            <val>13:29:44</val>
          </value>
        </values>
      </ddeItem>
      <ddeItem name="2201.TW-ID" advise="1">
        <values>
          <value t="str">
            <val>2201</val>
          </value>
        </values>
      </ddeItem>
      <ddeItem name="2201.TW-Name" advise="1">
        <values>
          <value t="str">
            <val>裕隆</val>
          </value>
        </values>
      </ddeItem>
      <ddeItem name="2201.TW-PreClose" advise="1">
        <values>
          <value>
            <val>16.7</val>
          </value>
        </values>
      </ddeItem>
      <ddeItem name="2201.TW-Price" advise="1">
        <values>
          <value>
            <val>16.899999999999999</val>
          </value>
        </values>
      </ddeItem>
      <ddeItem name="2201.TW-SimulatePrice" advise="1">
        <values>
          <value>
            <val>16.899999999999999</val>
          </value>
        </values>
      </ddeItem>
      <ddeItem name="2201.TW-SimulateTime" advise="1">
        <values>
          <value t="str">
            <val>13:29:58</val>
          </value>
        </values>
      </ddeItem>
      <ddeItem name="2204.TW-ID" advise="1">
        <values>
          <value t="str">
            <val>2204</val>
          </value>
        </values>
      </ddeItem>
      <ddeItem name="2204.TW-Name" advise="1">
        <values>
          <value t="str">
            <val>中華</val>
          </value>
        </values>
      </ddeItem>
      <ddeItem name="2204.TW-PreClose" advise="1">
        <values>
          <value>
            <val>29.5</val>
          </value>
        </values>
      </ddeItem>
      <ddeItem name="2204.TW-Price" advise="1">
        <values>
          <value>
            <val>32.450000000000003</val>
          </value>
        </values>
      </ddeItem>
      <ddeItem name="2204.TW-SimulatePrice" advise="1">
        <values>
          <value>
            <val>32.450000000000003</val>
          </value>
        </values>
      </ddeItem>
      <ddeItem name="2204.TW-SimulateTime" advise="1">
        <values>
          <value t="str">
            <val>13:29:37</val>
          </value>
        </values>
      </ddeItem>
      <ddeItem name="2206.TW-ID" advise="1">
        <values>
          <value t="str">
            <val>2206</val>
          </value>
        </values>
      </ddeItem>
      <ddeItem name="2206.TW-Name" advise="1">
        <values>
          <value t="str">
            <val>三陽工業</val>
          </value>
        </values>
      </ddeItem>
      <ddeItem name="2206.TW-PreClose" advise="1">
        <values>
          <value>
            <val>19.8</val>
          </value>
        </values>
      </ddeItem>
      <ddeItem name="2206.TW-Price" advise="1">
        <values>
          <value>
            <val>19.8</val>
          </value>
        </values>
      </ddeItem>
      <ddeItem name="2206.TW-SimulatePrice" advise="1">
        <values>
          <value>
            <val>19.8</val>
          </value>
        </values>
      </ddeItem>
      <ddeItem name="2206.TW-SimulateTime" advise="1">
        <values>
          <value t="str">
            <val>13:29:57</val>
          </value>
        </values>
      </ddeItem>
      <ddeItem name="2207.TW-ID" advise="1">
        <values>
          <value t="str">
            <val>2207</val>
          </value>
        </values>
      </ddeItem>
      <ddeItem name="2207.TW-Name" advise="1">
        <values>
          <value t="str">
            <val>和泰車</val>
          </value>
        </values>
      </ddeItem>
      <ddeItem name="2207.TW-PreClose" advise="1">
        <values>
          <value>
            <val>515</val>
          </value>
        </values>
      </ddeItem>
      <ddeItem name="2207.TW-Price" advise="1">
        <values>
          <value>
            <val>509</val>
          </value>
        </values>
      </ddeItem>
      <ddeItem name="2207.TW-SimulatePrice" advise="1">
        <values>
          <value>
            <val>508</val>
          </value>
        </values>
      </ddeItem>
      <ddeItem name="2207.TW-SimulateTime" advise="1">
        <values>
          <value t="str">
            <val>13:29:55</val>
          </value>
        </values>
      </ddeItem>
      <ddeItem name="2208.TW-ID" advise="1">
        <values>
          <value t="str">
            <val>2208</val>
          </value>
        </values>
      </ddeItem>
      <ddeItem name="2208.TW-Name" advise="1">
        <values>
          <value t="str">
            <val>台船</val>
          </value>
        </values>
      </ddeItem>
      <ddeItem name="2208.TW-PreClose" advise="1">
        <values>
          <value>
            <val>23.75</val>
          </value>
        </values>
      </ddeItem>
      <ddeItem name="2208.TW-Price" advise="1">
        <values>
          <value>
            <val>23.5</val>
          </value>
        </values>
      </ddeItem>
      <ddeItem name="2208.TW-SimulatePrice" advise="1">
        <values>
          <value>
            <val>23.45</val>
          </value>
        </values>
      </ddeItem>
      <ddeItem name="2208.TW-SimulateTime" advise="1">
        <values>
          <value t="str">
            <val>13:29:55</val>
          </value>
        </values>
      </ddeItem>
      <ddeItem name="2227.TW-ID" advise="1">
        <values>
          <value t="str">
            <val>2227</val>
          </value>
        </values>
      </ddeItem>
      <ddeItem name="2227.TW-Name" advise="1">
        <values>
          <value t="str">
            <val>裕日車</val>
          </value>
        </values>
      </ddeItem>
      <ddeItem name="2227.TW-PreClose" advise="1">
        <values>
          <value>
            <val>258.5</val>
          </value>
        </values>
      </ddeItem>
      <ddeItem name="2227.TW-Price" advise="1">
        <values>
          <value>
            <val>258.5</val>
          </value>
        </values>
      </ddeItem>
      <ddeItem name="2227.TW-SimulatePrice" advise="1">
        <values>
          <value>
            <val>258.5</val>
          </value>
        </values>
      </ddeItem>
      <ddeItem name="2227.TW-SimulateTime" advise="1">
        <values>
          <value t="str">
            <val>13:29:17</val>
          </value>
        </values>
      </ddeItem>
      <ddeItem name="2228.TW-ID" advise="1">
        <values>
          <value t="str">
            <val>2228</val>
          </value>
        </values>
      </ddeItem>
      <ddeItem name="2228.TW-Name" advise="1">
        <values>
          <value t="str">
            <val>劍麟</val>
          </value>
        </values>
      </ddeItem>
      <ddeItem name="2228.TW-PreClose" advise="1">
        <values>
          <value>
            <val>85.2</val>
          </value>
        </values>
      </ddeItem>
      <ddeItem name="2228.TW-Price" advise="1">
        <values>
          <value>
            <val>84.6</val>
          </value>
        </values>
      </ddeItem>
      <ddeItem name="2228.TW-SimulatePrice" advise="1">
        <values>
          <value>
            <val>84.6</val>
          </value>
        </values>
      </ddeItem>
      <ddeItem name="2228.TW-SimulateTime" advise="1">
        <values>
          <value t="str">
            <val>13:29:57</val>
          </value>
        </values>
      </ddeItem>
      <ddeItem name="2231.TW-ID" advise="1">
        <values>
          <value t="str">
            <val>2231</val>
          </value>
        </values>
      </ddeItem>
      <ddeItem name="2231.TW-Name" advise="1">
        <values>
          <value t="str">
            <val>為升</val>
          </value>
        </values>
      </ddeItem>
      <ddeItem name="2231.TW-PreClose" advise="1">
        <values>
          <value>
            <val>155</val>
          </value>
        </values>
      </ddeItem>
      <ddeItem name="2231.TW-Price" advise="1">
        <values>
          <value>
            <val>151.5</val>
          </value>
        </values>
      </ddeItem>
      <ddeItem name="2231.TW-SimulatePrice" advise="1">
        <values>
          <value>
            <val>151.5</val>
          </value>
        </values>
      </ddeItem>
      <ddeItem name="2231.TW-SimulateTime" advise="1">
        <values>
          <value t="str">
            <val>13:29:55</val>
          </value>
        </values>
      </ddeItem>
      <ddeItem name="2233.TW-ID" advise="1">
        <values>
          <value t="str">
            <val>2233</val>
          </value>
        </values>
      </ddeItem>
      <ddeItem name="2233.TW-Name" advise="1">
        <values>
          <value t="str">
            <val>宇隆</val>
          </value>
        </values>
      </ddeItem>
      <ddeItem name="2233.TW-PreClose" advise="1">
        <values>
          <value>
            <val>59.1</val>
          </value>
        </values>
      </ddeItem>
      <ddeItem name="2233.TW-Price" advise="1">
        <values>
          <value>
            <val>58.8</val>
          </value>
        </values>
      </ddeItem>
      <ddeItem name="2233.TW-SimulatePrice" advise="1">
        <values>
          <value>
            <val>58.8</val>
          </value>
        </values>
      </ddeItem>
      <ddeItem name="2233.TW-SimulateTime" advise="1">
        <values>
          <value t="str">
            <val>13:29:17</val>
          </value>
        </values>
      </ddeItem>
      <ddeItem name="2236.TW-ID" advise="1">
        <values>
          <value t="str">
            <val>2236</val>
          </value>
        </values>
      </ddeItem>
      <ddeItem name="2236.TW-Name" advise="1">
        <values>
          <value t="str">
            <val>百達-KY</val>
          </value>
        </values>
      </ddeItem>
      <ddeItem name="2236.TW-PreClose" advise="1">
        <values>
          <value>
            <val>15.65</val>
          </value>
        </values>
      </ddeItem>
      <ddeItem name="2236.TW-Price" advise="1">
        <values>
          <value>
            <val>15.55</val>
          </value>
        </values>
      </ddeItem>
      <ddeItem name="2236.TW-SimulatePrice" advise="1">
        <values>
          <value>
            <val>15.55</val>
          </value>
        </values>
      </ddeItem>
      <ddeItem name="2236.TW-SimulateTime" advise="1">
        <values>
          <value t="str">
            <val>13:28:26</val>
          </value>
        </values>
      </ddeItem>
      <ddeItem name="2239.TW-ID" advise="1">
        <values>
          <value t="str">
            <val>2239</val>
          </value>
        </values>
      </ddeItem>
      <ddeItem name="2239.TW-Name" advise="1">
        <values>
          <value t="str">
            <val>英利-KY</val>
          </value>
        </values>
      </ddeItem>
      <ddeItem name="2239.TW-PreClose" advise="1">
        <values>
          <value>
            <val>60.6</val>
          </value>
        </values>
      </ddeItem>
      <ddeItem name="2239.TW-Price" advise="1">
        <values>
          <value>
            <val>57.8</val>
          </value>
        </values>
      </ddeItem>
      <ddeItem name="2239.TW-SimulatePrice" advise="1">
        <values>
          <value>
            <val>57.8</val>
          </value>
        </values>
      </ddeItem>
      <ddeItem name="2239.TW-SimulateTime" advise="1">
        <values>
          <value t="str">
            <val>13:29:51</val>
          </value>
        </values>
      </ddeItem>
      <ddeItem name="2243.TW-ID" advise="1">
        <values>
          <value t="str">
            <val>2243</val>
          </value>
        </values>
      </ddeItem>
      <ddeItem name="2243.TW-Name" advise="1">
        <values>
          <value t="str">
            <val>宏旭-KY</val>
          </value>
        </values>
      </ddeItem>
      <ddeItem name="2243.TW-PreClose" advise="1">
        <values>
          <value>
            <val>9.89</val>
          </value>
        </values>
      </ddeItem>
      <ddeItem name="2243.TW-Price" advise="1">
        <values>
          <value>
            <val>9.9</val>
          </value>
        </values>
      </ddeItem>
      <ddeItem name="2243.TW-SimulatePrice" advise="1">
        <values>
          <value>
            <val>9.9</val>
          </value>
        </values>
      </ddeItem>
      <ddeItem name="2243.TW-SimulateTime" advise="1">
        <values>
          <value t="str">
            <val>13:29:58</val>
          </value>
        </values>
      </ddeItem>
      <ddeItem name="2301.TW-ID" advise="1">
        <values>
          <value t="str">
            <val>2301</val>
          </value>
        </values>
      </ddeItem>
      <ddeItem name="2301.TW-Name" advise="1">
        <values>
          <value t="str">
            <val>光寶科</val>
          </value>
        </values>
      </ddeItem>
      <ddeItem name="2301.TW-PreClose" advise="1">
        <values>
          <value>
            <val>46.85</val>
          </value>
        </values>
      </ddeItem>
      <ddeItem name="2301.TW-Price" advise="1">
        <values>
          <value>
            <val>46.1</val>
          </value>
        </values>
      </ddeItem>
      <ddeItem name="2301.TW-SimulatePrice" advise="1">
        <values>
          <value>
            <val>46.1</val>
          </value>
        </values>
      </ddeItem>
      <ddeItem name="2301.TW-SimulateTime" advise="1">
        <values>
          <value t="str">
            <val>13:29:57</val>
          </value>
        </values>
      </ddeItem>
      <ddeItem name="2302.TW-ID" advise="1">
        <values>
          <value t="str">
            <val>2302</val>
          </value>
        </values>
      </ddeItem>
      <ddeItem name="2302.TW-Name" advise="1">
        <values>
          <value t="str">
            <val>麗正</val>
          </value>
        </values>
      </ddeItem>
      <ddeItem name="2302.TW-PreClose" advise="1">
        <values>
          <value>
            <val>7.12</val>
          </value>
        </values>
      </ddeItem>
      <ddeItem name="2302.TW-Price" advise="1">
        <values>
          <value>
            <val>7.08</val>
          </value>
        </values>
      </ddeItem>
      <ddeItem name="2302.TW-SimulatePrice" advise="1">
        <values>
          <value>
            <val>7.08</val>
          </value>
        </values>
      </ddeItem>
      <ddeItem name="2302.TW-SimulateTime" advise="1">
        <values>
          <value t="str">
            <val>13:29:37</val>
          </value>
        </values>
      </ddeItem>
      <ddeItem name="2303.TW-ID" advise="1">
        <values>
          <value t="str">
            <val>2303</val>
          </value>
        </values>
      </ddeItem>
      <ddeItem name="2303.TW-Name" advise="1">
        <values>
          <value t="str">
            <val>聯電</val>
          </value>
        </values>
      </ddeItem>
      <ddeItem name="2303.TW-PreClose" advise="1">
        <values>
          <value>
            <val>15.35</val>
          </value>
        </values>
      </ddeItem>
      <ddeItem name="2303.TW-Price" advise="1">
        <values>
          <value>
            <val>15.4</val>
          </value>
        </values>
      </ddeItem>
      <ddeItem name="2303.TW-SimulatePrice" advise="1">
        <values>
          <value>
            <val>15.4</val>
          </value>
        </values>
      </ddeItem>
      <ddeItem name="2303.TW-SimulateTime" advise="1">
        <values>
          <value t="str">
            <val>13:29:59</val>
          </value>
        </values>
      </ddeItem>
      <ddeItem name="2305.TW-ID" advise="1">
        <values>
          <value t="str">
            <val>2305</val>
          </value>
        </values>
      </ddeItem>
      <ddeItem name="2305.TW-Name" advise="1">
        <values>
          <value t="str">
            <val>全友</val>
          </value>
        </values>
      </ddeItem>
      <ddeItem name="2305.TW-PreClose" advise="1">
        <values>
          <value>
            <val>5.36</val>
          </value>
        </values>
      </ddeItem>
      <ddeItem name="2305.TW-Price" advise="1">
        <values>
          <value>
            <val>5.27</val>
          </value>
        </values>
      </ddeItem>
      <ddeItem name="2305.TW-SimulatePrice" advise="1">
        <values>
          <value>
            <val>5.27</val>
          </value>
        </values>
      </ddeItem>
      <ddeItem name="2305.TW-SimulateTime" advise="1">
        <values>
          <value t="str">
            <val>13:29:56</val>
          </value>
        </values>
      </ddeItem>
      <ddeItem name="2308.TW-ID" advise="1">
        <values>
          <value t="str">
            <val>2308</val>
          </value>
        </values>
      </ddeItem>
      <ddeItem name="2308.TW-Name" advise="1">
        <values>
          <value t="str">
            <val>台達電</val>
          </value>
        </values>
      </ddeItem>
      <ddeItem name="2308.TW-PreClose" advise="1">
        <values>
          <value>
            <val>140</val>
          </value>
        </values>
      </ddeItem>
      <ddeItem name="2308.TW-Price" advise="1">
        <values>
          <value>
            <val>138.5</val>
          </value>
        </values>
      </ddeItem>
      <ddeItem name="2308.TW-SimulatePrice" advise="1">
        <values>
          <value>
            <val>138</val>
          </value>
        </values>
      </ddeItem>
      <ddeItem name="2308.TW-SimulateTime" advise="1">
        <values>
          <value t="str">
            <val>13:29:57</val>
          </value>
        </values>
      </ddeItem>
      <ddeItem name="2312.TW-ID" advise="1">
        <values>
          <value t="str">
            <val>2312</val>
          </value>
        </values>
      </ddeItem>
      <ddeItem name="2312.TW-Name" advise="1">
        <values>
          <value t="str">
            <val>金寶</val>
          </value>
        </values>
      </ddeItem>
      <ddeItem name="2312.TW-PreClose" advise="1">
        <values>
          <value>
            <val>11.6</val>
          </value>
        </values>
      </ddeItem>
      <ddeItem name="2312.TW-Price" advise="1">
        <values>
          <value>
            <val>11.6</val>
          </value>
        </values>
      </ddeItem>
      <ddeItem name="2312.TW-SimulatePrice" advise="1">
        <values>
          <value>
            <val>11.6</val>
          </value>
        </values>
      </ddeItem>
      <ddeItem name="2312.TW-SimulateTime" advise="1">
        <values>
          <value t="str">
            <val>13:29:57</val>
          </value>
        </values>
      </ddeItem>
      <ddeItem name="2313.TW-ID" advise="1">
        <values>
          <value t="str">
            <val>2313</val>
          </value>
        </values>
      </ddeItem>
      <ddeItem name="2313.TW-Name" advise="1">
        <values>
          <value t="str">
            <val>華通</val>
          </value>
        </values>
      </ddeItem>
      <ddeItem name="2313.TW-PreClose" advise="1">
        <values>
          <value>
            <val>41.95</val>
          </value>
        </values>
      </ddeItem>
      <ddeItem name="2313.TW-Price" advise="1">
        <values>
          <value>
            <val>42</val>
          </value>
        </values>
      </ddeItem>
      <ddeItem name="2313.TW-SimulatePrice" advise="1">
        <values>
          <value>
            <val>42</val>
          </value>
        </values>
      </ddeItem>
      <ddeItem name="2313.TW-SimulateTime" advise="1">
        <values>
          <value t="str">
            <val>13:29:57</val>
          </value>
        </values>
      </ddeItem>
      <ddeItem name="2314.TW-ID" advise="1">
        <values>
          <value t="str">
            <val>2314</val>
          </value>
        </values>
      </ddeItem>
      <ddeItem name="2314.TW-Name" advise="1">
        <values>
          <value t="str">
            <val>台揚</val>
          </value>
        </values>
      </ddeItem>
      <ddeItem name="2314.TW-PreClose" advise="1">
        <values>
          <value>
            <val>21.15</val>
          </value>
        </values>
      </ddeItem>
      <ddeItem name="2314.TW-Price" advise="1">
        <values>
          <value>
            <val>20.55</val>
          </value>
        </values>
      </ddeItem>
      <ddeItem name="2314.TW-SimulatePrice" advise="1">
        <values>
          <value>
            <val>20.55</val>
          </value>
        </values>
      </ddeItem>
      <ddeItem name="2314.TW-SimulateTime" advise="1">
        <values>
          <value t="str">
            <val>13:29:03</val>
          </value>
        </values>
      </ddeItem>
      <ddeItem name="2316.TW-ID" advise="1">
        <values>
          <value t="str">
            <val>2316</val>
          </value>
        </values>
      </ddeItem>
      <ddeItem name="2316.TW-Name" advise="1">
        <values>
          <value t="str">
            <val>楠梓電</val>
          </value>
        </values>
      </ddeItem>
      <ddeItem name="2316.TW-PreClose" advise="1">
        <values>
          <value>
            <val>32</val>
          </value>
        </values>
      </ddeItem>
      <ddeItem name="2316.TW-Price" advise="1">
        <values>
          <value>
            <val>31.35</val>
          </value>
        </values>
      </ddeItem>
      <ddeItem name="2316.TW-SimulatePrice" advise="1">
        <values>
          <value>
            <val>31.35</val>
          </value>
        </values>
      </ddeItem>
      <ddeItem name="2316.TW-SimulateTime" advise="1">
        <values>
          <value t="str">
            <val>13:29:59</val>
          </value>
        </values>
      </ddeItem>
      <ddeItem name="2317.TW-ID" advise="1">
        <values>
          <value t="str">
            <val>2317</val>
          </value>
        </values>
      </ddeItem>
      <ddeItem name="2317.TW-Name" advise="1">
        <values>
          <value t="str">
            <val>鴻海</val>
          </value>
        </values>
      </ddeItem>
      <ddeItem name="2317.TW-PreClose" advise="1">
        <values>
          <value>
            <val>78.2</val>
          </value>
        </values>
      </ddeItem>
      <ddeItem name="2317.TW-Price" advise="1">
        <values>
          <value>
            <val>77.099999999999994</val>
          </value>
        </values>
      </ddeItem>
      <ddeItem name="2317.TW-SimulatePrice" advise="1">
        <values>
          <value>
            <val>77.099999999999994</val>
          </value>
        </values>
      </ddeItem>
      <ddeItem name="2317.TW-SimulateTime" advise="1">
        <values>
          <value t="str">
            <val>13:29:57</val>
          </value>
        </values>
      </ddeItem>
      <ddeItem name="2321.TW-ID" advise="1">
        <values>
          <value t="str">
            <val>2321</val>
          </value>
        </values>
      </ddeItem>
      <ddeItem name="2321.TW-Name" advise="1">
        <values>
          <value t="str">
            <val>東訊</val>
          </value>
        </values>
      </ddeItem>
      <ddeItem name="2321.TW-PreClose" advise="1">
        <values>
          <value>
            <val>1.36</val>
          </value>
        </values>
      </ddeItem>
      <ddeItem name="2321.TW-Price" advise="1">
        <values>
          <value>
            <val>1.34</val>
          </value>
        </values>
      </ddeItem>
      <ddeItem name="2321.TW-SimulatePrice" advise="1">
        <values>
          <value t="str">
            <val>--</val>
          </value>
        </values>
      </ddeItem>
      <ddeItem name="2321.TW-SimulateTime" advise="1">
        <values>
          <value t="str">
            <val>--</val>
          </value>
        </values>
      </ddeItem>
      <ddeItem name="2323.TW-ID" advise="1">
        <values>
          <value t="str">
            <val>2323</val>
          </value>
        </values>
      </ddeItem>
      <ddeItem name="2323.TW-Name" advise="1">
        <values>
          <value t="str">
            <val>中環</val>
          </value>
        </values>
      </ddeItem>
      <ddeItem name="2323.TW-PreClose" advise="1">
        <values>
          <value>
            <val>7.87</val>
          </value>
        </values>
      </ddeItem>
      <ddeItem name="2323.TW-Price" advise="1">
        <values>
          <value>
            <val>8.65</val>
          </value>
        </values>
      </ddeItem>
      <ddeItem name="2323.TW-SimulatePrice" advise="1">
        <values>
          <value>
            <val>8.65</val>
          </value>
        </values>
      </ddeItem>
      <ddeItem name="2323.TW-SimulateTime" advise="1">
        <values>
          <value t="str">
            <val>13:29:55</val>
          </value>
        </values>
      </ddeItem>
      <ddeItem name="2324.TW-ID" advise="1">
        <values>
          <value t="str">
            <val>2324</val>
          </value>
        </values>
      </ddeItem>
      <ddeItem name="2324.TW-Name" advise="1">
        <values>
          <value t="str">
            <val>仁寶</val>
          </value>
        </values>
      </ddeItem>
      <ddeItem name="2324.TW-PreClose" advise="1">
        <values>
          <value>
            <val>18.600000000000001</val>
          </value>
        </values>
      </ddeItem>
      <ddeItem name="2324.TW-Price" advise="1">
        <values>
          <value>
            <val>18.45</val>
          </value>
        </values>
      </ddeItem>
      <ddeItem name="2324.TW-SimulatePrice" advise="1">
        <values>
          <value>
            <val>18.45</val>
          </value>
        </values>
      </ddeItem>
      <ddeItem name="2324.TW-SimulateTime" advise="1">
        <values>
          <value t="str">
            <val>13:29:56</val>
          </value>
        </values>
      </ddeItem>
      <ddeItem name="2327.TW-ID" advise="1">
        <values>
          <value t="str">
            <val>2327</val>
          </value>
        </values>
      </ddeItem>
      <ddeItem name="2327.TW-Name" advise="1">
        <values>
          <value t="str">
            <val>國巨</val>
          </value>
        </values>
      </ddeItem>
      <ddeItem name="2327.TW-PreClose" advise="1">
        <values>
          <value>
            <val>385.5</val>
          </value>
        </values>
      </ddeItem>
      <ddeItem name="2327.TW-Price" advise="1">
        <values>
          <value>
            <val>386</val>
          </value>
        </values>
      </ddeItem>
      <ddeItem name="2327.TW-SimulatePrice" advise="1">
        <values>
          <value>
            <val>386</val>
          </value>
        </values>
      </ddeItem>
      <ddeItem name="2327.TW-SimulateTime" advise="1">
        <values>
          <value t="str">
            <val>13:29:57</val>
          </value>
        </values>
      </ddeItem>
      <ddeItem name="2328.TW-ID" advise="1">
        <values>
          <value t="str">
            <val>2328</val>
          </value>
        </values>
      </ddeItem>
      <ddeItem name="2328.TW-Name" advise="1">
        <values>
          <value t="str">
            <val>廣宇</val>
          </value>
        </values>
      </ddeItem>
      <ddeItem name="2328.TW-PreClose" advise="1">
        <values>
          <value>
            <val>18.350000000000001</val>
          </value>
        </values>
      </ddeItem>
      <ddeItem name="2328.TW-Price" advise="1">
        <values>
          <value>
            <val>18.100000000000001</val>
          </value>
        </values>
      </ddeItem>
      <ddeItem name="2328.TW-SimulatePrice" advise="1">
        <values>
          <value>
            <val>18.100000000000001</val>
          </value>
        </values>
      </ddeItem>
      <ddeItem name="2328.TW-SimulateTime" advise="1">
        <values>
          <value t="str">
            <val>13:29:53</val>
          </value>
        </values>
      </ddeItem>
      <ddeItem name="2329.TW-ID" advise="1">
        <values>
          <value t="str">
            <val>2329</val>
          </value>
        </values>
      </ddeItem>
      <ddeItem name="2329.TW-Name" advise="1">
        <values>
          <value t="str">
            <val>華泰</val>
          </value>
        </values>
      </ddeItem>
      <ddeItem name="2329.TW-PreClose" advise="1">
        <values>
          <value>
            <val>11.7</val>
          </value>
        </values>
      </ddeItem>
      <ddeItem name="2329.TW-Price" advise="1">
        <values>
          <value>
            <val>11.5</val>
          </value>
        </values>
      </ddeItem>
      <ddeItem name="2329.TW-SimulatePrice" advise="1">
        <values>
          <value>
            <val>11.5</val>
          </value>
        </values>
      </ddeItem>
      <ddeItem name="2329.TW-SimulateTime" advise="1">
        <values>
          <value t="str">
            <val>13:29:56</val>
          </value>
        </values>
      </ddeItem>
      <ddeItem name="2330.TW-ID" advise="1">
        <values>
          <value t="str">
            <val>2330</val>
          </value>
        </values>
      </ddeItem>
      <ddeItem name="2330.TW-Name" advise="1">
        <values>
          <value t="str">
            <val>台積電</val>
          </value>
        </values>
      </ddeItem>
      <ddeItem name="2330.TW-PreClose" advise="1">
        <values>
          <value>
            <val>293</val>
          </value>
        </values>
      </ddeItem>
      <ddeItem name="2330.TW-Price" advise="1">
        <values>
          <value>
            <val>298</val>
          </value>
        </values>
      </ddeItem>
      <ddeItem name="2330.TW-SimulatePrice" advise="1">
        <values>
          <value>
            <val>298</val>
          </value>
        </values>
      </ddeItem>
      <ddeItem name="2330.TW-SimulateTime" advise="1">
        <values>
          <value t="str">
            <val>13:29:57</val>
          </value>
        </values>
      </ddeItem>
      <ddeItem name="2331.TW-ID" advise="1">
        <values>
          <value t="str">
            <val>2331</val>
          </value>
        </values>
      </ddeItem>
      <ddeItem name="2331.TW-Name" advise="1">
        <values>
          <value t="str">
            <val>精英</val>
          </value>
        </values>
      </ddeItem>
      <ddeItem name="2331.TW-PreClose" advise="1">
        <values>
          <value>
            <val>11.3</val>
          </value>
        </values>
      </ddeItem>
      <ddeItem name="2331.TW-Price" advise="1">
        <values>
          <value>
            <val>11.3</val>
          </value>
        </values>
      </ddeItem>
      <ddeItem name="2331.TW-SimulatePrice" advise="1">
        <values>
          <value>
            <val>11.3</val>
          </value>
        </values>
      </ddeItem>
      <ddeItem name="2331.TW-SimulateTime" advise="1">
        <values>
          <value t="str">
            <val>13:29:57</val>
          </value>
        </values>
      </ddeItem>
      <ddeItem name="2332.TW-ID" advise="1">
        <values>
          <value t="str">
            <val>2332</val>
          </value>
        </values>
      </ddeItem>
      <ddeItem name="2332.TW-Name" advise="1">
        <values>
          <value t="str">
            <val>友訊</val>
          </value>
        </values>
      </ddeItem>
      <ddeItem name="2332.TW-PreClose" advise="1">
        <values>
          <value>
            <val>13.1</val>
          </value>
        </values>
      </ddeItem>
      <ddeItem name="2332.TW-Price" advise="1">
        <values>
          <value>
            <val>12.5</val>
          </value>
        </values>
      </ddeItem>
      <ddeItem name="2332.TW-SimulatePrice" advise="1">
        <values>
          <value>
            <val>12.5</val>
          </value>
        </values>
      </ddeItem>
      <ddeItem name="2332.TW-SimulateTime" advise="1">
        <values>
          <value t="str">
            <val>13:29:59</val>
          </value>
        </values>
      </ddeItem>
      <ddeItem name="2337.TW-ID" advise="1">
        <values>
          <value t="str">
            <val>2337</val>
          </value>
        </values>
      </ddeItem>
      <ddeItem name="2337.TW-Name" advise="1">
        <values>
          <value t="str">
            <val>旺宏</val>
          </value>
        </values>
      </ddeItem>
      <ddeItem name="2337.TW-PreClose" advise="1">
        <values>
          <value>
            <val>32.65</val>
          </value>
        </values>
      </ddeItem>
      <ddeItem name="2337.TW-Price" advise="1">
        <values>
          <value>
            <val>32.5</val>
          </value>
        </values>
      </ddeItem>
      <ddeItem name="2337.TW-SimulatePrice" advise="1">
        <values>
          <value>
            <val>32.5</val>
          </value>
        </values>
      </ddeItem>
      <ddeItem name="2337.TW-SimulateTime" advise="1">
        <values>
          <value t="str">
            <val>13:29:57</val>
          </value>
        </values>
      </ddeItem>
      <ddeItem name="2338.TW-ID" advise="1">
        <values>
          <value t="str">
            <val>2338</val>
          </value>
        </values>
      </ddeItem>
      <ddeItem name="2338.TW-Name" advise="1">
        <values>
          <value t="str">
            <val>光罩</val>
          </value>
        </values>
      </ddeItem>
      <ddeItem name="2338.TW-PreClose" advise="1">
        <values>
          <value>
            <val>28.95</val>
          </value>
        </values>
      </ddeItem>
      <ddeItem name="2338.TW-Price" advise="1">
        <values>
          <value>
            <val>26.9</val>
          </value>
        </values>
      </ddeItem>
      <ddeItem name="2338.TW-SimulatePrice" advise="1">
        <values>
          <value>
            <val>26.9</val>
          </value>
        </values>
      </ddeItem>
      <ddeItem name="2338.TW-SimulateTime" advise="1">
        <values>
          <value t="str">
            <val>13:29:59</val>
          </value>
        </values>
      </ddeItem>
      <ddeItem name="2340.TW-ID" advise="1">
        <values>
          <value t="str">
            <val>2340</val>
          </value>
        </values>
      </ddeItem>
      <ddeItem name="2340.TW-Name" advise="1">
        <values>
          <value t="str">
            <val>光磊</val>
          </value>
        </values>
      </ddeItem>
      <ddeItem name="2340.TW-PreClose" advise="1">
        <values>
          <value>
            <val>21.4</val>
          </value>
        </values>
      </ddeItem>
      <ddeItem name="2340.TW-Price" advise="1">
        <values>
          <value>
            <val>20.6</val>
          </value>
        </values>
      </ddeItem>
      <ddeItem name="2340.TW-SimulatePrice" advise="1">
        <values>
          <value>
            <val>20.6</val>
          </value>
        </values>
      </ddeItem>
      <ddeItem name="2340.TW-SimulateTime" advise="1">
        <values>
          <value t="str">
            <val>13:29:59</val>
          </value>
        </values>
      </ddeItem>
      <ddeItem name="2342.TW-ID" advise="1">
        <values>
          <value t="str">
            <val>2342</val>
          </value>
        </values>
      </ddeItem>
      <ddeItem name="2342.TW-Name" advise="1">
        <values>
          <value t="str">
            <val>茂矽</val>
          </value>
        </values>
      </ddeItem>
      <ddeItem name="2342.TW-PreClose" advise="1">
        <values>
          <value>
            <val>27.9</val>
          </value>
        </values>
      </ddeItem>
      <ddeItem name="2342.TW-Price" advise="1">
        <values>
          <value>
            <val>28.1</val>
          </value>
        </values>
      </ddeItem>
      <ddeItem name="2342.TW-SimulatePrice" advise="1">
        <values>
          <value>
            <val>28.1</val>
          </value>
        </values>
      </ddeItem>
      <ddeItem name="2342.TW-SimulateTime" advise="1">
        <values>
          <value t="str">
            <val>13:29:56</val>
          </value>
        </values>
      </ddeItem>
      <ddeItem name="2344.TW-ID" advise="1">
        <values>
          <value t="str">
            <val>2344</val>
          </value>
        </values>
      </ddeItem>
      <ddeItem name="2344.TW-Name" advise="1">
        <values>
          <value t="str">
            <val>華邦電</val>
          </value>
        </values>
      </ddeItem>
      <ddeItem name="2344.TW-PreClose" advise="1">
        <values>
          <value>
            <val>12.8</val>
          </value>
        </values>
      </ddeItem>
      <ddeItem name="2344.TW-Price" advise="1">
        <values>
          <value>
            <val>12.9</val>
          </value>
        </values>
      </ddeItem>
      <ddeItem name="2344.TW-SimulatePrice" advise="1">
        <values>
          <value>
            <val>12.9</val>
          </value>
        </values>
      </ddeItem>
      <ddeItem name="2344.TW-SimulateTime" advise="1">
        <values>
          <value t="str">
            <val>13:29:55</val>
          </value>
        </values>
      </ddeItem>
      <ddeItem name="2345.TW-ID" advise="1">
        <values>
          <value t="str">
            <val>2345</val>
          </value>
        </values>
      </ddeItem>
      <ddeItem name="2345.TW-Name" advise="1">
        <values>
          <value t="str">
            <val>智邦</val>
          </value>
        </values>
      </ddeItem>
      <ddeItem name="2345.TW-PreClose" advise="1">
        <values>
          <value>
            <val>211</val>
          </value>
        </values>
      </ddeItem>
      <ddeItem name="2345.TW-Price" advise="1">
        <values>
          <value>
            <val>209</val>
          </value>
        </values>
      </ddeItem>
      <ddeItem name="2345.TW-SimulatePrice" advise="1">
        <values>
          <value>
            <val>209</val>
          </value>
        </values>
      </ddeItem>
      <ddeItem name="2345.TW-SimulateTime" advise="1">
        <values>
          <value t="str">
            <val>13:29:56</val>
          </value>
        </values>
      </ddeItem>
      <ddeItem name="2347.TW-ID" advise="1">
        <values>
          <value t="str">
            <val>2347</val>
          </value>
        </values>
      </ddeItem>
      <ddeItem name="2347.TW-Name" advise="1">
        <values>
          <value t="str">
            <val>聯強</val>
          </value>
        </values>
      </ddeItem>
      <ddeItem name="2347.TW-PreClose" advise="1">
        <values>
          <value>
            <val>41.4</val>
          </value>
        </values>
      </ddeItem>
      <ddeItem name="2347.TW-Price" advise="1">
        <values>
          <value>
            <val>42.4</val>
          </value>
        </values>
      </ddeItem>
      <ddeItem name="2347.TW-SimulatePrice" advise="1">
        <values>
          <value>
            <val>42.4</val>
          </value>
        </values>
      </ddeItem>
      <ddeItem name="2347.TW-SimulateTime" advise="1">
        <values>
          <value t="str">
            <val>13:29:53</val>
          </value>
        </values>
      </ddeItem>
      <ddeItem name="2348.TW-ID" advise="1">
        <values>
          <value t="str">
            <val>2348</val>
          </value>
        </values>
      </ddeItem>
      <ddeItem name="2348.TW-Name" advise="1">
        <values>
          <value t="str">
            <val>海悅</val>
          </value>
        </values>
      </ddeItem>
      <ddeItem name="2348.TW-PreClose" advise="1">
        <values>
          <value>
            <val>60.3</val>
          </value>
        </values>
      </ddeItem>
      <ddeItem name="2348.TW-Price" advise="1">
        <values>
          <value>
            <val>59.4</val>
          </value>
        </values>
      </ddeItem>
      <ddeItem name="2348.TW-SimulatePrice" advise="1">
        <values>
          <value>
            <val>59.4</val>
          </value>
        </values>
      </ddeItem>
      <ddeItem name="2348.TW-SimulateTime" advise="1">
        <values>
          <value t="str">
            <val>13:29:56</val>
          </value>
        </values>
      </ddeItem>
      <ddeItem name="2349.TW-ID" advise="1">
        <values>
          <value t="str">
            <val>2349</val>
          </value>
        </values>
      </ddeItem>
      <ddeItem name="2349.TW-Name" advise="1">
        <values>
          <value t="str">
            <val>錸德</val>
          </value>
        </values>
      </ddeItem>
      <ddeItem name="2349.TW-PreClose" advise="1">
        <values>
          <value>
            <val>6.46</val>
          </value>
        </values>
      </ddeItem>
      <ddeItem name="2349.TW-Price" advise="1">
        <values>
          <value>
            <val>7.1</val>
          </value>
        </values>
      </ddeItem>
      <ddeItem name="2349.TW-SimulatePrice" advise="1">
        <values>
          <value>
            <val>7.1</val>
          </value>
        </values>
      </ddeItem>
      <ddeItem name="2349.TW-SimulateTime" advise="1">
        <values>
          <value t="str">
            <val>13:29:54</val>
          </value>
        </values>
      </ddeItem>
      <ddeItem name="2351.TW-ID" advise="1">
        <values>
          <value t="str">
            <val>2351</val>
          </value>
        </values>
      </ddeItem>
      <ddeItem name="2351.TW-Name" advise="1">
        <values>
          <value t="str">
            <val>順德</val>
          </value>
        </values>
      </ddeItem>
      <ddeItem name="2351.TW-PreClose" advise="1">
        <values>
          <value>
            <val>44.25</val>
          </value>
        </values>
      </ddeItem>
      <ddeItem name="2351.TW-Price" advise="1">
        <values>
          <value>
            <val>43.95</val>
          </value>
        </values>
      </ddeItem>
      <ddeItem name="2351.TW-SimulatePrice" advise="1">
        <values>
          <value>
            <val>43.95</val>
          </value>
        </values>
      </ddeItem>
      <ddeItem name="2351.TW-SimulateTime" advise="1">
        <values>
          <value t="str">
            <val>13:29:51</val>
          </value>
        </values>
      </ddeItem>
      <ddeItem name="2352.TW-ID" advise="1">
        <values>
          <value t="str">
            <val>2352</val>
          </value>
        </values>
      </ddeItem>
      <ddeItem name="2352.TW-Name" advise="1">
        <values>
          <value t="str">
            <val>佳世達</val>
          </value>
        </values>
      </ddeItem>
      <ddeItem name="2352.TW-PreClose" advise="1">
        <values>
          <value>
            <val>16.2</val>
          </value>
        </values>
      </ddeItem>
      <ddeItem name="2352.TW-Price" advise="1">
        <values>
          <value>
            <val>16.25</val>
          </value>
        </values>
      </ddeItem>
      <ddeItem name="2352.TW-SimulatePrice" advise="1">
        <values>
          <value>
            <val>16.25</val>
          </value>
        </values>
      </ddeItem>
      <ddeItem name="2352.TW-SimulateTime" advise="1">
        <values>
          <value t="str">
            <val>13:29:48</val>
          </value>
        </values>
      </ddeItem>
      <ddeItem name="2353.TW-ID" advise="1">
        <values>
          <value t="str">
            <val>2353</val>
          </value>
        </values>
      </ddeItem>
      <ddeItem name="2353.TW-Name" advise="1">
        <values>
          <value t="str">
            <val>宏碁</val>
          </value>
        </values>
      </ddeItem>
      <ddeItem name="2353.TW-PreClose" advise="1">
        <values>
          <value>
            <val>16.149999999999999</val>
          </value>
        </values>
      </ddeItem>
      <ddeItem name="2353.TW-Price" advise="1">
        <values>
          <value>
            <val>16.25</val>
          </value>
        </values>
      </ddeItem>
      <ddeItem name="2353.TW-SimulatePrice" advise="1">
        <values>
          <value>
            <val>16.25</val>
          </value>
        </values>
      </ddeItem>
      <ddeItem name="2353.TW-SimulateTime" advise="1">
        <values>
          <value t="str">
            <val>13:29:57</val>
          </value>
        </values>
      </ddeItem>
      <ddeItem name="2354.TW-ID" advise="1">
        <values>
          <value t="str">
            <val>2354</val>
          </value>
        </values>
      </ddeItem>
      <ddeItem name="2354.TW-Name" advise="1">
        <values>
          <value t="str">
            <val>鴻準</val>
          </value>
        </values>
      </ddeItem>
      <ddeItem name="2354.TW-PreClose" advise="1">
        <values>
          <value>
            <val>55.5</val>
          </value>
        </values>
      </ddeItem>
      <ddeItem name="2354.TW-Price" advise="1">
        <values>
          <value>
            <val>54.8</val>
          </value>
        </values>
      </ddeItem>
      <ddeItem name="2354.TW-SimulatePrice" advise="1">
        <values>
          <value>
            <val>54.8</val>
          </value>
        </values>
      </ddeItem>
      <ddeItem name="2354.TW-SimulateTime" advise="1">
        <values>
          <value t="str">
            <val>13:29:56</val>
          </value>
        </values>
      </ddeItem>
      <ddeItem name="2355.TW-ID" advise="1">
        <values>
          <value t="str">
            <val>2355</val>
          </value>
        </values>
      </ddeItem>
      <ddeItem name="2355.TW-Name" advise="1">
        <values>
          <value t="str">
            <val>敬鵬</val>
          </value>
        </values>
      </ddeItem>
      <ddeItem name="2355.TW-PreClose" advise="1">
        <values>
          <value>
            <val>23.05</val>
          </value>
        </values>
      </ddeItem>
      <ddeItem name="2355.TW-Price" advise="1">
        <values>
          <value>
            <val>22.5</val>
          </value>
        </values>
      </ddeItem>
      <ddeItem name="2355.TW-SimulatePrice" advise="1">
        <values>
          <value>
            <val>22.5</val>
          </value>
        </values>
      </ddeItem>
      <ddeItem name="2355.TW-SimulateTime" advise="1">
        <values>
          <value t="str">
            <val>13:29:55</val>
          </value>
        </values>
      </ddeItem>
      <ddeItem name="2356.TW-ID" advise="1">
        <values>
          <value t="str">
            <val>2356</val>
          </value>
        </values>
      </ddeItem>
      <ddeItem name="2356.TW-Name" advise="1">
        <values>
          <value t="str">
            <val>英業達</val>
          </value>
        </values>
      </ddeItem>
      <ddeItem name="2356.TW-PreClose" advise="1">
        <values>
          <value>
            <val>23.55</val>
          </value>
        </values>
      </ddeItem>
      <ddeItem name="2356.TW-Price" advise="1">
        <values>
          <value>
            <val>23.6</val>
          </value>
        </values>
      </ddeItem>
      <ddeItem name="2356.TW-SimulatePrice" advise="1">
        <values>
          <value>
            <val>23.65</val>
          </value>
        </values>
      </ddeItem>
      <ddeItem name="2356.TW-SimulateTime" advise="1">
        <values>
          <value t="str">
            <val>13:29:55</val>
          </value>
        </values>
      </ddeItem>
      <ddeItem name="2357.TW-ID" advise="1">
        <values>
          <value t="str">
            <val>2357</val>
          </value>
        </values>
      </ddeItem>
      <ddeItem name="2357.TW-Name" advise="1">
        <values>
          <value t="str">
            <val>華碩</val>
          </value>
        </values>
      </ddeItem>
      <ddeItem name="2357.TW-PreClose" advise="1">
        <values>
          <value>
            <val>208</val>
          </value>
        </values>
      </ddeItem>
      <ddeItem name="2357.TW-Price" advise="1">
        <values>
          <value>
            <val>207</val>
          </value>
        </values>
      </ddeItem>
      <ddeItem name="2357.TW-SimulatePrice" advise="1">
        <values>
          <value>
            <val>207</val>
          </value>
        </values>
      </ddeItem>
      <ddeItem name="2357.TW-SimulateTime" advise="1">
        <values>
          <value t="str">
            <val>13:29:59</val>
          </value>
        </values>
      </ddeItem>
      <ddeItem name="2358.TW-ID" advise="1">
        <values>
          <value t="str">
            <val>2358</val>
          </value>
        </values>
      </ddeItem>
      <ddeItem name="2358.TW-Name" advise="1">
        <values>
          <value t="str">
            <val>廷鑫</val>
          </value>
        </values>
      </ddeItem>
      <ddeItem name="2358.TW-PreClose" advise="1">
        <values>
          <value>
            <val>14.5</val>
          </value>
        </values>
      </ddeItem>
      <ddeItem name="2358.TW-Price" advise="1">
        <values>
          <value>
            <val>14.2</val>
          </value>
        </values>
      </ddeItem>
      <ddeItem name="2358.TW-SimulatePrice" advise="1">
        <values>
          <value>
            <val>14.2</val>
          </value>
        </values>
      </ddeItem>
      <ddeItem name="2358.TW-SimulateTime" advise="1">
        <values>
          <value t="str">
            <val>13:29:36</val>
          </value>
        </values>
      </ddeItem>
      <ddeItem name="2359.TW-ID" advise="1">
        <values>
          <value t="str">
            <val>2359</val>
          </value>
        </values>
      </ddeItem>
      <ddeItem name="2359.TW-Name" advise="1">
        <values>
          <value t="str">
            <val>所羅門</val>
          </value>
        </values>
      </ddeItem>
      <ddeItem name="2359.TW-PreClose" advise="1">
        <values>
          <value>
            <val>18.55</val>
          </value>
        </values>
      </ddeItem>
      <ddeItem name="2359.TW-Price" advise="1">
        <values>
          <value>
            <val>18.3</val>
          </value>
        </values>
      </ddeItem>
      <ddeItem name="2359.TW-SimulatePrice" advise="1">
        <values>
          <value>
            <val>18.3</val>
          </value>
        </values>
      </ddeItem>
      <ddeItem name="2359.TW-SimulateTime" advise="1">
        <values>
          <value t="str">
            <val>13:29:58</val>
          </value>
        </values>
      </ddeItem>
      <ddeItem name="2360.TW-ID" advise="1">
        <values>
          <value t="str">
            <val>2360</val>
          </value>
        </values>
      </ddeItem>
      <ddeItem name="2360.TW-Name" advise="1">
        <values>
          <value t="str">
            <val>致茂</val>
          </value>
        </values>
      </ddeItem>
      <ddeItem name="2360.TW-PreClose" advise="1">
        <values>
          <value>
            <val>131</val>
          </value>
        </values>
      </ddeItem>
      <ddeItem name="2360.TW-Price" advise="1">
        <values>
          <value>
            <val>135.5</val>
          </value>
        </values>
      </ddeItem>
      <ddeItem name="2360.TW-SimulatePrice" advise="1">
        <values>
          <value>
            <val>135.5</val>
          </value>
        </values>
      </ddeItem>
      <ddeItem name="2360.TW-SimulateTime" advise="1">
        <values>
          <value t="str">
            <val>13:29:50</val>
          </value>
        </values>
      </ddeItem>
      <ddeItem name="2362.TW-ID" advise="1">
        <values>
          <value t="str">
            <val>2362</val>
          </value>
        </values>
      </ddeItem>
      <ddeItem name="2362.TW-Name" advise="1">
        <values>
          <value t="str">
            <val>藍天</val>
          </value>
        </values>
      </ddeItem>
      <ddeItem name="2362.TW-PreClose" advise="1">
        <values>
          <value>
            <val>29.8</val>
          </value>
        </values>
      </ddeItem>
      <ddeItem name="2362.TW-Price" advise="1">
        <values>
          <value>
            <val>29.75</val>
          </value>
        </values>
      </ddeItem>
      <ddeItem name="2362.TW-SimulatePrice" advise="1">
        <values>
          <value>
            <val>29.75</val>
          </value>
        </values>
      </ddeItem>
      <ddeItem name="2362.TW-SimulateTime" advise="1">
        <values>
          <value t="str">
            <val>13:29:56</val>
          </value>
        </values>
      </ddeItem>
      <ddeItem name="2363.TW-ID" advise="1">
        <values>
          <value t="str">
            <val>2363</val>
          </value>
        </values>
      </ddeItem>
      <ddeItem name="2363.TW-Name" advise="1">
        <values>
          <value t="str">
            <val>矽統</val>
          </value>
        </values>
      </ddeItem>
      <ddeItem name="2363.TW-PreClose" advise="1">
        <values>
          <value>
            <val>11.55</val>
          </value>
        </values>
      </ddeItem>
      <ddeItem name="2363.TW-Price" advise="1">
        <values>
          <value>
            <val>11.75</val>
          </value>
        </values>
      </ddeItem>
      <ddeItem name="2363.TW-SimulatePrice" advise="1">
        <values>
          <value>
            <val>11.75</val>
          </value>
        </values>
      </ddeItem>
      <ddeItem name="2363.TW-SimulateTime" advise="1">
        <values>
          <value t="str">
            <val>13:29:58</val>
          </value>
        </values>
      </ddeItem>
      <ddeItem name="2364.TW-ID" advise="1">
        <values>
          <value t="str">
            <val>2364</val>
          </value>
        </values>
      </ddeItem>
      <ddeItem name="2364.TW-Name" advise="1">
        <values>
          <value t="str">
            <val>倫飛</val>
          </value>
        </values>
      </ddeItem>
      <ddeItem name="2364.TW-PreClose" advise="1">
        <values>
          <value>
            <val>2.11</val>
          </value>
        </values>
      </ddeItem>
      <ddeItem name="2364.TW-Price" advise="1">
        <values>
          <value>
            <val>2.11</val>
          </value>
        </values>
      </ddeItem>
      <ddeItem name="2364.TW-SimulatePrice" advise="1">
        <values>
          <value t="str">
            <val>--</val>
          </value>
        </values>
      </ddeItem>
      <ddeItem name="2364.TW-SimulateTime" advise="1">
        <values>
          <value t="str">
            <val>--</val>
          </value>
        </values>
      </ddeItem>
      <ddeItem name="2365.TW-ID" advise="1">
        <values>
          <value t="str">
            <val>2365</val>
          </value>
        </values>
      </ddeItem>
      <ddeItem name="2365.TW-Name" advise="1">
        <values>
          <value t="str">
            <val>昆盈</val>
          </value>
        </values>
      </ddeItem>
      <ddeItem name="2365.TW-PreClose" advise="1">
        <values>
          <value>
            <val>7.83</val>
          </value>
        </values>
      </ddeItem>
      <ddeItem name="2365.TW-Price" advise="1">
        <values>
          <value>
            <val>7.94</val>
          </value>
        </values>
      </ddeItem>
      <ddeItem name="2365.TW-SimulatePrice" advise="1">
        <values>
          <value>
            <val>7.94</val>
          </value>
        </values>
      </ddeItem>
      <ddeItem name="2365.TW-SimulateTime" advise="1">
        <values>
          <value t="str">
            <val>13:29:58</val>
          </value>
        </values>
      </ddeItem>
      <ddeItem name="2367.TW-ID" advise="1">
        <values>
          <value t="str">
            <val>2367</val>
          </value>
        </values>
      </ddeItem>
      <ddeItem name="2367.TW-Name" advise="1">
        <values>
          <value t="str">
            <val>燿華</val>
          </value>
        </values>
      </ddeItem>
      <ddeItem name="2367.TW-PreClose" advise="1">
        <values>
          <value>
            <val>21.7</val>
          </value>
        </values>
      </ddeItem>
      <ddeItem name="2367.TW-Price" advise="1">
        <values>
          <value>
            <val>21.7</val>
          </value>
        </values>
      </ddeItem>
      <ddeItem name="2367.TW-SimulatePrice" advise="1">
        <values>
          <value>
            <val>21.7</val>
          </value>
        </values>
      </ddeItem>
      <ddeItem name="2367.TW-SimulateTime" advise="1">
        <values>
          <value t="str">
            <val>13:29:55</val>
          </value>
        </values>
      </ddeItem>
      <ddeItem name="2368.TW-ID" advise="1">
        <values>
          <value t="str">
            <val>2368</val>
          </value>
        </values>
      </ddeItem>
      <ddeItem name="2368.TW-Name" advise="1">
        <values>
          <value t="str">
            <val>金像電</val>
          </value>
        </values>
      </ddeItem>
      <ddeItem name="2368.TW-PreClose" advise="1">
        <values>
          <value>
            <val>32.549999999999997</val>
          </value>
        </values>
      </ddeItem>
      <ddeItem name="2368.TW-Price" advise="1">
        <values>
          <value>
            <val>34.1</val>
          </value>
        </values>
      </ddeItem>
      <ddeItem name="2368.TW-SimulatePrice" advise="1">
        <values>
          <value>
            <val>34.15</val>
          </value>
        </values>
      </ddeItem>
      <ddeItem name="2368.TW-SimulateTime" advise="1">
        <values>
          <value t="str">
            <val>13:29:57</val>
          </value>
        </values>
      </ddeItem>
      <ddeItem name="2369.TW-ID" advise="1">
        <values>
          <value t="str">
            <val>2369</val>
          </value>
        </values>
      </ddeItem>
      <ddeItem name="2369.TW-Name" advise="1">
        <values>
          <value t="str">
            <val>菱生</val>
          </value>
        </values>
      </ddeItem>
      <ddeItem name="2369.TW-PreClose" advise="1">
        <values>
          <value>
            <val>9.52</val>
          </value>
        </values>
      </ddeItem>
      <ddeItem name="2369.TW-Price" advise="1">
        <values>
          <value>
            <val>9.41</val>
          </value>
        </values>
      </ddeItem>
      <ddeItem name="2369.TW-SimulatePrice" advise="1">
        <values>
          <value>
            <val>9.41</val>
          </value>
        </values>
      </ddeItem>
      <ddeItem name="2369.TW-SimulateTime" advise="1">
        <values>
          <value t="str">
            <val>13:29:37</val>
          </value>
        </values>
      </ddeItem>
      <ddeItem name="2371.TW-ID" advise="1">
        <values>
          <value t="str">
            <val>2371</val>
          </value>
        </values>
      </ddeItem>
      <ddeItem name="2371.TW-Name" advise="1">
        <values>
          <value t="str">
            <val>大同</val>
          </value>
        </values>
      </ddeItem>
      <ddeItem name="2371.TW-PreClose" advise="1">
        <values>
          <value>
            <val>20.5</val>
          </value>
        </values>
      </ddeItem>
      <ddeItem name="2371.TW-Price" advise="1">
        <values>
          <value>
            <val>20.5</val>
          </value>
        </values>
      </ddeItem>
      <ddeItem name="2371.TW-SimulatePrice" advise="1">
        <values>
          <value>
            <val>20.5</val>
          </value>
        </values>
      </ddeItem>
      <ddeItem name="2371.TW-SimulateTime" advise="1">
        <values>
          <value t="str">
            <val>13:29:58</val>
          </value>
        </values>
      </ddeItem>
      <ddeItem name="2373.TW-ID" advise="1">
        <values>
          <value t="str">
            <val>2373</val>
          </value>
        </values>
      </ddeItem>
      <ddeItem name="2373.TW-Name" advise="1">
        <values>
          <value t="str">
            <val>震旦行</val>
          </value>
        </values>
      </ddeItem>
      <ddeItem name="2373.TW-PreClose" advise="1">
        <values>
          <value>
            <val>89</val>
          </value>
        </values>
      </ddeItem>
      <ddeItem name="2373.TW-Price" advise="1">
        <values>
          <value>
            <val>89.2</val>
          </value>
        </values>
      </ddeItem>
      <ddeItem name="2373.TW-SimulatePrice" advise="1">
        <values>
          <value>
            <val>89.2</val>
          </value>
        </values>
      </ddeItem>
      <ddeItem name="2373.TW-SimulateTime" advise="1">
        <values>
          <value t="str">
            <val>13:29:17</val>
          </value>
        </values>
      </ddeItem>
      <ddeItem name="2374.TW-ID" advise="1">
        <values>
          <value t="str">
            <val>2374</val>
          </value>
        </values>
      </ddeItem>
      <ddeItem name="2374.TW-Name" advise="1">
        <values>
          <value t="str">
            <val>佳能</val>
          </value>
        </values>
      </ddeItem>
      <ddeItem name="2374.TW-PreClose" advise="1">
        <values>
          <value>
            <val>11.85</val>
          </value>
        </values>
      </ddeItem>
      <ddeItem name="2374.TW-Price" advise="1">
        <values>
          <value>
            <val>11.7</val>
          </value>
        </values>
      </ddeItem>
      <ddeItem name="2374.TW-SimulatePrice" advise="1">
        <values>
          <value>
            <val>11.7</val>
          </value>
        </values>
      </ddeItem>
      <ddeItem name="2374.TW-SimulateTime" advise="1">
        <values>
          <value t="str">
            <val>13:29:05</val>
          </value>
        </values>
      </ddeItem>
      <ddeItem name="2375.TW-ID" advise="1">
        <values>
          <value t="str">
            <val>2375</val>
          </value>
        </values>
      </ddeItem>
      <ddeItem name="2375.TW-Name" advise="1">
        <values>
          <value t="str">
            <val>凱美</val>
          </value>
        </values>
      </ddeItem>
      <ddeItem name="2375.TW-PreClose" advise="1">
        <values>
          <value>
            <val>36.200000000000003</val>
          </value>
        </values>
      </ddeItem>
      <ddeItem name="2375.TW-Price" advise="1">
        <values>
          <value>
            <val>36.5</val>
          </value>
        </values>
      </ddeItem>
      <ddeItem name="2375.TW-SimulatePrice" advise="1">
        <values>
          <value>
            <val>36.450000000000003</val>
          </value>
        </values>
      </ddeItem>
      <ddeItem name="2375.TW-SimulateTime" advise="1">
        <values>
          <value t="str">
            <val>13:29:56</val>
          </value>
        </values>
      </ddeItem>
      <ddeItem name="2376.TW-ID" advise="1">
        <values>
          <value t="str">
            <val>2376</val>
          </value>
        </values>
      </ddeItem>
      <ddeItem name="2376.TW-Name" advise="1">
        <values>
          <value t="str">
            <val>技嘉</val>
          </value>
        </values>
      </ddeItem>
      <ddeItem name="2376.TW-PreClose" advise="1">
        <values>
          <value>
            <val>58.9</val>
          </value>
        </values>
      </ddeItem>
      <ddeItem name="2376.TW-Price" advise="1">
        <values>
          <value>
            <val>62.4</val>
          </value>
        </values>
      </ddeItem>
      <ddeItem name="2376.TW-SimulatePrice" advise="1">
        <values>
          <value>
            <val>62.4</val>
          </value>
        </values>
      </ddeItem>
      <ddeItem name="2376.TW-SimulateTime" advise="1">
        <values>
          <value t="str">
            <val>13:29:58</val>
          </value>
        </values>
      </ddeItem>
      <ddeItem name="2377.TW-ID" advise="1">
        <values>
          <value t="str">
            <val>2377</val>
          </value>
        </values>
      </ddeItem>
      <ddeItem name="2377.TW-Name" advise="1">
        <values>
          <value t="str">
            <val>微星</val>
          </value>
        </values>
      </ddeItem>
      <ddeItem name="2377.TW-PreClose" advise="1">
        <values>
          <value>
            <val>102.5</val>
          </value>
        </values>
      </ddeItem>
      <ddeItem name="2377.TW-Price" advise="1">
        <values>
          <value>
            <val>103.5</val>
          </value>
        </values>
      </ddeItem>
      <ddeItem name="2377.TW-SimulatePrice" advise="1">
        <values>
          <value>
            <val>103.5</val>
          </value>
        </values>
      </ddeItem>
      <ddeItem name="2377.TW-SimulateTime" advise="1">
        <values>
          <value t="str">
            <val>13:29:55</val>
          </value>
        </values>
      </ddeItem>
      <ddeItem name="2379.TW-ID" advise="1">
        <values>
          <value t="str">
            <val>2379</val>
          </value>
        </values>
      </ddeItem>
      <ddeItem name="2379.TW-Name" advise="1">
        <values>
          <value t="str">
            <val>瑞昱</val>
          </value>
        </values>
      </ddeItem>
      <ddeItem name="2379.TW-PreClose" advise="1">
        <values>
          <value>
            <val>246</val>
          </value>
        </values>
      </ddeItem>
      <ddeItem name="2379.TW-Price" advise="1">
        <values>
          <value>
            <val>245.5</val>
          </value>
        </values>
      </ddeItem>
      <ddeItem name="2379.TW-SimulatePrice" advise="1">
        <values>
          <value>
            <val>245.5</val>
          </value>
        </values>
      </ddeItem>
      <ddeItem name="2379.TW-SimulateTime" advise="1">
        <values>
          <value t="str">
            <val>13:29:56</val>
          </value>
        </values>
      </ddeItem>
      <ddeItem name="2380.TW-ID" advise="1">
        <values>
          <value t="str">
            <val>2380</val>
          </value>
        </values>
      </ddeItem>
      <ddeItem name="2380.TW-Name" advise="1">
        <values>
          <value t="str">
            <val>虹光</val>
          </value>
        </values>
      </ddeItem>
      <ddeItem name="2380.TW-PreClose" advise="1">
        <values>
          <value>
            <val>3.7</val>
          </value>
        </values>
      </ddeItem>
      <ddeItem name="2380.TW-Price" advise="1">
        <values>
          <value>
            <val>3.64</val>
          </value>
        </values>
      </ddeItem>
      <ddeItem name="2380.TW-SimulatePrice" advise="1">
        <values>
          <value>
            <val>3.64</val>
          </value>
        </values>
      </ddeItem>
      <ddeItem name="2380.TW-SimulateTime" advise="1">
        <values>
          <value t="str">
            <val>13:29:59</val>
          </value>
        </values>
      </ddeItem>
      <ddeItem name="2382.TW-ID" advise="1">
        <values>
          <value t="str">
            <val>2382</val>
          </value>
        </values>
      </ddeItem>
      <ddeItem name="2382.TW-Name" advise="1">
        <values>
          <value t="str">
            <val>廣達</val>
          </value>
        </values>
      </ddeItem>
      <ddeItem name="2382.TW-PreClose" advise="1">
        <values>
          <value>
            <val>65</val>
          </value>
        </values>
      </ddeItem>
      <ddeItem name="2382.TW-Price" advise="1">
        <values>
          <value>
            <val>65.2</val>
          </value>
        </values>
      </ddeItem>
      <ddeItem name="2382.TW-SimulatePrice" advise="1">
        <values>
          <value>
            <val>65.099999999999994</val>
          </value>
        </values>
      </ddeItem>
      <ddeItem name="2382.TW-SimulateTime" advise="1">
        <values>
          <value t="str">
            <val>13:29:57</val>
          </value>
        </values>
      </ddeItem>
      <ddeItem name="2383.TW-ID" advise="1">
        <values>
          <value t="str">
            <val>2383</val>
          </value>
        </values>
      </ddeItem>
      <ddeItem name="2383.TW-Name" advise="1">
        <values>
          <value t="str">
            <val>台光電</val>
          </value>
        </values>
      </ddeItem>
      <ddeItem name="2383.TW-PreClose" advise="1">
        <values>
          <value>
            <val>141</val>
          </value>
        </values>
      </ddeItem>
      <ddeItem name="2383.TW-Price" advise="1">
        <values>
          <value>
            <val>144</val>
          </value>
        </values>
      </ddeItem>
      <ddeItem name="2383.TW-SimulatePrice" advise="1">
        <values>
          <value>
            <val>144</val>
          </value>
        </values>
      </ddeItem>
      <ddeItem name="2383.TW-SimulateTime" advise="1">
        <values>
          <value t="str">
            <val>13:29:59</val>
          </value>
        </values>
      </ddeItem>
      <ddeItem name="2385.TW-ID" advise="1">
        <values>
          <value t="str">
            <val>2385</val>
          </value>
        </values>
      </ddeItem>
      <ddeItem name="2385.TW-Name" advise="1">
        <values>
          <value t="str">
            <val>群光</val>
          </value>
        </values>
      </ddeItem>
      <ddeItem name="2385.TW-PreClose" advise="1">
        <values>
          <value>
            <val>80.8</val>
          </value>
        </values>
      </ddeItem>
      <ddeItem name="2385.TW-Price" advise="1">
        <values>
          <value>
            <val>80.599999999999994</val>
          </value>
        </values>
      </ddeItem>
      <ddeItem name="2385.TW-SimulatePrice" advise="1">
        <values>
          <value>
            <val>80.599999999999994</val>
          </value>
        </values>
      </ddeItem>
      <ddeItem name="2385.TW-SimulateTime" advise="1">
        <values>
          <value t="str">
            <val>13:29:58</val>
          </value>
        </values>
      </ddeItem>
      <ddeItem name="2387.TW-ID" advise="1">
        <values>
          <value t="str">
            <val>2387</val>
          </value>
        </values>
      </ddeItem>
      <ddeItem name="2387.TW-Name" advise="1">
        <values>
          <value t="str">
            <val>精元</val>
          </value>
        </values>
      </ddeItem>
      <ddeItem name="2387.TW-PreClose" advise="1">
        <values>
          <value>
            <val>29.9</val>
          </value>
        </values>
      </ddeItem>
      <ddeItem name="2387.TW-Price" advise="1">
        <values>
          <value>
            <val>28.85</val>
          </value>
        </values>
      </ddeItem>
      <ddeItem name="2387.TW-SimulatePrice" advise="1">
        <values>
          <value>
            <val>28.85</val>
          </value>
        </values>
      </ddeItem>
      <ddeItem name="2387.TW-SimulateTime" advise="1">
        <values>
          <value t="str">
            <val>13:29:56</val>
          </value>
        </values>
      </ddeItem>
      <ddeItem name="2388.TW-ID" advise="1">
        <values>
          <value t="str">
            <val>2388</val>
          </value>
        </values>
      </ddeItem>
      <ddeItem name="2388.TW-Name" advise="1">
        <values>
          <value t="str">
            <val>威盛</val>
          </value>
        </values>
      </ddeItem>
      <ddeItem name="2388.TW-PreClose" advise="1">
        <values>
          <value>
            <val>28.25</val>
          </value>
        </values>
      </ddeItem>
      <ddeItem name="2388.TW-Price" advise="1">
        <values>
          <value>
            <val>27.7</val>
          </value>
        </values>
      </ddeItem>
      <ddeItem name="2388.TW-SimulatePrice" advise="1">
        <values>
          <value>
            <val>27.7</val>
          </value>
        </values>
      </ddeItem>
      <ddeItem name="2388.TW-SimulateTime" advise="1">
        <values>
          <value t="str">
            <val>13:29:40</val>
          </value>
        </values>
      </ddeItem>
      <ddeItem name="2390.TW-ID" advise="1">
        <values>
          <value t="str">
            <val>2390</val>
          </value>
        </values>
      </ddeItem>
      <ddeItem name="2390.TW-Name" advise="1">
        <values>
          <value t="str">
            <val>云辰</val>
          </value>
        </values>
      </ddeItem>
      <ddeItem name="2390.TW-PreClose" advise="1">
        <values>
          <value>
            <val>8.26</val>
          </value>
        </values>
      </ddeItem>
      <ddeItem name="2390.TW-Price" advise="1">
        <values>
          <value>
            <val>8.27</val>
          </value>
        </values>
      </ddeItem>
      <ddeItem name="2390.TW-SimulatePrice" advise="1">
        <values>
          <value>
            <val>8.27</val>
          </value>
        </values>
      </ddeItem>
      <ddeItem name="2390.TW-SimulateTime" advise="1">
        <values>
          <value t="str">
            <val>13:29:49</val>
          </value>
        </values>
      </ddeItem>
      <ddeItem name="2392.TW-ID" advise="1">
        <values>
          <value t="str">
            <val>2392</val>
          </value>
        </values>
      </ddeItem>
      <ddeItem name="2392.TW-Name" advise="1">
        <values>
          <value t="str">
            <val>正崴</val>
          </value>
        </values>
      </ddeItem>
      <ddeItem name="2392.TW-PreClose" advise="1">
        <values>
          <value>
            <val>37.1</val>
          </value>
        </values>
      </ddeItem>
      <ddeItem name="2392.TW-Price" advise="1">
        <values>
          <value>
            <val>36.35</val>
          </value>
        </values>
      </ddeItem>
      <ddeItem name="2392.TW-SimulatePrice" advise="1">
        <values>
          <value>
            <val>36.35</val>
          </value>
        </values>
      </ddeItem>
      <ddeItem name="2392.TW-SimulateTime" advise="1">
        <values>
          <value t="str">
            <val>13:29:59</val>
          </value>
        </values>
      </ddeItem>
      <ddeItem name="2393.TW-ID" advise="1">
        <values>
          <value t="str">
            <val>2393</val>
          </value>
        </values>
      </ddeItem>
      <ddeItem name="2393.TW-Name" advise="1">
        <values>
          <value t="str">
            <val>億光</val>
          </value>
        </values>
      </ddeItem>
      <ddeItem name="2393.TW-PreClose" advise="1">
        <values>
          <value>
            <val>32.65</val>
          </value>
        </values>
      </ddeItem>
      <ddeItem name="2393.TW-Price" advise="1">
        <values>
          <value>
            <val>32.1</val>
          </value>
        </values>
      </ddeItem>
      <ddeItem name="2393.TW-SimulatePrice" advise="1">
        <values>
          <value>
            <val>32.049999999999997</val>
          </value>
        </values>
      </ddeItem>
      <ddeItem name="2393.TW-SimulateTime" advise="1">
        <values>
          <value t="str">
            <val>13:29:57</val>
          </value>
        </values>
      </ddeItem>
      <ddeItem name="2395.TW-ID" advise="1">
        <values>
          <value t="str">
            <val>2395</val>
          </value>
        </values>
      </ddeItem>
      <ddeItem name="2395.TW-Name" advise="1">
        <values>
          <value t="str">
            <val>研華</val>
          </value>
        </values>
      </ddeItem>
      <ddeItem name="2395.TW-PreClose" advise="1">
        <values>
          <value>
            <val>283</val>
          </value>
        </values>
      </ddeItem>
      <ddeItem name="2395.TW-Price" advise="1">
        <values>
          <value>
            <val>278</val>
          </value>
        </values>
      </ddeItem>
      <ddeItem name="2395.TW-SimulatePrice" advise="1">
        <values>
          <value>
            <val>278</val>
          </value>
        </values>
      </ddeItem>
      <ddeItem name="2395.TW-SimulateTime" advise="1">
        <values>
          <value t="str">
            <val>13:29:55</val>
          </value>
        </values>
      </ddeItem>
      <ddeItem name="2397.TW-ID" advise="1">
        <values>
          <value t="str">
            <val>2397</val>
          </value>
        </values>
      </ddeItem>
      <ddeItem name="2397.TW-Name" advise="1">
        <values>
          <value t="str">
            <val>友通</val>
          </value>
        </values>
      </ddeItem>
      <ddeItem name="2397.TW-PreClose" advise="1">
        <values>
          <value>
            <val>75.8</val>
          </value>
        </values>
      </ddeItem>
      <ddeItem name="2397.TW-Price" advise="1">
        <values>
          <value>
            <val>75.3</val>
          </value>
        </values>
      </ddeItem>
      <ddeItem name="2397.TW-SimulatePrice" advise="1">
        <values>
          <value>
            <val>75.3</val>
          </value>
        </values>
      </ddeItem>
      <ddeItem name="2397.TW-SimulateTime" advise="1">
        <values>
          <value t="str">
            <val>13:28:53</val>
          </value>
        </values>
      </ddeItem>
      <ddeItem name="2399.TW-ID" advise="1">
        <values>
          <value t="str">
            <val>2399</val>
          </value>
        </values>
      </ddeItem>
      <ddeItem name="2399.TW-Name" advise="1">
        <values>
          <value t="str">
            <val>映泰</val>
          </value>
        </values>
      </ddeItem>
      <ddeItem name="2399.TW-PreClose" advise="1">
        <values>
          <value>
            <val>9.81</val>
          </value>
        </values>
      </ddeItem>
      <ddeItem name="2399.TW-Price" advise="1">
        <values>
          <value>
            <val>9.6999999999999993</val>
          </value>
        </values>
      </ddeItem>
      <ddeItem name="2399.TW-SimulatePrice" advise="1">
        <values>
          <value>
            <val>9.6999999999999993</val>
          </value>
        </values>
      </ddeItem>
      <ddeItem name="2399.TW-SimulateTime" advise="1">
        <values>
          <value t="str">
            <val>13:29:47</val>
          </value>
        </values>
      </ddeItem>
      <ddeItem name="2401.TW-ID" advise="1">
        <values>
          <value t="str">
            <val>2401</val>
          </value>
        </values>
      </ddeItem>
      <ddeItem name="2401.TW-Name" advise="1">
        <values>
          <value t="str">
            <val>凌陽</val>
          </value>
        </values>
      </ddeItem>
      <ddeItem name="2401.TW-PreClose" advise="1">
        <values>
          <value>
            <val>10.5</val>
          </value>
        </values>
      </ddeItem>
      <ddeItem name="2401.TW-Price" advise="1">
        <values>
          <value>
            <val>10.15</val>
          </value>
        </values>
      </ddeItem>
      <ddeItem name="2401.TW-SimulatePrice" advise="1">
        <values>
          <value>
            <val>10.15</val>
          </value>
        </values>
      </ddeItem>
      <ddeItem name="2401.TW-SimulateTime" advise="1">
        <values>
          <value t="str">
            <val>13:29:59</val>
          </value>
        </values>
      </ddeItem>
      <ddeItem name="2402.TW-ID" advise="1">
        <values>
          <value t="str">
            <val>2402</val>
          </value>
        </values>
      </ddeItem>
      <ddeItem name="2402.TW-Name" advise="1">
        <values>
          <value t="str">
            <val>毅嘉</val>
          </value>
        </values>
      </ddeItem>
      <ddeItem name="2402.TW-PreClose" advise="1">
        <values>
          <value>
            <val>12.6</val>
          </value>
        </values>
      </ddeItem>
      <ddeItem name="2402.TW-Price" advise="1">
        <values>
          <value>
            <val>12.4</val>
          </value>
        </values>
      </ddeItem>
      <ddeItem name="2402.TW-SimulatePrice" advise="1">
        <values>
          <value>
            <val>12.4</val>
          </value>
        </values>
      </ddeItem>
      <ddeItem name="2402.TW-SimulateTime" advise="1">
        <values>
          <value t="str">
            <val>13:29:49</val>
          </value>
        </values>
      </ddeItem>
      <ddeItem name="2404.TW-ID" advise="1">
        <values>
          <value t="str">
            <val>2404</val>
          </value>
        </values>
      </ddeItem>
      <ddeItem name="2404.TW-Name" advise="1">
        <values>
          <value t="str">
            <val>漢唐</val>
          </value>
        </values>
      </ddeItem>
      <ddeItem name="2404.TW-PreClose" advise="1">
        <values>
          <value>
            <val>194</val>
          </value>
        </values>
      </ddeItem>
      <ddeItem name="2404.TW-Price" advise="1">
        <values>
          <value>
            <val>195</val>
          </value>
        </values>
      </ddeItem>
      <ddeItem name="2404.TW-SimulatePrice" advise="1">
        <values>
          <value>
            <val>195</val>
          </value>
        </values>
      </ddeItem>
      <ddeItem name="2404.TW-SimulateTime" advise="1">
        <values>
          <value t="str">
            <val>13:29:56</val>
          </value>
        </values>
      </ddeItem>
      <ddeItem name="2405.TW-ID" advise="1">
        <values>
          <value t="str">
            <val>2405</val>
          </value>
        </values>
      </ddeItem>
      <ddeItem name="2405.TW-Name" advise="1">
        <values>
          <value t="str">
            <val>浩鑫</val>
          </value>
        </values>
      </ddeItem>
      <ddeItem name="2405.TW-PreClose" advise="1">
        <values>
          <value>
            <val>9.82</val>
          </value>
        </values>
      </ddeItem>
      <ddeItem name="2405.TW-Price" advise="1">
        <values>
          <value>
            <val>9.6199999999999992</val>
          </value>
        </values>
      </ddeItem>
      <ddeItem name="2405.TW-SimulatePrice" advise="1">
        <values>
          <value>
            <val>9.6199999999999992</val>
          </value>
        </values>
      </ddeItem>
      <ddeItem name="2405.TW-SimulateTime" advise="1">
        <values>
          <value t="str">
            <val>13:29:54</val>
          </value>
        </values>
      </ddeItem>
      <ddeItem name="2406.TW-ID" advise="1">
        <values>
          <value t="str">
            <val>2406</val>
          </value>
        </values>
      </ddeItem>
      <ddeItem name="2406.TW-Name" advise="1">
        <values>
          <value t="str">
            <val>國碩</val>
          </value>
        </values>
      </ddeItem>
      <ddeItem name="2406.TW-PreClose" advise="1">
        <values>
          <value>
            <val>10.050000000000001</val>
          </value>
        </values>
      </ddeItem>
      <ddeItem name="2406.TW-Price" advise="1">
        <values>
          <value>
            <val>9.8000000000000007</val>
          </value>
        </values>
      </ddeItem>
      <ddeItem name="2406.TW-SimulatePrice" advise="1">
        <values>
          <value>
            <val>9.8000000000000007</val>
          </value>
        </values>
      </ddeItem>
      <ddeItem name="2406.TW-SimulateTime" advise="1">
        <values>
          <value t="str">
            <val>13:29:58</val>
          </value>
        </values>
      </ddeItem>
      <ddeItem name="2408.TW-ID" advise="1">
        <values>
          <value t="str">
            <val>2408</val>
          </value>
        </values>
      </ddeItem>
      <ddeItem name="2408.TW-Name" advise="1">
        <values>
          <value t="str">
            <val>南亞科</val>
          </value>
        </values>
      </ddeItem>
      <ddeItem name="2408.TW-PreClose" advise="1">
        <values>
          <value>
            <val>60</val>
          </value>
        </values>
      </ddeItem>
      <ddeItem name="2408.TW-Price" advise="1">
        <values>
          <value>
            <val>60.1</val>
          </value>
        </values>
      </ddeItem>
      <ddeItem name="2408.TW-SimulatePrice" advise="1">
        <values>
          <value>
            <val>60.1</val>
          </value>
        </values>
      </ddeItem>
      <ddeItem name="2408.TW-SimulateTime" advise="1">
        <values>
          <value t="str">
            <val>13:29:58</val>
          </value>
        </values>
      </ddeItem>
      <ddeItem name="2409.TW-ID" advise="1">
        <values>
          <value t="str">
            <val>2409</val>
          </value>
        </values>
      </ddeItem>
      <ddeItem name="2409.TW-Name" advise="1">
        <values>
          <value t="str">
            <val>友達</val>
          </value>
        </values>
      </ddeItem>
      <ddeItem name="2409.TW-PreClose" advise="1">
        <values>
          <value>
            <val>7.66</val>
          </value>
        </values>
      </ddeItem>
      <ddeItem name="2409.TW-Price" advise="1">
        <values>
          <value>
            <val>7.61</val>
          </value>
        </values>
      </ddeItem>
      <ddeItem name="2409.TW-SimulatePrice" advise="1">
        <values>
          <value>
            <val>7.61</val>
          </value>
        </values>
      </ddeItem>
      <ddeItem name="2409.TW-SimulateTime" advise="1">
        <values>
          <value t="str">
            <val>13:29:58</val>
          </value>
        </values>
      </ddeItem>
      <ddeItem name="2412.TW-ID" advise="1">
        <values>
          <value t="str">
            <val>2412</val>
          </value>
        </values>
      </ddeItem>
      <ddeItem name="2412.TW-Name" advise="1">
        <values>
          <value t="str">
            <val>中華電</val>
          </value>
        </values>
      </ddeItem>
      <ddeItem name="2412.TW-PreClose" advise="1">
        <values>
          <value>
            <val>110</val>
          </value>
        </values>
      </ddeItem>
      <ddeItem name="2412.TW-Price" advise="1">
        <values>
          <value>
            <val>109.5</val>
          </value>
        </values>
      </ddeItem>
      <ddeItem name="2412.TW-SimulatePrice" advise="1">
        <values>
          <value>
            <val>109.5</val>
          </value>
        </values>
      </ddeItem>
      <ddeItem name="2412.TW-SimulateTime" advise="1">
        <values>
          <value t="str">
            <val>13:29:56</val>
          </value>
        </values>
      </ddeItem>
      <ddeItem name="2413.TW-ID" advise="1">
        <values>
          <value t="str">
            <val>2413</val>
          </value>
        </values>
      </ddeItem>
      <ddeItem name="2413.TW-Name" advise="1">
        <values>
          <value t="str">
            <val>環科</val>
          </value>
        </values>
      </ddeItem>
      <ddeItem name="2413.TW-PreClose" advise="1">
        <values>
          <value>
            <val>12.35</val>
          </value>
        </values>
      </ddeItem>
      <ddeItem name="2413.TW-Price" advise="1">
        <values>
          <value>
            <val>12.25</val>
          </value>
        </values>
      </ddeItem>
      <ddeItem name="2413.TW-SimulatePrice" advise="1">
        <values>
          <value>
            <val>12.25</val>
          </value>
        </values>
      </ddeItem>
      <ddeItem name="2413.TW-SimulateTime" advise="1">
        <values>
          <value t="str">
            <val>13:29:59</val>
          </value>
        </values>
      </ddeItem>
      <ddeItem name="2414.TW-ID" advise="1">
        <values>
          <value t="str">
            <val>2414</val>
          </value>
        </values>
      </ddeItem>
      <ddeItem name="2414.TW-Name" advise="1">
        <values>
          <value t="str">
            <val>精技</val>
          </value>
        </values>
      </ddeItem>
      <ddeItem name="2414.TW-PreClose" advise="1">
        <values>
          <value>
            <val>23.8</val>
          </value>
        </values>
      </ddeItem>
      <ddeItem name="2414.TW-Price" advise="1">
        <values>
          <value>
            <val>24</val>
          </value>
        </values>
      </ddeItem>
      <ddeItem name="2414.TW-SimulatePrice" advise="1">
        <values>
          <value>
            <val>24</val>
          </value>
        </values>
      </ddeItem>
      <ddeItem name="2414.TW-SimulateTime" advise="1">
        <values>
          <value t="str">
            <val>13:29:35</val>
          </value>
        </values>
      </ddeItem>
      <ddeItem name="2415.TW-ID" advise="1">
        <values>
          <value t="str">
            <val>2415</val>
          </value>
        </values>
      </ddeItem>
      <ddeItem name="2415.TW-Name" advise="1">
        <values>
          <value t="str">
            <val>錩新</val>
          </value>
        </values>
      </ddeItem>
      <ddeItem name="2415.TW-PreClose" advise="1">
        <values>
          <value>
            <val>16.45</val>
          </value>
        </values>
      </ddeItem>
      <ddeItem name="2415.TW-Price" advise="1">
        <values>
          <value>
            <val>15.9</val>
          </value>
        </values>
      </ddeItem>
      <ddeItem name="2415.TW-SimulatePrice" advise="1">
        <values>
          <value>
            <val>15.9</val>
          </value>
        </values>
      </ddeItem>
      <ddeItem name="2415.TW-SimulateTime" advise="1">
        <values>
          <value t="str">
            <val>13:29:48</val>
          </value>
        </values>
      </ddeItem>
      <ddeItem name="2417.TW-ID" advise="1">
        <values>
          <value t="str">
            <val>2417</val>
          </value>
        </values>
      </ddeItem>
      <ddeItem name="2417.TW-Name" advise="1">
        <values>
          <value t="str">
            <val>圓剛</val>
          </value>
        </values>
      </ddeItem>
      <ddeItem name="2417.TW-PreClose" advise="1">
        <values>
          <value>
            <val>12.8</val>
          </value>
        </values>
      </ddeItem>
      <ddeItem name="2417.TW-Price" advise="1">
        <values>
          <value>
            <val>12.75</val>
          </value>
        </values>
      </ddeItem>
      <ddeItem name="2417.TW-SimulatePrice" advise="1">
        <values>
          <value>
            <val>12.75</val>
          </value>
        </values>
      </ddeItem>
      <ddeItem name="2417.TW-SimulateTime" advise="1">
        <values>
          <value t="str">
            <val>13:29:58</val>
          </value>
        </values>
      </ddeItem>
      <ddeItem name="2419.TW-ID" advise="1">
        <values>
          <value t="str">
            <val>2419</val>
          </value>
        </values>
      </ddeItem>
      <ddeItem name="2419.TW-Name" advise="1">
        <values>
          <value t="str">
            <val>仲琦</val>
          </value>
        </values>
      </ddeItem>
      <ddeItem name="2419.TW-PreClose" advise="1">
        <values>
          <value>
            <val>20.399999999999999</val>
          </value>
        </values>
      </ddeItem>
      <ddeItem name="2419.TW-Price" advise="1">
        <values>
          <value>
            <val>20.100000000000001</val>
          </value>
        </values>
      </ddeItem>
      <ddeItem name="2419.TW-SimulatePrice" advise="1">
        <values>
          <value>
            <val>20.100000000000001</val>
          </value>
        </values>
      </ddeItem>
      <ddeItem name="2419.TW-SimulateTime" advise="1">
        <values>
          <value t="str">
            <val>13:29:32</val>
          </value>
        </values>
      </ddeItem>
      <ddeItem name="2420.TW-ID" advise="1">
        <values>
          <value t="str">
            <val>2420</val>
          </value>
        </values>
      </ddeItem>
      <ddeItem name="2420.TW-Name" advise="1">
        <values>
          <value t="str">
            <val>新巨</val>
          </value>
        </values>
      </ddeItem>
      <ddeItem name="2420.TW-PreClose" advise="1">
        <values>
          <value>
            <val>33.65</val>
          </value>
        </values>
      </ddeItem>
      <ddeItem name="2420.TW-Price" advise="1">
        <values>
          <value>
            <val>33.65</val>
          </value>
        </values>
      </ddeItem>
      <ddeItem name="2420.TW-SimulatePrice" advise="1">
        <values>
          <value>
            <val>33.65</val>
          </value>
        </values>
      </ddeItem>
      <ddeItem name="2420.TW-SimulateTime" advise="1">
        <values>
          <value t="str">
            <val>13:29:57</val>
          </value>
        </values>
      </ddeItem>
      <ddeItem name="2421.TW-ID" advise="1">
        <values>
          <value t="str">
            <val>2421</val>
          </value>
        </values>
      </ddeItem>
      <ddeItem name="2421.TW-Name" advise="1">
        <values>
          <value t="str">
            <val>建準</val>
          </value>
        </values>
      </ddeItem>
      <ddeItem name="2421.TW-PreClose" advise="1">
        <values>
          <value>
            <val>49.2</val>
          </value>
        </values>
      </ddeItem>
      <ddeItem name="2421.TW-Price" advise="1">
        <values>
          <value>
            <val>49.5</val>
          </value>
        </values>
      </ddeItem>
      <ddeItem name="2421.TW-SimulatePrice" advise="1">
        <values>
          <value>
            <val>49.5</val>
          </value>
        </values>
      </ddeItem>
      <ddeItem name="2421.TW-SimulateTime" advise="1">
        <values>
          <value t="str">
            <val>13:29:59</val>
          </value>
        </values>
      </ddeItem>
      <ddeItem name="2423.TW-ID" advise="1">
        <values>
          <value t="str">
            <val>2423</val>
          </value>
        </values>
      </ddeItem>
      <ddeItem name="2423.TW-Name" advise="1">
        <values>
          <value t="str">
            <val>固緯</val>
          </value>
        </values>
      </ddeItem>
      <ddeItem name="2423.TW-PreClose" advise="1">
        <values>
          <value>
            <val>23.55</val>
          </value>
        </values>
      </ddeItem>
      <ddeItem name="2423.TW-Price" advise="1">
        <values>
          <value>
            <val>23.4</val>
          </value>
        </values>
      </ddeItem>
      <ddeItem name="2423.TW-SimulatePrice" advise="1">
        <values>
          <value>
            <val>23.4</val>
          </value>
        </values>
      </ddeItem>
      <ddeItem name="2423.TW-SimulateTime" advise="1">
        <values>
          <value t="str">
            <val>13:29:10</val>
          </value>
        </values>
      </ddeItem>
      <ddeItem name="2424.TW-ID" advise="1">
        <values>
          <value t="str">
            <val>2424</val>
          </value>
        </values>
      </ddeItem>
      <ddeItem name="2424.TW-Name" advise="1">
        <values>
          <value t="str">
            <val>隴華</val>
          </value>
        </values>
      </ddeItem>
      <ddeItem name="2424.TW-PreClose" advise="1">
        <values>
          <value>
            <val>17.649999999999999</val>
          </value>
        </values>
      </ddeItem>
      <ddeItem name="2424.TW-Price" advise="1">
        <values>
          <value>
            <val>18.600000000000001</val>
          </value>
        </values>
      </ddeItem>
      <ddeItem name="2424.TW-SimulatePrice" advise="1">
        <values>
          <value t="str">
            <val>--</val>
          </value>
        </values>
      </ddeItem>
      <ddeItem name="2424.TW-SimulateTime" advise="1">
        <values>
          <value t="str">
            <val>--</val>
          </value>
        </values>
      </ddeItem>
      <ddeItem name="2425.TW-ID" advise="1">
        <values>
          <value t="str">
            <val>2425</val>
          </value>
        </values>
      </ddeItem>
      <ddeItem name="2425.TW-Name" advise="1">
        <values>
          <value t="str">
            <val>承啟</val>
          </value>
        </values>
      </ddeItem>
      <ddeItem name="2425.TW-PreClose" advise="1">
        <values>
          <value>
            <val>25.15</val>
          </value>
        </values>
      </ddeItem>
      <ddeItem name="2425.TW-Price" advise="1">
        <values>
          <value>
            <val>25.15</val>
          </value>
        </values>
      </ddeItem>
      <ddeItem name="2425.TW-SimulatePrice" advise="1">
        <values>
          <value>
            <val>25.15</val>
          </value>
        </values>
      </ddeItem>
      <ddeItem name="2425.TW-SimulateTime" advise="1">
        <values>
          <value t="str">
            <val>13:29:54</val>
          </value>
        </values>
      </ddeItem>
      <ddeItem name="2426.TW-ID" advise="1">
        <values>
          <value t="str">
            <val>2426</val>
          </value>
        </values>
      </ddeItem>
      <ddeItem name="2426.TW-Name" advise="1">
        <values>
          <value t="str">
            <val>鼎元</val>
          </value>
        </values>
      </ddeItem>
      <ddeItem name="2426.TW-PreClose" advise="1">
        <values>
          <value>
            <val>13.4</val>
          </value>
        </values>
      </ddeItem>
      <ddeItem name="2426.TW-Price" advise="1">
        <values>
          <value>
            <val>13.15</val>
          </value>
        </values>
      </ddeItem>
      <ddeItem name="2426.TW-SimulatePrice" advise="1">
        <values>
          <value>
            <val>13.15</val>
          </value>
        </values>
      </ddeItem>
      <ddeItem name="2426.TW-SimulateTime" advise="1">
        <values>
          <value t="str">
            <val>13:29:57</val>
          </value>
        </values>
      </ddeItem>
      <ddeItem name="2427.TW-ID" advise="1">
        <values>
          <value t="str">
            <val>2427</val>
          </value>
        </values>
      </ddeItem>
      <ddeItem name="2427.TW-Name" advise="1">
        <values>
          <value t="str">
            <val>三商電</val>
          </value>
        </values>
      </ddeItem>
      <ddeItem name="2427.TW-PreClose" advise="1">
        <values>
          <value>
            <val>10.050000000000001</val>
          </value>
        </values>
      </ddeItem>
      <ddeItem name="2427.TW-Price" advise="1">
        <values>
          <value>
            <val>10.1</val>
          </value>
        </values>
      </ddeItem>
      <ddeItem name="2427.TW-SimulatePrice" advise="1">
        <values>
          <value>
            <val>10.1</val>
          </value>
        </values>
      </ddeItem>
      <ddeItem name="2427.TW-SimulateTime" advise="1">
        <values>
          <value t="str">
            <val>13:29:55</val>
          </value>
        </values>
      </ddeItem>
      <ddeItem name="2428.TW-ID" advise="1">
        <values>
          <value t="str">
            <val>2428</val>
          </value>
        </values>
      </ddeItem>
      <ddeItem name="2428.TW-Name" advise="1">
        <values>
          <value t="str">
            <val>興勤</val>
          </value>
        </values>
      </ddeItem>
      <ddeItem name="2428.TW-PreClose" advise="1">
        <values>
          <value>
            <val>87</val>
          </value>
        </values>
      </ddeItem>
      <ddeItem name="2428.TW-Price" advise="1">
        <values>
          <value>
            <val>86.9</val>
          </value>
        </values>
      </ddeItem>
      <ddeItem name="2428.TW-SimulatePrice" advise="1">
        <values>
          <value>
            <val>86.9</val>
          </value>
        </values>
      </ddeItem>
      <ddeItem name="2428.TW-SimulateTime" advise="1">
        <values>
          <value t="str">
            <val>13:29:50</val>
          </value>
        </values>
      </ddeItem>
      <ddeItem name="2429.TW-ID" advise="1">
        <values>
          <value t="str">
            <val>2429</val>
          </value>
        </values>
      </ddeItem>
      <ddeItem name="2429.TW-Name" advise="1">
        <values>
          <value t="str">
            <val>銘旺科</val>
          </value>
        </values>
      </ddeItem>
      <ddeItem name="2429.TW-PreClose" advise="1">
        <values>
          <value>
            <val>20.100000000000001</val>
          </value>
        </values>
      </ddeItem>
      <ddeItem name="2429.TW-Price" advise="1">
        <values>
          <value>
            <val>19.8</val>
          </value>
        </values>
      </ddeItem>
      <ddeItem name="2429.TW-SimulatePrice" advise="1">
        <values>
          <value>
            <val>19.8</val>
          </value>
        </values>
      </ddeItem>
      <ddeItem name="2429.TW-SimulateTime" advise="1">
        <values>
          <value t="str">
            <val>13:29:23</val>
          </value>
        </values>
      </ddeItem>
      <ddeItem name="2430.TW-ID" advise="1">
        <values>
          <value t="str">
            <val>2430</val>
          </value>
        </values>
      </ddeItem>
      <ddeItem name="2430.TW-Name" advise="1">
        <values>
          <value t="str">
            <val>燦坤</val>
          </value>
        </values>
      </ddeItem>
      <ddeItem name="2430.TW-PreClose" advise="1">
        <values>
          <value>
            <val>16.75</val>
          </value>
        </values>
      </ddeItem>
      <ddeItem name="2430.TW-Price" advise="1">
        <values>
          <value>
            <val>16.45</val>
          </value>
        </values>
      </ddeItem>
      <ddeItem name="2430.TW-SimulatePrice" advise="1">
        <values>
          <value>
            <val>16.45</val>
          </value>
        </values>
      </ddeItem>
      <ddeItem name="2430.TW-SimulateTime" advise="1">
        <values>
          <value t="str">
            <val>13:29:51</val>
          </value>
        </values>
      </ddeItem>
      <ddeItem name="2431.TW-ID" advise="1">
        <values>
          <value t="str">
            <val>2431</val>
          </value>
        </values>
      </ddeItem>
      <ddeItem name="2431.TW-Name" advise="1">
        <values>
          <value t="str">
            <val>聯昌</val>
          </value>
        </values>
      </ddeItem>
      <ddeItem name="2431.TW-PreClose" advise="1">
        <values>
          <value>
            <val>8.41</val>
          </value>
        </values>
      </ddeItem>
      <ddeItem name="2431.TW-Price" advise="1">
        <values>
          <value>
            <val>8.2899999999999991</val>
          </value>
        </values>
      </ddeItem>
      <ddeItem name="2431.TW-SimulatePrice" advise="1">
        <values>
          <value>
            <val>8.2899999999999991</val>
          </value>
        </values>
      </ddeItem>
      <ddeItem name="2431.TW-SimulateTime" advise="1">
        <values>
          <value t="str">
            <val>13:26:37</val>
          </value>
        </values>
      </ddeItem>
      <ddeItem name="2433.TW-ID" advise="1">
        <values>
          <value t="str">
            <val>2433</val>
          </value>
        </values>
      </ddeItem>
      <ddeItem name="2433.TW-Name" advise="1">
        <values>
          <value t="str">
            <val>互盛電</val>
          </value>
        </values>
      </ddeItem>
      <ddeItem name="2433.TW-PreClose" advise="1">
        <values>
          <value>
            <val>52.5</val>
          </value>
        </values>
      </ddeItem>
      <ddeItem name="2433.TW-Price" advise="1">
        <values>
          <value>
            <val>52.7</val>
          </value>
        </values>
      </ddeItem>
      <ddeItem name="2433.TW-SimulatePrice" advise="1">
        <values>
          <value>
            <val>52.7</val>
          </value>
        </values>
      </ddeItem>
      <ddeItem name="2433.TW-SimulateTime" advise="1">
        <values>
          <value t="str">
            <val>13:28:22</val>
          </value>
        </values>
      </ddeItem>
      <ddeItem name="2434.TW-ID" advise="1">
        <values>
          <value t="str">
            <val>2434</val>
          </value>
        </values>
      </ddeItem>
      <ddeItem name="2434.TW-Name" advise="1">
        <values>
          <value t="str">
            <val>統懋</val>
          </value>
        </values>
      </ddeItem>
      <ddeItem name="2434.TW-PreClose" advise="1">
        <values>
          <value>
            <val>5.93</val>
          </value>
        </values>
      </ddeItem>
      <ddeItem name="2434.TW-Price" advise="1">
        <values>
          <value>
            <val>6</val>
          </value>
        </values>
      </ddeItem>
      <ddeItem name="2434.TW-SimulatePrice" advise="1">
        <values>
          <value t="str">
            <val>--</val>
          </value>
        </values>
      </ddeItem>
      <ddeItem name="2434.TW-SimulateTime" advise="1">
        <values>
          <value t="str">
            <val>--</val>
          </value>
        </values>
      </ddeItem>
      <ddeItem name="2436.TW-ID" advise="1">
        <values>
          <value t="str">
            <val>2436</val>
          </value>
        </values>
      </ddeItem>
      <ddeItem name="2436.TW-Name" advise="1">
        <values>
          <value t="str">
            <val>偉詮電</val>
          </value>
        </values>
      </ddeItem>
      <ddeItem name="2436.TW-PreClose" advise="1">
        <values>
          <value>
            <val>25.45</val>
          </value>
        </values>
      </ddeItem>
      <ddeItem name="2436.TW-Price" advise="1">
        <values>
          <value>
            <val>25.25</val>
          </value>
        </values>
      </ddeItem>
      <ddeItem name="2436.TW-SimulatePrice" advise="1">
        <values>
          <value>
            <val>25.2</val>
          </value>
        </values>
      </ddeItem>
      <ddeItem name="2436.TW-SimulateTime" advise="1">
        <values>
          <value t="str">
            <val>13:29:40</val>
          </value>
        </values>
      </ddeItem>
      <ddeItem name="2438.TW-ID" advise="1">
        <values>
          <value t="str">
            <val>2438</val>
          </value>
        </values>
      </ddeItem>
      <ddeItem name="2438.TW-Name" advise="1">
        <values>
          <value t="str">
            <val>翔耀</val>
          </value>
        </values>
      </ddeItem>
      <ddeItem name="2438.TW-PreClose" advise="1">
        <values>
          <value>
            <val>5.74</val>
          </value>
        </values>
      </ddeItem>
      <ddeItem name="2438.TW-Price" advise="1">
        <values>
          <value>
            <val>5.6</val>
          </value>
        </values>
      </ddeItem>
      <ddeItem name="2438.TW-SimulatePrice" advise="1">
        <values>
          <value t="str">
            <val>--</val>
          </value>
        </values>
      </ddeItem>
      <ddeItem name="2438.TW-SimulateTime" advise="1">
        <values>
          <value t="str">
            <val>--</val>
          </value>
        </values>
      </ddeItem>
      <ddeItem name="2439.TW-ID" advise="1">
        <values>
          <value t="str">
            <val>2439</val>
          </value>
        </values>
      </ddeItem>
      <ddeItem name="2439.TW-Name" advise="1">
        <values>
          <value t="str">
            <val>美律</val>
          </value>
        </values>
      </ddeItem>
      <ddeItem name="2439.TW-PreClose" advise="1">
        <values>
          <value>
            <val>134.5</val>
          </value>
        </values>
      </ddeItem>
      <ddeItem name="2439.TW-Price" advise="1">
        <values>
          <value>
            <val>131.5</val>
          </value>
        </values>
      </ddeItem>
      <ddeItem name="2439.TW-SimulatePrice" advise="1">
        <values>
          <value>
            <val>131.5</val>
          </value>
        </values>
      </ddeItem>
      <ddeItem name="2439.TW-SimulateTime" advise="1">
        <values>
          <value t="str">
            <val>13:29:54</val>
          </value>
        </values>
      </ddeItem>
      <ddeItem name="2440.TW-ID" advise="1">
        <values>
          <value t="str">
            <val>2440</val>
          </value>
        </values>
      </ddeItem>
      <ddeItem name="2440.TW-Name" advise="1">
        <values>
          <value t="str">
            <val>太空梭</val>
          </value>
        </values>
      </ddeItem>
      <ddeItem name="2440.TW-PreClose" advise="1">
        <values>
          <value>
            <val>9.1</val>
          </value>
        </values>
      </ddeItem>
      <ddeItem name="2440.TW-Price" advise="1">
        <values>
          <value>
            <val>9.1199999999999992</val>
          </value>
        </values>
      </ddeItem>
      <ddeItem name="2440.TW-SimulatePrice" advise="1">
        <values>
          <value>
            <val>9.1199999999999992</val>
          </value>
        </values>
      </ddeItem>
      <ddeItem name="2440.TW-SimulateTime" advise="1">
        <values>
          <value t="str">
            <val>13:31:45</val>
          </value>
        </values>
      </ddeItem>
      <ddeItem name="2441.TW-ID" advise="1">
        <values>
          <value t="str">
            <val>2441</val>
          </value>
        </values>
      </ddeItem>
      <ddeItem name="2441.TW-Name" advise="1">
        <values>
          <value t="str">
            <val>超豐</val>
          </value>
        </values>
      </ddeItem>
      <ddeItem name="2441.TW-PreClose" advise="1">
        <values>
          <value>
            <val>44.25</val>
          </value>
        </values>
      </ddeItem>
      <ddeItem name="2441.TW-Price" advise="1">
        <values>
          <value>
            <val>44.1</val>
          </value>
        </values>
      </ddeItem>
      <ddeItem name="2441.TW-SimulatePrice" advise="1">
        <values>
          <value>
            <val>44.1</val>
          </value>
        </values>
      </ddeItem>
      <ddeItem name="2441.TW-SimulateTime" advise="1">
        <values>
          <value t="str">
            <val>13:29:57</val>
          </value>
        </values>
      </ddeItem>
      <ddeItem name="2442.TW-ID" advise="1">
        <values>
          <value t="str">
            <val>2442</val>
          </value>
        </values>
      </ddeItem>
      <ddeItem name="2442.TW-Name" advise="1">
        <values>
          <value t="str">
            <val>新美齊</val>
          </value>
        </values>
      </ddeItem>
      <ddeItem name="2442.TW-PreClose" advise="1">
        <values>
          <value>
            <val>8.06</val>
          </value>
        </values>
      </ddeItem>
      <ddeItem name="2442.TW-Price" advise="1">
        <values>
          <value>
            <val>7.67</val>
          </value>
        </values>
      </ddeItem>
      <ddeItem name="2442.TW-SimulatePrice" advise="1">
        <values>
          <value>
            <val>7.67</val>
          </value>
        </values>
      </ddeItem>
      <ddeItem name="2442.TW-SimulateTime" advise="1">
        <values>
          <value t="str">
            <val>13:29:52</val>
          </value>
        </values>
      </ddeItem>
      <ddeItem name="2443.TW-ID" advise="1">
        <values>
          <value t="str">
            <val>2443</val>
          </value>
        </values>
      </ddeItem>
      <ddeItem name="2443.TW-Name" advise="1">
        <values>
          <value t="str">
            <val>億麗</val>
          </value>
        </values>
      </ddeItem>
      <ddeItem name="2443.TW-PreClose" advise="1">
        <values>
          <value>
            <val>2.78</val>
          </value>
        </values>
      </ddeItem>
      <ddeItem name="2443.TW-Price" advise="1">
        <values>
          <value>
            <val>3.05</val>
          </value>
        </values>
      </ddeItem>
      <ddeItem name="2443.TW-SimulatePrice" advise="1">
        <values>
          <value>
            <val>3.05</val>
          </value>
        </values>
      </ddeItem>
      <ddeItem name="2443.TW-SimulateTime" advise="1">
        <values>
          <value t="str">
            <val>13:29:18</val>
          </value>
        </values>
      </ddeItem>
      <ddeItem name="2444.TW-ID" advise="1">
        <values>
          <value t="str">
            <val>2444</val>
          </value>
        </values>
      </ddeItem>
      <ddeItem name="2444.TW-Name" advise="1">
        <values>
          <value t="str">
            <val>兆勁</val>
          </value>
        </values>
      </ddeItem>
      <ddeItem name="2444.TW-PreClose" advise="1">
        <values>
          <value>
            <val>16.350000000000001</val>
          </value>
        </values>
      </ddeItem>
      <ddeItem name="2444.TW-Price" advise="1">
        <values>
          <value>
            <val>16.5</val>
          </value>
        </values>
      </ddeItem>
      <ddeItem name="2444.TW-SimulatePrice" advise="1">
        <values>
          <value>
            <val>16.5</val>
          </value>
        </values>
      </ddeItem>
      <ddeItem name="2444.TW-SimulateTime" advise="1">
        <values>
          <value t="str">
            <val>13:29:58</val>
          </value>
        </values>
      </ddeItem>
      <ddeItem name="2448.TW-ID" advise="1">
        <values>
          <value t="str">
            <val>2448</val>
          </value>
        </values>
      </ddeItem>
      <ddeItem name="2448.TW-Name" advise="1">
        <values>
          <value t="str">
            <val>晶電</val>
          </value>
        </values>
      </ddeItem>
      <ddeItem name="2448.TW-PreClose" advise="1">
        <values>
          <value>
            <val>37.549999999999997</val>
          </value>
        </values>
      </ddeItem>
      <ddeItem name="2448.TW-Price" advise="1">
        <values>
          <value>
            <val>35.700000000000003</val>
          </value>
        </values>
      </ddeItem>
      <ddeItem name="2448.TW-SimulatePrice" advise="1">
        <values>
          <value>
            <val>35.700000000000003</val>
          </value>
        </values>
      </ddeItem>
      <ddeItem name="2448.TW-SimulateTime" advise="1">
        <values>
          <value t="str">
            <val>13:29:57</val>
          </value>
        </values>
      </ddeItem>
      <ddeItem name="2449.TW-ID" advise="1">
        <values>
          <value t="str">
            <val>2449</val>
          </value>
        </values>
      </ddeItem>
      <ddeItem name="2449.TW-Name" advise="1">
        <values>
          <value t="str">
            <val>京元電子</val>
          </value>
        </values>
      </ddeItem>
      <ddeItem name="2449.TW-PreClose" advise="1">
        <values>
          <value>
            <val>36.1</val>
          </value>
        </values>
      </ddeItem>
      <ddeItem name="2449.TW-Price" advise="1">
        <values>
          <value>
            <val>35.549999999999997</val>
          </value>
        </values>
      </ddeItem>
      <ddeItem name="2449.TW-SimulatePrice" advise="1">
        <values>
          <value>
            <val>35.549999999999997</val>
          </value>
        </values>
      </ddeItem>
      <ddeItem name="2449.TW-SimulateTime" advise="1">
        <values>
          <value t="str">
            <val>13:29:58</val>
          </value>
        </values>
      </ddeItem>
      <ddeItem name="2450.TW-ID" advise="1">
        <values>
          <value t="str">
            <val>2450</val>
          </value>
        </values>
      </ddeItem>
      <ddeItem name="2450.TW-Name" advise="1">
        <values>
          <value t="str">
            <val>神腦</val>
          </value>
        </values>
      </ddeItem>
      <ddeItem name="2450.TW-PreClose" advise="1">
        <values>
          <value>
            <val>27.85</val>
          </value>
        </values>
      </ddeItem>
      <ddeItem name="2450.TW-Price" advise="1">
        <values>
          <value>
            <val>27.7</val>
          </value>
        </values>
      </ddeItem>
      <ddeItem name="2450.TW-SimulatePrice" advise="1">
        <values>
          <value>
            <val>27.7</val>
          </value>
        </values>
      </ddeItem>
      <ddeItem name="2450.TW-SimulateTime" advise="1">
        <values>
          <value t="str">
            <val>13:27:11</val>
          </value>
        </values>
      </ddeItem>
      <ddeItem name="2451.TW-ID" advise="1">
        <values>
          <value t="str">
            <val>2451</val>
          </value>
        </values>
      </ddeItem>
      <ddeItem name="2451.TW-Name" advise="1">
        <values>
          <value t="str">
            <val>創見</val>
          </value>
        </values>
      </ddeItem>
      <ddeItem name="2451.TW-PreClose" advise="1">
        <values>
          <value>
            <val>69.2</val>
          </value>
        </values>
      </ddeItem>
      <ddeItem name="2451.TW-Price" advise="1">
        <values>
          <value>
            <val>69</val>
          </value>
        </values>
      </ddeItem>
      <ddeItem name="2451.TW-SimulatePrice" advise="1">
        <values>
          <value>
            <val>69</val>
          </value>
        </values>
      </ddeItem>
      <ddeItem name="2451.TW-SimulateTime" advise="1">
        <values>
          <value t="str">
            <val>13:29:50</val>
          </value>
        </values>
      </ddeItem>
      <ddeItem name="2453.TW-ID" advise="1">
        <values>
          <value t="str">
            <val>2453</val>
          </value>
        </values>
      </ddeItem>
      <ddeItem name="2453.TW-Name" advise="1">
        <values>
          <value t="str">
            <val>凌群</val>
          </value>
        </values>
      </ddeItem>
      <ddeItem name="2453.TW-PreClose" advise="1">
        <values>
          <value>
            <val>16.5</val>
          </value>
        </values>
      </ddeItem>
      <ddeItem name="2453.TW-Price" advise="1">
        <values>
          <value>
            <val>16.149999999999999</val>
          </value>
        </values>
      </ddeItem>
      <ddeItem name="2453.TW-SimulatePrice" advise="1">
        <values>
          <value>
            <val>16.149999999999999</val>
          </value>
        </values>
      </ddeItem>
      <ddeItem name="2453.TW-SimulateTime" advise="1">
        <values>
          <value t="str">
            <val>13:29:58</val>
          </value>
        </values>
      </ddeItem>
      <ddeItem name="2454.TW-ID" advise="1">
        <values>
          <value t="str">
            <val>2454</val>
          </value>
        </values>
      </ddeItem>
      <ddeItem name="2454.TW-Name" advise="1">
        <values>
          <value t="str">
            <val>聯發科</val>
          </value>
        </values>
      </ddeItem>
      <ddeItem name="2454.TW-PreClose" advise="1">
        <values>
          <value>
            <val>411</val>
          </value>
        </values>
      </ddeItem>
      <ddeItem name="2454.TW-Price" advise="1">
        <values>
          <value>
            <val>411</val>
          </value>
        </values>
      </ddeItem>
      <ddeItem name="2454.TW-SimulatePrice" advise="1">
        <values>
          <value>
            <val>411</val>
          </value>
        </values>
      </ddeItem>
      <ddeItem name="2454.TW-SimulateTime" advise="1">
        <values>
          <value t="str">
            <val>13:29:59</val>
          </value>
        </values>
      </ddeItem>
      <ddeItem name="2455.TW-ID" advise="1">
        <values>
          <value t="str">
            <val>2455</val>
          </value>
        </values>
      </ddeItem>
      <ddeItem name="2455.TW-Name" advise="1">
        <values>
          <value t="str">
            <val>全新</val>
          </value>
        </values>
      </ddeItem>
      <ddeItem name="2455.TW-PreClose" advise="1">
        <values>
          <value>
            <val>92.2</val>
          </value>
        </values>
      </ddeItem>
      <ddeItem name="2455.TW-Price" advise="1">
        <values>
          <value>
            <val>90.9</val>
          </value>
        </values>
      </ddeItem>
      <ddeItem name="2455.TW-SimulatePrice" advise="1">
        <values>
          <value>
            <val>90.9</val>
          </value>
        </values>
      </ddeItem>
      <ddeItem name="2455.TW-SimulateTime" advise="1">
        <values>
          <value t="str">
            <val>13:29:56</val>
          </value>
        </values>
      </ddeItem>
      <ddeItem name="2456.TW-ID" advise="1">
        <values>
          <value t="str">
            <val>2456</val>
          </value>
        </values>
      </ddeItem>
      <ddeItem name="2456.TW-Name" advise="1">
        <values>
          <value t="str">
            <val>奇力新</val>
          </value>
        </values>
      </ddeItem>
      <ddeItem name="2456.TW-PreClose" advise="1">
        <values>
          <value>
            <val>99.6</val>
          </value>
        </values>
      </ddeItem>
      <ddeItem name="2456.TW-Price" advise="1">
        <values>
          <value>
            <val>98.7</val>
          </value>
        </values>
      </ddeItem>
      <ddeItem name="2456.TW-SimulatePrice" advise="1">
        <values>
          <value>
            <val>98.7</val>
          </value>
        </values>
      </ddeItem>
      <ddeItem name="2456.TW-SimulateTime" advise="1">
        <values>
          <value t="str">
            <val>13:29:56</val>
          </value>
        </values>
      </ddeItem>
      <ddeItem name="2457.TW-ID" advise="1">
        <values>
          <value t="str">
            <val>2457</val>
          </value>
        </values>
      </ddeItem>
      <ddeItem name="2457.TW-Name" advise="1">
        <values>
          <value t="str">
            <val>飛宏</val>
          </value>
        </values>
      </ddeItem>
      <ddeItem name="2457.TW-PreClose" advise="1">
        <values>
          <value>
            <val>6.83</val>
          </value>
        </values>
      </ddeItem>
      <ddeItem name="2457.TW-Price" advise="1">
        <values>
          <value>
            <val>6.74</val>
          </value>
        </values>
      </ddeItem>
      <ddeItem name="2457.TW-SimulatePrice" advise="1">
        <values>
          <value>
            <val>6.74</val>
          </value>
        </values>
      </ddeItem>
      <ddeItem name="2457.TW-SimulateTime" advise="1">
        <values>
          <value t="str">
            <val>13:29:38</val>
          </value>
        </values>
      </ddeItem>
      <ddeItem name="2458.TW-ID" advise="1">
        <values>
          <value t="str">
            <val>2458</val>
          </value>
        </values>
      </ddeItem>
      <ddeItem name="2458.TW-Name" advise="1">
        <values>
          <value t="str">
            <val>義隆</val>
          </value>
        </values>
      </ddeItem>
      <ddeItem name="2458.TW-PreClose" advise="1">
        <values>
          <value>
            <val>94.2</val>
          </value>
        </values>
      </ddeItem>
      <ddeItem name="2458.TW-Price" advise="1">
        <values>
          <value>
            <val>91.5</val>
          </value>
        </values>
      </ddeItem>
      <ddeItem name="2458.TW-SimulatePrice" advise="1">
        <values>
          <value>
            <val>91.6</val>
          </value>
        </values>
      </ddeItem>
      <ddeItem name="2458.TW-SimulateTime" advise="1">
        <values>
          <value t="str">
            <val>13:29:55</val>
          </value>
        </values>
      </ddeItem>
      <ddeItem name="2459.TW-ID" advise="1">
        <values>
          <value t="str">
            <val>2459</val>
          </value>
        </values>
      </ddeItem>
      <ddeItem name="2459.TW-Name" advise="1">
        <values>
          <value t="str">
            <val>敦吉</val>
          </value>
        </values>
      </ddeItem>
      <ddeItem name="2459.TW-PreClose" advise="1">
        <values>
          <value>
            <val>40</val>
          </value>
        </values>
      </ddeItem>
      <ddeItem name="2459.TW-Price" advise="1">
        <values>
          <value>
            <val>39.950000000000003</val>
          </value>
        </values>
      </ddeItem>
      <ddeItem name="2459.TW-SimulatePrice" advise="1">
        <values>
          <value>
            <val>39.950000000000003</val>
          </value>
        </values>
      </ddeItem>
      <ddeItem name="2459.TW-SimulateTime" advise="1">
        <values>
          <value t="str">
            <val>13:29:55</val>
          </value>
        </values>
      </ddeItem>
      <ddeItem name="2460.TW-ID" advise="1">
        <values>
          <value t="str">
            <val>2460</val>
          </value>
        </values>
      </ddeItem>
      <ddeItem name="2460.TW-Name" advise="1">
        <values>
          <value t="str">
            <val>建通</val>
          </value>
        </values>
      </ddeItem>
      <ddeItem name="2460.TW-PreClose" advise="1">
        <values>
          <value>
            <val>8.1999999999999993</val>
          </value>
        </values>
      </ddeItem>
      <ddeItem name="2460.TW-Price" advise="1">
        <values>
          <value>
            <val>8.16</val>
          </value>
        </values>
      </ddeItem>
      <ddeItem name="2460.TW-SimulatePrice" advise="1">
        <values>
          <value>
            <val>8.16</val>
          </value>
        </values>
      </ddeItem>
      <ddeItem name="2460.TW-SimulateTime" advise="1">
        <values>
          <value t="str">
            <val>13:29:58</val>
          </value>
        </values>
      </ddeItem>
      <ddeItem name="2461.TW-ID" advise="1">
        <values>
          <value t="str">
            <val>2461</val>
          </value>
        </values>
      </ddeItem>
      <ddeItem name="2461.TW-Name" advise="1">
        <values>
          <value t="str">
            <val>光群雷</val>
          </value>
        </values>
      </ddeItem>
      <ddeItem name="2461.TW-PreClose" advise="1">
        <values>
          <value>
            <val>15</val>
          </value>
        </values>
      </ddeItem>
      <ddeItem name="2461.TW-Price" advise="1">
        <values>
          <value>
            <val>14.9</val>
          </value>
        </values>
      </ddeItem>
      <ddeItem name="2461.TW-SimulatePrice" advise="1">
        <values>
          <value>
            <val>14.9</val>
          </value>
        </values>
      </ddeItem>
      <ddeItem name="2461.TW-SimulateTime" advise="1">
        <values>
          <value t="str">
            <val>13:29:41</val>
          </value>
        </values>
      </ddeItem>
      <ddeItem name="2462.TW-ID" advise="1">
        <values>
          <value t="str">
            <val>2462</val>
          </value>
        </values>
      </ddeItem>
      <ddeItem name="2462.TW-Name" advise="1">
        <values>
          <value t="str">
            <val>良得電</val>
          </value>
        </values>
      </ddeItem>
      <ddeItem name="2462.TW-PreClose" advise="1">
        <values>
          <value>
            <val>26.6</val>
          </value>
        </values>
      </ddeItem>
      <ddeItem name="2462.TW-Price" advise="1">
        <values>
          <value>
            <val>26.45</val>
          </value>
        </values>
      </ddeItem>
      <ddeItem name="2462.TW-SimulatePrice" advise="1">
        <values>
          <value t="str">
            <val>--</val>
          </value>
        </values>
      </ddeItem>
      <ddeItem name="2462.TW-SimulateTime" advise="1">
        <values>
          <value t="str">
            <val>--</val>
          </value>
        </values>
      </ddeItem>
      <ddeItem name="2464.TW-ID" advise="1">
        <values>
          <value t="str">
            <val>2464</val>
          </value>
        </values>
      </ddeItem>
      <ddeItem name="2464.TW-Name" advise="1">
        <values>
          <value t="str">
            <val>盟立</val>
          </value>
        </values>
      </ddeItem>
      <ddeItem name="2464.TW-PreClose" advise="1">
        <values>
          <value>
            <val>37.049999999999997</val>
          </value>
        </values>
      </ddeItem>
      <ddeItem name="2464.TW-Price" advise="1">
        <values>
          <value>
            <val>37.25</val>
          </value>
        </values>
      </ddeItem>
      <ddeItem name="2464.TW-SimulatePrice" advise="1">
        <values>
          <value>
            <val>37.25</val>
          </value>
        </values>
      </ddeItem>
      <ddeItem name="2464.TW-SimulateTime" advise="1">
        <values>
          <value t="str">
            <val>13:29:58</val>
          </value>
        </values>
      </ddeItem>
      <ddeItem name="2465.TW-ID" advise="1">
        <values>
          <value t="str">
            <val>2465</val>
          </value>
        </values>
      </ddeItem>
      <ddeItem name="2465.TW-Name" advise="1">
        <values>
          <value t="str">
            <val>麗臺</val>
          </value>
        </values>
      </ddeItem>
      <ddeItem name="2465.TW-PreClose" advise="1">
        <values>
          <value>
            <val>9.7200000000000006</val>
          </value>
        </values>
      </ddeItem>
      <ddeItem name="2465.TW-Price" advise="1">
        <values>
          <value>
            <val>9.6999999999999993</val>
          </value>
        </values>
      </ddeItem>
      <ddeItem name="2465.TW-SimulatePrice" advise="1">
        <values>
          <value>
            <val>9.6999999999999993</val>
          </value>
        </values>
      </ddeItem>
      <ddeItem name="2465.TW-SimulateTime" advise="1">
        <values>
          <value t="str">
            <val>13:28:31</val>
          </value>
        </values>
      </ddeItem>
      <ddeItem name="2466.TW-ID" advise="1">
        <values>
          <value t="str">
            <val>2466</val>
          </value>
        </values>
      </ddeItem>
      <ddeItem name="2466.TW-Name" advise="1">
        <values>
          <value t="str">
            <val>冠西電</val>
          </value>
        </values>
      </ddeItem>
      <ddeItem name="2466.TW-PreClose" advise="1">
        <values>
          <value>
            <val>30</val>
          </value>
        </values>
      </ddeItem>
      <ddeItem name="2466.TW-Price" advise="1">
        <values>
          <value>
            <val>29.5</val>
          </value>
        </values>
      </ddeItem>
      <ddeItem name="2466.TW-SimulatePrice" advise="1">
        <values>
          <value>
            <val>29.5</val>
          </value>
        </values>
      </ddeItem>
      <ddeItem name="2466.TW-SimulateTime" advise="1">
        <values>
          <value t="str">
            <val>13:29:54</val>
          </value>
        </values>
      </ddeItem>
      <ddeItem name="2467.TW-ID" advise="1">
        <values>
          <value t="str">
            <val>2467</val>
          </value>
        </values>
      </ddeItem>
      <ddeItem name="2467.TW-Name" advise="1">
        <values>
          <value t="str">
            <val>志聖</val>
          </value>
        </values>
      </ddeItem>
      <ddeItem name="2467.TW-PreClose" advise="1">
        <values>
          <value>
            <val>28.5</val>
          </value>
        </values>
      </ddeItem>
      <ddeItem name="2467.TW-Price" advise="1">
        <values>
          <value>
            <val>28.15</val>
          </value>
        </values>
      </ddeItem>
      <ddeItem name="2467.TW-SimulatePrice" advise="1">
        <values>
          <value>
            <val>28.15</val>
          </value>
        </values>
      </ddeItem>
      <ddeItem name="2467.TW-SimulateTime" advise="1">
        <values>
          <value t="str">
            <val>13:29:09</val>
          </value>
        </values>
      </ddeItem>
      <ddeItem name="2468.TW-ID" advise="1">
        <values>
          <value t="str">
            <val>2468</val>
          </value>
        </values>
      </ddeItem>
      <ddeItem name="2468.TW-Name" advise="1">
        <values>
          <value t="str">
            <val>華經</val>
          </value>
        </values>
      </ddeItem>
      <ddeItem name="2468.TW-PreClose" advise="1">
        <values>
          <value>
            <val>12.75</val>
          </value>
        </values>
      </ddeItem>
      <ddeItem name="2468.TW-Price" advise="1">
        <values>
          <value>
            <val>12.65</val>
          </value>
        </values>
      </ddeItem>
      <ddeItem name="2468.TW-SimulatePrice" advise="1">
        <values>
          <value>
            <val>12.65</val>
          </value>
        </values>
      </ddeItem>
      <ddeItem name="2468.TW-SimulateTime" advise="1">
        <values>
          <value t="str">
            <val>13:29:54</val>
          </value>
        </values>
      </ddeItem>
      <ddeItem name="2471.TW-ID" advise="1">
        <values>
          <value t="str">
            <val>2471</val>
          </value>
        </values>
      </ddeItem>
      <ddeItem name="2471.TW-Name" advise="1">
        <values>
          <value t="str">
            <val>資通</val>
          </value>
        </values>
      </ddeItem>
      <ddeItem name="2471.TW-PreClose" advise="1">
        <values>
          <value>
            <val>21.2</val>
          </value>
        </values>
      </ddeItem>
      <ddeItem name="2471.TW-Price" advise="1">
        <values>
          <value>
            <val>21.05</val>
          </value>
        </values>
      </ddeItem>
      <ddeItem name="2471.TW-SimulatePrice" advise="1">
        <values>
          <value>
            <val>21.05</val>
          </value>
        </values>
      </ddeItem>
      <ddeItem name="2471.TW-SimulateTime" advise="1">
        <values>
          <value t="str">
            <val>13:29:56</val>
          </value>
        </values>
      </ddeItem>
      <ddeItem name="2472.TW-ID" advise="1">
        <values>
          <value t="str">
            <val>2472</val>
          </value>
        </values>
      </ddeItem>
      <ddeItem name="2472.TW-Name" advise="1">
        <values>
          <value t="str">
            <val>立隆電</val>
          </value>
        </values>
      </ddeItem>
      <ddeItem name="2472.TW-PreClose" advise="1">
        <values>
          <value>
            <val>41.55</val>
          </value>
        </values>
      </ddeItem>
      <ddeItem name="2472.TW-Price" advise="1">
        <values>
          <value>
            <val>41.55</val>
          </value>
        </values>
      </ddeItem>
      <ddeItem name="2472.TW-SimulatePrice" advise="1">
        <values>
          <value>
            <val>41.55</val>
          </value>
        </values>
      </ddeItem>
      <ddeItem name="2472.TW-SimulateTime" advise="1">
        <values>
          <value t="str">
            <val>13:29:56</val>
          </value>
        </values>
      </ddeItem>
      <ddeItem name="2474.TW-ID" advise="1">
        <values>
          <value t="str">
            <val>2474</val>
          </value>
        </values>
      </ddeItem>
      <ddeItem name="2474.TW-Name" advise="1">
        <values>
          <value t="str">
            <val>可成</val>
          </value>
        </values>
      </ddeItem>
      <ddeItem name="2474.TW-PreClose" advise="1">
        <values>
          <value>
            <val>232.5</val>
          </value>
        </values>
      </ddeItem>
      <ddeItem name="2474.TW-Price" advise="1">
        <values>
          <value>
            <val>232.5</val>
          </value>
        </values>
      </ddeItem>
      <ddeItem name="2474.TW-SimulatePrice" advise="1">
        <values>
          <value>
            <val>232.5</val>
          </value>
        </values>
      </ddeItem>
      <ddeItem name="2474.TW-SimulateTime" advise="1">
        <values>
          <value t="str">
            <val>13:29:59</val>
          </value>
        </values>
      </ddeItem>
      <ddeItem name="2476.TW-ID" advise="1">
        <values>
          <value t="str">
            <val>2476</val>
          </value>
        </values>
      </ddeItem>
      <ddeItem name="2476.TW-Name" advise="1">
        <values>
          <value t="str">
            <val>鉅祥</val>
          </value>
        </values>
      </ddeItem>
      <ddeItem name="2476.TW-PreClose" advise="1">
        <values>
          <value>
            <val>19.899999999999999</val>
          </value>
        </values>
      </ddeItem>
      <ddeItem name="2476.TW-Price" advise="1">
        <values>
          <value>
            <val>20</val>
          </value>
        </values>
      </ddeItem>
      <ddeItem name="2476.TW-SimulatePrice" advise="1">
        <values>
          <value>
            <val>20</val>
          </value>
        </values>
      </ddeItem>
      <ddeItem name="2476.TW-SimulateTime" advise="1">
        <values>
          <value t="str">
            <val>13:29:31</val>
          </value>
        </values>
      </ddeItem>
      <ddeItem name="2477.TW-ID" advise="1">
        <values>
          <value t="str">
            <val>2477</val>
          </value>
        </values>
      </ddeItem>
      <ddeItem name="2477.TW-Name" advise="1">
        <values>
          <value t="str">
            <val>美隆電</val>
          </value>
        </values>
      </ddeItem>
      <ddeItem name="2477.TW-PreClose" advise="1">
        <values>
          <value>
            <val>21.1</val>
          </value>
        </values>
      </ddeItem>
      <ddeItem name="2477.TW-Price" advise="1">
        <values>
          <value>
            <val>20.65</val>
          </value>
        </values>
      </ddeItem>
      <ddeItem name="2477.TW-SimulatePrice" advise="1">
        <values>
          <value>
            <val>20.65</val>
          </value>
        </values>
      </ddeItem>
      <ddeItem name="2477.TW-SimulateTime" advise="1">
        <values>
          <value t="str">
            <val>13:29:46</val>
          </value>
        </values>
      </ddeItem>
      <ddeItem name="2478.TW-ID" advise="1">
        <values>
          <value t="str">
            <val>2478</val>
          </value>
        </values>
      </ddeItem>
      <ddeItem name="2478.TW-Name" advise="1">
        <values>
          <value t="str">
            <val>大毅</val>
          </value>
        </values>
      </ddeItem>
      <ddeItem name="2478.TW-PreClose" advise="1">
        <values>
          <value>
            <val>79.3</val>
          </value>
        </values>
      </ddeItem>
      <ddeItem name="2478.TW-Price" advise="1">
        <values>
          <value>
            <val>81.400000000000006</val>
          </value>
        </values>
      </ddeItem>
      <ddeItem name="2478.TW-SimulatePrice" advise="1">
        <values>
          <value>
            <val>81.400000000000006</val>
          </value>
        </values>
      </ddeItem>
      <ddeItem name="2478.TW-SimulateTime" advise="1">
        <values>
          <value t="str">
            <val>13:29:57</val>
          </value>
        </values>
      </ddeItem>
      <ddeItem name="2480.TW-ID" advise="1">
        <values>
          <value t="str">
            <val>2480</val>
          </value>
        </values>
      </ddeItem>
      <ddeItem name="2480.TW-Name" advise="1">
        <values>
          <value t="str">
            <val>敦陽科</val>
          </value>
        </values>
      </ddeItem>
      <ddeItem name="2480.TW-PreClose" advise="1">
        <values>
          <value>
            <val>62.8</val>
          </value>
        </values>
      </ddeItem>
      <ddeItem name="2480.TW-Price" advise="1">
        <values>
          <value>
            <val>62.9</val>
          </value>
        </values>
      </ddeItem>
      <ddeItem name="2480.TW-SimulatePrice" advise="1">
        <values>
          <value>
            <val>62.9</val>
          </value>
        </values>
      </ddeItem>
      <ddeItem name="2480.TW-SimulateTime" advise="1">
        <values>
          <value t="str">
            <val>13:29:58</val>
          </value>
        </values>
      </ddeItem>
      <ddeItem name="2481.TW-ID" advise="1">
        <values>
          <value t="str">
            <val>2481</val>
          </value>
        </values>
      </ddeItem>
      <ddeItem name="2481.TW-Name" advise="1">
        <values>
          <value t="str">
            <val>強茂</val>
          </value>
        </values>
      </ddeItem>
      <ddeItem name="2481.TW-PreClose" advise="1">
        <values>
          <value>
            <val>24.2</val>
          </value>
        </values>
      </ddeItem>
      <ddeItem name="2481.TW-Price" advise="1">
        <values>
          <value>
            <val>23.25</val>
          </value>
        </values>
      </ddeItem>
      <ddeItem name="2481.TW-SimulatePrice" advise="1">
        <values>
          <value>
            <val>23.25</val>
          </value>
        </values>
      </ddeItem>
      <ddeItem name="2481.TW-SimulateTime" advise="1">
        <values>
          <value t="str">
            <val>13:29:57</val>
          </value>
        </values>
      </ddeItem>
      <ddeItem name="2482.TW-ID" advise="1">
        <values>
          <value t="str">
            <val>2482</val>
          </value>
        </values>
      </ddeItem>
      <ddeItem name="2482.TW-Name" advise="1">
        <values>
          <value t="str">
            <val>連宇</val>
          </value>
        </values>
      </ddeItem>
      <ddeItem name="2482.TW-PreClose" advise="1">
        <values>
          <value>
            <val>10.8</val>
          </value>
        </values>
      </ddeItem>
      <ddeItem name="2482.TW-Price" advise="1">
        <values>
          <value>
            <val>10.7</val>
          </value>
        </values>
      </ddeItem>
      <ddeItem name="2482.TW-SimulatePrice" advise="1">
        <values>
          <value>
            <val>10.7</val>
          </value>
        </values>
      </ddeItem>
      <ddeItem name="2482.TW-SimulateTime" advise="1">
        <values>
          <value t="str">
            <val>13:28:21</val>
          </value>
        </values>
      </ddeItem>
      <ddeItem name="2483.TW-ID" advise="1">
        <values>
          <value t="str">
            <val>2483</val>
          </value>
        </values>
      </ddeItem>
      <ddeItem name="2483.TW-Name" advise="1">
        <values>
          <value t="str">
            <val>百容</val>
          </value>
        </values>
      </ddeItem>
      <ddeItem name="2483.TW-PreClose" advise="1">
        <values>
          <value>
            <val>19.649999999999999</val>
          </value>
        </values>
      </ddeItem>
      <ddeItem name="2483.TW-Price" advise="1">
        <values>
          <value>
            <val>19.600000000000001</val>
          </value>
        </values>
      </ddeItem>
      <ddeItem name="2483.TW-SimulatePrice" advise="1">
        <values>
          <value>
            <val>19.600000000000001</val>
          </value>
        </values>
      </ddeItem>
      <ddeItem name="2483.TW-SimulateTime" advise="1">
        <values>
          <value t="str">
            <val>13:27:44</val>
          </value>
        </values>
      </ddeItem>
      <ddeItem name="2484.TW-ID" advise="1">
        <values>
          <value t="str">
            <val>2484</val>
          </value>
        </values>
      </ddeItem>
      <ddeItem name="2484.TW-Name" advise="1">
        <values>
          <value t="str">
            <val>希華</val>
          </value>
        </values>
      </ddeItem>
      <ddeItem name="2484.TW-PreClose" advise="1">
        <values>
          <value>
            <val>20.7</val>
          </value>
        </values>
      </ddeItem>
      <ddeItem name="2484.TW-Price" advise="1">
        <values>
          <value>
            <val>20.6</val>
          </value>
        </values>
      </ddeItem>
      <ddeItem name="2484.TW-SimulatePrice" advise="1">
        <values>
          <value>
            <val>20.6</val>
          </value>
        </values>
      </ddeItem>
      <ddeItem name="2484.TW-SimulateTime" advise="1">
        <values>
          <value t="str">
            <val>13:29:57</val>
          </value>
        </values>
      </ddeItem>
      <ddeItem name="2485.TW-ID" advise="1">
        <values>
          <value t="str">
            <val>2485</val>
          </value>
        </values>
      </ddeItem>
      <ddeItem name="2485.TW-Name" advise="1">
        <values>
          <value t="str">
            <val>兆赫</val>
          </value>
        </values>
      </ddeItem>
      <ddeItem name="2485.TW-PreClose" advise="1">
        <values>
          <value>
            <val>16.25</val>
          </value>
        </values>
      </ddeItem>
      <ddeItem name="2485.TW-Price" advise="1">
        <values>
          <value>
            <val>15.8</val>
          </value>
        </values>
      </ddeItem>
      <ddeItem name="2485.TW-SimulatePrice" advise="1">
        <values>
          <value>
            <val>15.8</val>
          </value>
        </values>
      </ddeItem>
      <ddeItem name="2485.TW-SimulateTime" advise="1">
        <values>
          <value t="str">
            <val>13:29:57</val>
          </value>
        </values>
      </ddeItem>
      <ddeItem name="2486.TW-ID" advise="1">
        <values>
          <value t="str">
            <val>2486</val>
          </value>
        </values>
      </ddeItem>
      <ddeItem name="2486.TW-Name" advise="1">
        <values>
          <value t="str">
            <val>一詮</val>
          </value>
        </values>
      </ddeItem>
      <ddeItem name="2486.TW-PreClose" advise="1">
        <values>
          <value>
            <val>7.4</val>
          </value>
        </values>
      </ddeItem>
      <ddeItem name="2486.TW-Price" advise="1">
        <values>
          <value>
            <val>7.38</val>
          </value>
        </values>
      </ddeItem>
      <ddeItem name="2486.TW-SimulatePrice" advise="1">
        <values>
          <value>
            <val>7.38</val>
          </value>
        </values>
      </ddeItem>
      <ddeItem name="2486.TW-SimulateTime" advise="1">
        <values>
          <value t="str">
            <val>13:29:55</val>
          </value>
        </values>
      </ddeItem>
      <ddeItem name="2488.TW-ID" advise="1">
        <values>
          <value t="str">
            <val>2488</val>
          </value>
        </values>
      </ddeItem>
      <ddeItem name="2488.TW-Name" advise="1">
        <values>
          <value t="str">
            <val>漢平</val>
          </value>
        </values>
      </ddeItem>
      <ddeItem name="2488.TW-PreClose" advise="1">
        <values>
          <value>
            <val>28</val>
          </value>
        </values>
      </ddeItem>
      <ddeItem name="2488.TW-Price" advise="1">
        <values>
          <value>
            <val>27.95</val>
          </value>
        </values>
      </ddeItem>
      <ddeItem name="2488.TW-SimulatePrice" advise="1">
        <values>
          <value>
            <val>28.1</val>
          </value>
        </values>
      </ddeItem>
      <ddeItem name="2488.TW-SimulateTime" advise="1">
        <values>
          <value t="str">
            <val>13:29:32</val>
          </value>
        </values>
      </ddeItem>
      <ddeItem name="2489.TW-ID" advise="1">
        <values>
          <value t="str">
            <val>2489</val>
          </value>
        </values>
      </ddeItem>
      <ddeItem name="2489.TW-Name" advise="1">
        <values>
          <value t="str">
            <val>瑞軒</val>
          </value>
        </values>
      </ddeItem>
      <ddeItem name="2489.TW-PreClose" advise="1">
        <values>
          <value>
            <val>7.13</val>
          </value>
        </values>
      </ddeItem>
      <ddeItem name="2489.TW-Price" advise="1">
        <values>
          <value>
            <val>7.05</val>
          </value>
        </values>
      </ddeItem>
      <ddeItem name="2489.TW-SimulatePrice" advise="1">
        <values>
          <value>
            <val>7.05</val>
          </value>
        </values>
      </ddeItem>
      <ddeItem name="2489.TW-SimulateTime" advise="1">
        <values>
          <value t="str">
            <val>13:29:55</val>
          </value>
        </values>
      </ddeItem>
      <ddeItem name="2491.TW-ID" advise="1">
        <values>
          <value t="str">
            <val>2491</val>
          </value>
        </values>
      </ddeItem>
      <ddeItem name="2491.TW-Name" advise="1">
        <values>
          <value t="str">
            <val>吉祥全</val>
          </value>
        </values>
      </ddeItem>
      <ddeItem name="2491.TW-PreClose" advise="1">
        <values>
          <value>
            <val>7.31</val>
          </value>
        </values>
      </ddeItem>
      <ddeItem name="2491.TW-Price" advise="1">
        <values>
          <value>
            <val>7.46</val>
          </value>
        </values>
      </ddeItem>
      <ddeItem name="2491.TW-SimulatePrice" advise="1">
        <values>
          <value t="str">
            <val>--</val>
          </value>
        </values>
      </ddeItem>
      <ddeItem name="2491.TW-SimulateTime" advise="1">
        <values>
          <value t="str">
            <val>--</val>
          </value>
        </values>
      </ddeItem>
      <ddeItem name="2492.TW-ID" advise="1">
        <values>
          <value t="str">
            <val>2492</val>
          </value>
        </values>
      </ddeItem>
      <ddeItem name="2492.TW-Name" advise="1">
        <values>
          <value t="str">
            <val>華新科</val>
          </value>
        </values>
      </ddeItem>
      <ddeItem name="2492.TW-PreClose" advise="1">
        <values>
          <value>
            <val>189</val>
          </value>
        </values>
      </ddeItem>
      <ddeItem name="2492.TW-Price" advise="1">
        <values>
          <value>
            <val>189</val>
          </value>
        </values>
      </ddeItem>
      <ddeItem name="2492.TW-SimulatePrice" advise="1">
        <values>
          <value>
            <val>189</val>
          </value>
        </values>
      </ddeItem>
      <ddeItem name="2492.TW-SimulateTime" advise="1">
        <values>
          <value t="str">
            <val>13:29:58</val>
          </value>
        </values>
      </ddeItem>
      <ddeItem name="2493.TW-ID" advise="1">
        <values>
          <value t="str">
            <val>2493</val>
          </value>
        </values>
      </ddeItem>
      <ddeItem name="2493.TW-Name" advise="1">
        <values>
          <value t="str">
            <val>揚博</val>
          </value>
        </values>
      </ddeItem>
      <ddeItem name="2493.TW-PreClose" advise="1">
        <values>
          <value>
            <val>32.9</val>
          </value>
        </values>
      </ddeItem>
      <ddeItem name="2493.TW-Price" advise="1">
        <values>
          <value>
            <val>33.299999999999997</val>
          </value>
        </values>
      </ddeItem>
      <ddeItem name="2493.TW-SimulatePrice" advise="1">
        <values>
          <value>
            <val>33.299999999999997</val>
          </value>
        </values>
      </ddeItem>
      <ddeItem name="2493.TW-SimulateTime" advise="1">
        <values>
          <value t="str">
            <val>13:29:58</val>
          </value>
        </values>
      </ddeItem>
      <ddeItem name="2495.TW-ID" advise="1">
        <values>
          <value t="str">
            <val>2495</val>
          </value>
        </values>
      </ddeItem>
      <ddeItem name="2495.TW-Name" advise="1">
        <values>
          <value t="str">
            <val>普安</val>
          </value>
        </values>
      </ddeItem>
      <ddeItem name="2495.TW-PreClose" advise="1">
        <values>
          <value>
            <val>11.3</val>
          </value>
        </values>
      </ddeItem>
      <ddeItem name="2495.TW-Price" advise="1">
        <values>
          <value>
            <val>11.25</val>
          </value>
        </values>
      </ddeItem>
      <ddeItem name="2495.TW-SimulatePrice" advise="1">
        <values>
          <value>
            <val>11.25</val>
          </value>
        </values>
      </ddeItem>
      <ddeItem name="2495.TW-SimulateTime" advise="1">
        <values>
          <value t="str">
            <val>13:27:47</val>
          </value>
        </values>
      </ddeItem>
      <ddeItem name="2496.TW-ID" advise="1">
        <values>
          <value t="str">
            <val>2496</val>
          </value>
        </values>
      </ddeItem>
      <ddeItem name="2496.TW-Name" advise="1">
        <values>
          <value t="str">
            <val>卓越</val>
          </value>
        </values>
      </ddeItem>
      <ddeItem name="2496.TW-PreClose" advise="1">
        <values>
          <value>
            <val>62.7</val>
          </value>
        </values>
      </ddeItem>
      <ddeItem name="2496.TW-Price" advise="1">
        <values>
          <value>
            <val>61.8</val>
          </value>
        </values>
      </ddeItem>
      <ddeItem name="2496.TW-SimulatePrice" advise="1">
        <values>
          <value>
            <val>61.8</val>
          </value>
        </values>
      </ddeItem>
      <ddeItem name="2496.TW-SimulateTime" advise="1">
        <values>
          <value t="str">
            <val>13:29:33</val>
          </value>
        </values>
      </ddeItem>
      <ddeItem name="2497.TW-ID" advise="1">
        <values>
          <value t="str">
            <val>2497</val>
          </value>
        </values>
      </ddeItem>
      <ddeItem name="2497.TW-Name" advise="1">
        <values>
          <value t="str">
            <val>怡利電</val>
          </value>
        </values>
      </ddeItem>
      <ddeItem name="2497.TW-PreClose" advise="1">
        <values>
          <value>
            <val>16.05</val>
          </value>
        </values>
      </ddeItem>
      <ddeItem name="2497.TW-Price" advise="1">
        <values>
          <value>
            <val>16</val>
          </value>
        </values>
      </ddeItem>
      <ddeItem name="2497.TW-SimulatePrice" advise="1">
        <values>
          <value>
            <val>16</val>
          </value>
        </values>
      </ddeItem>
      <ddeItem name="2497.TW-SimulateTime" advise="1">
        <values>
          <value t="str">
            <val>13:27:48</val>
          </value>
        </values>
      </ddeItem>
      <ddeItem name="2498.TW-ID" advise="1">
        <values>
          <value t="str">
            <val>2498</val>
          </value>
        </values>
      </ddeItem>
      <ddeItem name="2498.TW-Name" advise="1">
        <values>
          <value t="str">
            <val>宏達電</val>
          </value>
        </values>
      </ddeItem>
      <ddeItem name="2498.TW-PreClose" advise="1">
        <values>
          <value>
            <val>28.2</val>
          </value>
        </values>
      </ddeItem>
      <ddeItem name="2498.TW-Price" advise="1">
        <values>
          <value>
            <val>28.3</val>
          </value>
        </values>
      </ddeItem>
      <ddeItem name="2498.TW-SimulatePrice" advise="1">
        <values>
          <value>
            <val>28.3</val>
          </value>
        </values>
      </ddeItem>
      <ddeItem name="2498.TW-SimulateTime" advise="1">
        <values>
          <value t="str">
            <val>13:29:57</val>
          </value>
        </values>
      </ddeItem>
      <ddeItem name="2501.TW-ID" advise="1">
        <values>
          <value t="str">
            <val>2501</val>
          </value>
        </values>
      </ddeItem>
      <ddeItem name="2501.TW-Name" advise="1">
        <values>
          <value t="str">
            <val>國建</val>
          </value>
        </values>
      </ddeItem>
      <ddeItem name="2501.TW-PreClose" advise="1">
        <values>
          <value>
            <val>18.7</val>
          </value>
        </values>
      </ddeItem>
      <ddeItem name="2501.TW-Price" advise="1">
        <values>
          <value>
            <val>18.7</val>
          </value>
        </values>
      </ddeItem>
      <ddeItem name="2501.TW-SimulatePrice" advise="1">
        <values>
          <value>
            <val>18.7</val>
          </value>
        </values>
      </ddeItem>
      <ddeItem name="2501.TW-SimulateTime" advise="1">
        <values>
          <value t="str">
            <val>13:29:29</val>
          </value>
        </values>
      </ddeItem>
      <ddeItem name="2504.TW-ID" advise="1">
        <values>
          <value t="str">
            <val>2504</val>
          </value>
        </values>
      </ddeItem>
      <ddeItem name="2504.TW-Name" advise="1">
        <values>
          <value t="str">
            <val>國產</val>
          </value>
        </values>
      </ddeItem>
      <ddeItem name="2504.TW-PreClose" advise="1">
        <values>
          <value>
            <val>13.65</val>
          </value>
        </values>
      </ddeItem>
      <ddeItem name="2504.TW-Price" advise="1">
        <values>
          <value>
            <val>13.8</val>
          </value>
        </values>
      </ddeItem>
      <ddeItem name="2504.TW-SimulatePrice" advise="1">
        <values>
          <value>
            <val>13.8</val>
          </value>
        </values>
      </ddeItem>
      <ddeItem name="2504.TW-SimulateTime" advise="1">
        <values>
          <value t="str">
            <val>13:29:58</val>
          </value>
        </values>
      </ddeItem>
      <ddeItem name="2505.TW-ID" advise="1">
        <values>
          <value t="str">
            <val>2505</val>
          </value>
        </values>
      </ddeItem>
      <ddeItem name="2505.TW-Name" advise="1">
        <values>
          <value t="str">
            <val>國揚</val>
          </value>
        </values>
      </ddeItem>
      <ddeItem name="2505.TW-PreClose" advise="1">
        <values>
          <value>
            <val>19.850000000000001</val>
          </value>
        </values>
      </ddeItem>
      <ddeItem name="2505.TW-Price" advise="1">
        <values>
          <value>
            <val>19.649999999999999</val>
          </value>
        </values>
      </ddeItem>
      <ddeItem name="2505.TW-SimulatePrice" advise="1">
        <values>
          <value>
            <val>19.649999999999999</val>
          </value>
        </values>
      </ddeItem>
      <ddeItem name="2505.TW-SimulateTime" advise="1">
        <values>
          <value t="str">
            <val>13:29:59</val>
          </value>
        </values>
      </ddeItem>
      <ddeItem name="2506.TW-ID" advise="1">
        <values>
          <value t="str">
            <val>2506</val>
          </value>
        </values>
      </ddeItem>
      <ddeItem name="2506.TW-Name" advise="1">
        <values>
          <value t="str">
            <val>太設</val>
          </value>
        </values>
      </ddeItem>
      <ddeItem name="2506.TW-PreClose" advise="1">
        <values>
          <value>
            <val>9.0399999999999991</val>
          </value>
        </values>
      </ddeItem>
      <ddeItem name="2506.TW-Price" advise="1">
        <values>
          <value>
            <val>9.02</val>
          </value>
        </values>
      </ddeItem>
      <ddeItem name="2506.TW-SimulatePrice" advise="1">
        <values>
          <value>
            <val>9.02</val>
          </value>
        </values>
      </ddeItem>
      <ddeItem name="2506.TW-SimulateTime" advise="1">
        <values>
          <value t="str">
            <val>13:29:21</val>
          </value>
        </values>
      </ddeItem>
      <ddeItem name="2509.TW-ID" advise="1">
        <values>
          <value t="str">
            <val>2509</val>
          </value>
        </values>
      </ddeItem>
      <ddeItem name="2509.TW-Name" advise="1">
        <values>
          <value t="str">
            <val>全坤建</val>
          </value>
        </values>
      </ddeItem>
      <ddeItem name="2509.TW-PreClose" advise="1">
        <values>
          <value>
            <val>20.6</val>
          </value>
        </values>
      </ddeItem>
      <ddeItem name="2509.TW-Price" advise="1">
        <values>
          <value>
            <val>20.25</val>
          </value>
        </values>
      </ddeItem>
      <ddeItem name="2509.TW-SimulatePrice" advise="1">
        <values>
          <value>
            <val>20.25</val>
          </value>
        </values>
      </ddeItem>
      <ddeItem name="2509.TW-SimulateTime" advise="1">
        <values>
          <value t="str">
            <val>13:29:27</val>
          </value>
        </values>
      </ddeItem>
      <ddeItem name="2511.TW-ID" advise="1">
        <values>
          <value t="str">
            <val>2511</val>
          </value>
        </values>
      </ddeItem>
      <ddeItem name="2511.TW-Name" advise="1">
        <values>
          <value t="str">
            <val>太子</val>
          </value>
        </values>
      </ddeItem>
      <ddeItem name="2511.TW-PreClose" advise="1">
        <values>
          <value>
            <val>9.7100000000000009</val>
          </value>
        </values>
      </ddeItem>
      <ddeItem name="2511.TW-Price" advise="1">
        <values>
          <value>
            <val>9.7100000000000009</val>
          </value>
        </values>
      </ddeItem>
      <ddeItem name="2511.TW-SimulatePrice" advise="1">
        <values>
          <value>
            <val>9.7100000000000009</val>
          </value>
        </values>
      </ddeItem>
      <ddeItem name="2511.TW-SimulateTime" advise="1">
        <values>
          <value t="str">
            <val>13:29:52</val>
          </value>
        </values>
      </ddeItem>
      <ddeItem name="2514.TW-ID" advise="1">
        <values>
          <value t="str">
            <val>2514</val>
          </value>
        </values>
      </ddeItem>
      <ddeItem name="2514.TW-Name" advise="1">
        <values>
          <value t="str">
            <val>龍邦</val>
          </value>
        </values>
      </ddeItem>
      <ddeItem name="2514.TW-PreClose" advise="1">
        <values>
          <value>
            <val>15</val>
          </value>
        </values>
      </ddeItem>
      <ddeItem name="2514.TW-Price" advise="1">
        <values>
          <value>
            <val>14.75</val>
          </value>
        </values>
      </ddeItem>
      <ddeItem name="2514.TW-SimulatePrice" advise="1">
        <values>
          <value>
            <val>14.75</val>
          </value>
        </values>
      </ddeItem>
      <ddeItem name="2514.TW-SimulateTime" advise="1">
        <values>
          <value t="str">
            <val>13:28:54</val>
          </value>
        </values>
      </ddeItem>
      <ddeItem name="2515.TW-ID" advise="1">
        <values>
          <value t="str">
            <val>2515</val>
          </value>
        </values>
      </ddeItem>
      <ddeItem name="2515.TW-Name" advise="1">
        <values>
          <value t="str">
            <val>中工</val>
          </value>
        </values>
      </ddeItem>
      <ddeItem name="2515.TW-PreClose" advise="1">
        <values>
          <value>
            <val>6.78</val>
          </value>
        </values>
      </ddeItem>
      <ddeItem name="2515.TW-Price" advise="1">
        <values>
          <value>
            <val>6.74</val>
          </value>
        </values>
      </ddeItem>
      <ddeItem name="2515.TW-SimulatePrice" advise="1">
        <values>
          <value>
            <val>6.74</val>
          </value>
        </values>
      </ddeItem>
      <ddeItem name="2515.TW-SimulateTime" advise="1">
        <values>
          <value t="str">
            <val>13:29:58</val>
          </value>
        </values>
      </ddeItem>
      <ddeItem name="2516.TW-ID" advise="1">
        <values>
          <value t="str">
            <val>2516</val>
          </value>
        </values>
      </ddeItem>
      <ddeItem name="2516.TW-Name" advise="1">
        <values>
          <value t="str">
            <val>新建</val>
          </value>
        </values>
      </ddeItem>
      <ddeItem name="2516.TW-PreClose" advise="1">
        <values>
          <value>
            <val>4.5999999999999996</val>
          </value>
        </values>
      </ddeItem>
      <ddeItem name="2516.TW-Price" advise="1">
        <values>
          <value>
            <val>4.5599999999999996</val>
          </value>
        </values>
      </ddeItem>
      <ddeItem name="2516.TW-SimulatePrice" advise="1">
        <values>
          <value>
            <val>4.5599999999999996</val>
          </value>
        </values>
      </ddeItem>
      <ddeItem name="2516.TW-SimulateTime" advise="1">
        <values>
          <value t="str">
            <val>13:29:38</val>
          </value>
        </values>
      </ddeItem>
      <ddeItem name="2520.TW-ID" advise="1">
        <values>
          <value t="str">
            <val>2520</val>
          </value>
        </values>
      </ddeItem>
      <ddeItem name="2520.TW-Name" advise="1">
        <values>
          <value t="str">
            <val>冠德</val>
          </value>
        </values>
      </ddeItem>
      <ddeItem name="2520.TW-PreClose" advise="1">
        <values>
          <value>
            <val>25.7</val>
          </value>
        </values>
      </ddeItem>
      <ddeItem name="2520.TW-Price" advise="1">
        <values>
          <value>
            <val>25.35</val>
          </value>
        </values>
      </ddeItem>
      <ddeItem name="2520.TW-SimulatePrice" advise="1">
        <values>
          <value>
            <val>25.3</val>
          </value>
        </values>
      </ddeItem>
      <ddeItem name="2520.TW-SimulateTime" advise="1">
        <values>
          <value t="str">
            <val>13:29:59</val>
          </value>
        </values>
      </ddeItem>
      <ddeItem name="2524.TW-ID" advise="1">
        <values>
          <value t="str">
            <val>2524</val>
          </value>
        </values>
      </ddeItem>
      <ddeItem name="2524.TW-Name" advise="1">
        <values>
          <value t="str">
            <val>京城</val>
          </value>
        </values>
      </ddeItem>
      <ddeItem name="2524.TW-PreClose" advise="1">
        <values>
          <value>
            <val>31.7</val>
          </value>
        </values>
      </ddeItem>
      <ddeItem name="2524.TW-Price" advise="1">
        <values>
          <value>
            <val>31.3</val>
          </value>
        </values>
      </ddeItem>
      <ddeItem name="2524.TW-SimulatePrice" advise="1">
        <values>
          <value>
            <val>31.3</val>
          </value>
        </values>
      </ddeItem>
      <ddeItem name="2524.TW-SimulateTime" advise="1">
        <values>
          <value t="str">
            <val>13:29:59</val>
          </value>
        </values>
      </ddeItem>
      <ddeItem name="2527.TW-ID" advise="1">
        <values>
          <value t="str">
            <val>2527</val>
          </value>
        </values>
      </ddeItem>
      <ddeItem name="2527.TW-Name" advise="1">
        <values>
          <value t="str">
            <val>宏璟</val>
          </value>
        </values>
      </ddeItem>
      <ddeItem name="2527.TW-PreClose" advise="1">
        <values>
          <value>
            <val>19.600000000000001</val>
          </value>
        </values>
      </ddeItem>
      <ddeItem name="2527.TW-Price" advise="1">
        <values>
          <value>
            <val>19.600000000000001</val>
          </value>
        </values>
      </ddeItem>
      <ddeItem name="2527.TW-SimulatePrice" advise="1">
        <values>
          <value>
            <val>19.600000000000001</val>
          </value>
        </values>
      </ddeItem>
      <ddeItem name="2527.TW-SimulateTime" advise="1">
        <values>
          <value t="str">
            <val>13:29:37</val>
          </value>
        </values>
      </ddeItem>
      <ddeItem name="2528.TW-ID" advise="1">
        <values>
          <value t="str">
            <val>2528</val>
          </value>
        </values>
      </ddeItem>
      <ddeItem name="2528.TW-Name" advise="1">
        <values>
          <value t="str">
            <val>皇普</val>
          </value>
        </values>
      </ddeItem>
      <ddeItem name="2528.TW-PreClose" advise="1">
        <values>
          <value>
            <val>19.7</val>
          </value>
        </values>
      </ddeItem>
      <ddeItem name="2528.TW-Price" advise="1">
        <values>
          <value>
            <val>20</val>
          </value>
        </values>
      </ddeItem>
      <ddeItem name="2528.TW-SimulatePrice" advise="1">
        <values>
          <value>
            <val>20</val>
          </value>
        </values>
      </ddeItem>
      <ddeItem name="2528.TW-SimulateTime" advise="1">
        <values>
          <value t="str">
            <val>13:29:52</val>
          </value>
        </values>
      </ddeItem>
      <ddeItem name="2530.TW-ID" advise="1">
        <values>
          <value t="str">
            <val>2530</val>
          </value>
        </values>
      </ddeItem>
      <ddeItem name="2530.TW-Name" advise="1">
        <values>
          <value t="str">
            <val>華建</val>
          </value>
        </values>
      </ddeItem>
      <ddeItem name="2530.TW-PreClose" advise="1">
        <values>
          <value>
            <val>15.9</val>
          </value>
        </values>
      </ddeItem>
      <ddeItem name="2530.TW-Price" advise="1">
        <values>
          <value>
            <val>16.25</val>
          </value>
        </values>
      </ddeItem>
      <ddeItem name="2530.TW-SimulatePrice" advise="1">
        <values>
          <value>
            <val>16.25</val>
          </value>
        </values>
      </ddeItem>
      <ddeItem name="2530.TW-SimulateTime" advise="1">
        <values>
          <value t="str">
            <val>13:29:58</val>
          </value>
        </values>
      </ddeItem>
      <ddeItem name="2534.TW-ID" advise="1">
        <values>
          <value t="str">
            <val>2534</val>
          </value>
        </values>
      </ddeItem>
      <ddeItem name="2534.TW-Name" advise="1">
        <values>
          <value t="str">
            <val>宏盛</val>
          </value>
        </values>
      </ddeItem>
      <ddeItem name="2534.TW-PreClose" advise="1">
        <values>
          <value>
            <val>16.7</val>
          </value>
        </values>
      </ddeItem>
      <ddeItem name="2534.TW-Price" advise="1">
        <values>
          <value>
            <val>16.899999999999999</val>
          </value>
        </values>
      </ddeItem>
      <ddeItem name="2534.TW-SimulatePrice" advise="1">
        <values>
          <value>
            <val>16.899999999999999</val>
          </value>
        </values>
      </ddeItem>
      <ddeItem name="2534.TW-SimulateTime" advise="1">
        <values>
          <value t="str">
            <val>13:29:40</val>
          </value>
        </values>
      </ddeItem>
      <ddeItem name="2535.TW-ID" advise="1">
        <values>
          <value t="str">
            <val>2535</val>
          </value>
        </values>
      </ddeItem>
      <ddeItem name="2535.TW-Name" advise="1">
        <values>
          <value t="str">
            <val>達欣工</val>
          </value>
        </values>
      </ddeItem>
      <ddeItem name="2535.TW-PreClose" advise="1">
        <values>
          <value>
            <val>21.45</val>
          </value>
        </values>
      </ddeItem>
      <ddeItem name="2535.TW-Price" advise="1">
        <values>
          <value>
            <val>21.4</val>
          </value>
        </values>
      </ddeItem>
      <ddeItem name="2535.TW-SimulatePrice" advise="1">
        <values>
          <value>
            <val>21.4</val>
          </value>
        </values>
      </ddeItem>
      <ddeItem name="2535.TW-SimulateTime" advise="1">
        <values>
          <value t="str">
            <val>13:29:56</val>
          </value>
        </values>
      </ddeItem>
      <ddeItem name="2536.TW-ID" advise="1">
        <values>
          <value t="str">
            <val>2536</val>
          </value>
        </values>
      </ddeItem>
      <ddeItem name="2536.TW-Name" advise="1">
        <values>
          <value t="str">
            <val>宏普</val>
          </value>
        </values>
      </ddeItem>
      <ddeItem name="2536.TW-PreClose" advise="1">
        <values>
          <value>
            <val>22.95</val>
          </value>
        </values>
      </ddeItem>
      <ddeItem name="2536.TW-Price" advise="1">
        <values>
          <value>
            <val>22.85</val>
          </value>
        </values>
      </ddeItem>
      <ddeItem name="2536.TW-SimulatePrice" advise="1">
        <values>
          <value>
            <val>22.85</val>
          </value>
        </values>
      </ddeItem>
      <ddeItem name="2536.TW-SimulateTime" advise="1">
        <values>
          <value t="str">
            <val>13:29:39</val>
          </value>
        </values>
      </ddeItem>
      <ddeItem name="2537.TW-ID" advise="1">
        <values>
          <value t="str">
            <val>2537</val>
          </value>
        </values>
      </ddeItem>
      <ddeItem name="2537.TW-Name" advise="1">
        <values>
          <value t="str">
            <val>聯上發</val>
          </value>
        </values>
      </ddeItem>
      <ddeItem name="2537.TW-PreClose" advise="1">
        <values>
          <value>
            <val>9.91</val>
          </value>
        </values>
      </ddeItem>
      <ddeItem name="2537.TW-Price" advise="1">
        <values>
          <value>
            <val>9.7899999999999991</val>
          </value>
        </values>
      </ddeItem>
      <ddeItem name="2537.TW-SimulatePrice" advise="1">
        <values>
          <value>
            <val>9.7899999999999991</val>
          </value>
        </values>
      </ddeItem>
      <ddeItem name="2537.TW-SimulateTime" advise="1">
        <values>
          <value t="str">
            <val>13:29:57</val>
          </value>
        </values>
      </ddeItem>
      <ddeItem name="2538.TW-ID" advise="1">
        <values>
          <value t="str">
            <val>2538</val>
          </value>
        </values>
      </ddeItem>
      <ddeItem name="2538.TW-Name" advise="1">
        <values>
          <value t="str">
            <val>基泰</val>
          </value>
        </values>
      </ddeItem>
      <ddeItem name="2538.TW-PreClose" advise="1">
        <values>
          <value>
            <val>9.73</val>
          </value>
        </values>
      </ddeItem>
      <ddeItem name="2538.TW-Price" advise="1">
        <values>
          <value>
            <val>9.68</val>
          </value>
        </values>
      </ddeItem>
      <ddeItem name="2538.TW-SimulatePrice" advise="1">
        <values>
          <value>
            <val>9.68</val>
          </value>
        </values>
      </ddeItem>
      <ddeItem name="2538.TW-SimulateTime" advise="1">
        <values>
          <value t="str">
            <val>13:29:34</val>
          </value>
        </values>
      </ddeItem>
      <ddeItem name="2539.TW-ID" advise="1">
        <values>
          <value t="str">
            <val>2539</val>
          </value>
        </values>
      </ddeItem>
      <ddeItem name="2539.TW-Name" advise="1">
        <values>
          <value t="str">
            <val>櫻花建</val>
          </value>
        </values>
      </ddeItem>
      <ddeItem name="2539.TW-PreClose" advise="1">
        <values>
          <value>
            <val>33.700000000000003</val>
          </value>
        </values>
      </ddeItem>
      <ddeItem name="2539.TW-Price" advise="1">
        <values>
          <value>
            <val>33.6</val>
          </value>
        </values>
      </ddeItem>
      <ddeItem name="2539.TW-SimulatePrice" advise="1">
        <values>
          <value>
            <val>33.6</val>
          </value>
        </values>
      </ddeItem>
      <ddeItem name="2539.TW-SimulateTime" advise="1">
        <values>
          <value t="str">
            <val>13:29:56</val>
          </value>
        </values>
      </ddeItem>
      <ddeItem name="2540.TW-ID" advise="1">
        <values>
          <value t="str">
            <val>2540</val>
          </value>
        </values>
      </ddeItem>
      <ddeItem name="2540.TW-Name" advise="1">
        <values>
          <value t="str">
            <val>愛山林</val>
          </value>
        </values>
      </ddeItem>
      <ddeItem name="2540.TW-PreClose" advise="1">
        <values>
          <value>
            <val>28.5</val>
          </value>
        </values>
      </ddeItem>
      <ddeItem name="2540.TW-Price" advise="1">
        <values>
          <value>
            <val>28.7</val>
          </value>
        </values>
      </ddeItem>
      <ddeItem name="2540.TW-SimulatePrice" advise="1">
        <values>
          <value>
            <val>28.7</val>
          </value>
        </values>
      </ddeItem>
      <ddeItem name="2540.TW-SimulateTime" advise="1">
        <values>
          <value t="str">
            <val>13:29:50</val>
          </value>
        </values>
      </ddeItem>
      <ddeItem name="2542.TW-ID" advise="1">
        <values>
          <value t="str">
            <val>2542</val>
          </value>
        </values>
      </ddeItem>
      <ddeItem name="2542.TW-Name" advise="1">
        <values>
          <value t="str">
            <val>興富發</val>
          </value>
        </values>
      </ddeItem>
      <ddeItem name="2542.TW-PreClose" advise="1">
        <values>
          <value>
            <val>43.05</val>
          </value>
        </values>
      </ddeItem>
      <ddeItem name="2542.TW-Price" advise="1">
        <values>
          <value>
            <val>43.55</val>
          </value>
        </values>
      </ddeItem>
      <ddeItem name="2542.TW-SimulatePrice" advise="1">
        <values>
          <value>
            <val>43.55</val>
          </value>
        </values>
      </ddeItem>
      <ddeItem name="2542.TW-SimulateTime" advise="1">
        <values>
          <value t="str">
            <val>13:29:56</val>
          </value>
        </values>
      </ddeItem>
      <ddeItem name="2543.TW-ID" advise="1">
        <values>
          <value t="str">
            <val>2543</val>
          </value>
        </values>
      </ddeItem>
      <ddeItem name="2543.TW-Name" advise="1">
        <values>
          <value t="str">
            <val>皇昌</val>
          </value>
        </values>
      </ddeItem>
      <ddeItem name="2543.TW-PreClose" advise="1">
        <values>
          <value>
            <val>6.5</val>
          </value>
        </values>
      </ddeItem>
      <ddeItem name="2543.TW-Price" advise="1">
        <values>
          <value>
            <val>6.56</val>
          </value>
        </values>
      </ddeItem>
      <ddeItem name="2543.TW-SimulatePrice" advise="1">
        <values>
          <value t="str">
            <val>--</val>
          </value>
        </values>
      </ddeItem>
      <ddeItem name="2543.TW-SimulateTime" advise="1">
        <values>
          <value t="str">
            <val>--</val>
          </value>
        </values>
      </ddeItem>
      <ddeItem name="2545.TW-ID" advise="1">
        <values>
          <value t="str">
            <val>2545</val>
          </value>
        </values>
      </ddeItem>
      <ddeItem name="2545.TW-Name" advise="1">
        <values>
          <value t="str">
            <val>皇翔</val>
          </value>
        </values>
      </ddeItem>
      <ddeItem name="2545.TW-PreClose" advise="1">
        <values>
          <value>
            <val>33</val>
          </value>
        </values>
      </ddeItem>
      <ddeItem name="2545.TW-Price" advise="1">
        <values>
          <value>
            <val>33</val>
          </value>
        </values>
      </ddeItem>
      <ddeItem name="2545.TW-SimulatePrice" advise="1">
        <values>
          <value>
            <val>33</val>
          </value>
        </values>
      </ddeItem>
      <ddeItem name="2545.TW-SimulateTime" advise="1">
        <values>
          <value t="str">
            <val>13:29:58</val>
          </value>
        </values>
      </ddeItem>
      <ddeItem name="2546.TW-ID" advise="1">
        <values>
          <value t="str">
            <val>2546</val>
          </value>
        </values>
      </ddeItem>
      <ddeItem name="2546.TW-Name" advise="1">
        <values>
          <value t="str">
            <val>根基</val>
          </value>
        </values>
      </ddeItem>
      <ddeItem name="2546.TW-PreClose" advise="1">
        <values>
          <value>
            <val>37.9</val>
          </value>
        </values>
      </ddeItem>
      <ddeItem name="2546.TW-Price" advise="1">
        <values>
          <value>
            <val>37.85</val>
          </value>
        </values>
      </ddeItem>
      <ddeItem name="2546.TW-SimulatePrice" advise="1">
        <values>
          <value>
            <val>37.85</val>
          </value>
        </values>
      </ddeItem>
      <ddeItem name="2546.TW-SimulateTime" advise="1">
        <values>
          <value t="str">
            <val>13:29:59</val>
          </value>
        </values>
      </ddeItem>
      <ddeItem name="2547.TW-ID" advise="1">
        <values>
          <value t="str">
            <val>2547</val>
          </value>
        </values>
      </ddeItem>
      <ddeItem name="2547.TW-Name" advise="1">
        <values>
          <value t="str">
            <val>日勝生</val>
          </value>
        </values>
      </ddeItem>
      <ddeItem name="2547.TW-PreClose" advise="1">
        <values>
          <value>
            <val>9.84</val>
          </value>
        </values>
      </ddeItem>
      <ddeItem name="2547.TW-Price" advise="1">
        <values>
          <value>
            <val>9.7200000000000006</val>
          </value>
        </values>
      </ddeItem>
      <ddeItem name="2547.TW-SimulatePrice" advise="1">
        <values>
          <value>
            <val>9.7200000000000006</val>
          </value>
        </values>
      </ddeItem>
      <ddeItem name="2547.TW-SimulateTime" advise="1">
        <values>
          <value t="str">
            <val>13:29:54</val>
          </value>
        </values>
      </ddeItem>
      <ddeItem name="2548.TW-ID" advise="1">
        <values>
          <value t="str">
            <val>2548</val>
          </value>
        </values>
      </ddeItem>
      <ddeItem name="2548.TW-Name" advise="1">
        <values>
          <value t="str">
            <val>華固</val>
          </value>
        </values>
      </ddeItem>
      <ddeItem name="2548.TW-PreClose" advise="1">
        <values>
          <value>
            <val>91</val>
          </value>
        </values>
      </ddeItem>
      <ddeItem name="2548.TW-Price" advise="1">
        <values>
          <value>
            <val>90.4</val>
          </value>
        </values>
      </ddeItem>
      <ddeItem name="2548.TW-SimulatePrice" advise="1">
        <values>
          <value>
            <val>90.4</val>
          </value>
        </values>
      </ddeItem>
      <ddeItem name="2548.TW-SimulateTime" advise="1">
        <values>
          <value t="str">
            <val>13:29:50</val>
          </value>
        </values>
      </ddeItem>
      <ddeItem name="2597.TW-ID" advise="1">
        <values>
          <value t="str">
            <val>2597</val>
          </value>
        </values>
      </ddeItem>
      <ddeItem name="2597.TW-Name" advise="1">
        <values>
          <value t="str">
            <val>潤弘</val>
          </value>
        </values>
      </ddeItem>
      <ddeItem name="2597.TW-PreClose" advise="1">
        <values>
          <value>
            <val>62.3</val>
          </value>
        </values>
      </ddeItem>
      <ddeItem name="2597.TW-Price" advise="1">
        <values>
          <value>
            <val>61.8</val>
          </value>
        </values>
      </ddeItem>
      <ddeItem name="2597.TW-SimulatePrice" advise="1">
        <values>
          <value>
            <val>61.8</val>
          </value>
        </values>
      </ddeItem>
      <ddeItem name="2597.TW-SimulateTime" advise="1">
        <values>
          <value t="str">
            <val>13:29:54</val>
          </value>
        </values>
      </ddeItem>
      <ddeItem name="2601.TW-ID" advise="1">
        <values>
          <value t="str">
            <val>2601</val>
          </value>
        </values>
      </ddeItem>
      <ddeItem name="2601.TW-Name" advise="1">
        <values>
          <value t="str">
            <val>益航</val>
          </value>
        </values>
      </ddeItem>
      <ddeItem name="2601.TW-PreClose" advise="1">
        <values>
          <value>
            <val>9.6999999999999993</val>
          </value>
        </values>
      </ddeItem>
      <ddeItem name="2601.TW-Price" advise="1">
        <values>
          <value>
            <val>9.7100000000000009</val>
          </value>
        </values>
      </ddeItem>
      <ddeItem name="2601.TW-SimulatePrice" advise="1">
        <values>
          <value>
            <val>9.7100000000000009</val>
          </value>
        </values>
      </ddeItem>
      <ddeItem name="2601.TW-SimulateTime" advise="1">
        <values>
          <value t="str">
            <val>13:29:59</val>
          </value>
        </values>
      </ddeItem>
      <ddeItem name="2603.TW-ID" advise="1">
        <values>
          <value t="str">
            <val>2603</val>
          </value>
        </values>
      </ddeItem>
      <ddeItem name="2603.TW-Name" advise="1">
        <values>
          <value t="str">
            <val>長榮</val>
          </value>
        </values>
      </ddeItem>
      <ddeItem name="2603.TW-PreClose" advise="1">
        <values>
          <value>
            <val>10.35</val>
          </value>
        </values>
      </ddeItem>
      <ddeItem name="2603.TW-Price" advise="1">
        <values>
          <value>
            <val>10.45</val>
          </value>
        </values>
      </ddeItem>
      <ddeItem name="2603.TW-SimulatePrice" advise="1">
        <values>
          <value>
            <val>10.45</val>
          </value>
        </values>
      </ddeItem>
      <ddeItem name="2603.TW-SimulateTime" advise="1">
        <values>
          <value t="str">
            <val>13:29:58</val>
          </value>
        </values>
      </ddeItem>
      <ddeItem name="2605.TW-ID" advise="1">
        <values>
          <value t="str">
            <val>2605</val>
          </value>
        </values>
      </ddeItem>
      <ddeItem name="2605.TW-Name" advise="1">
        <values>
          <value t="str">
            <val>新興</val>
          </value>
        </values>
      </ddeItem>
      <ddeItem name="2605.TW-PreClose" advise="1">
        <values>
          <value>
            <val>13.85</val>
          </value>
        </values>
      </ddeItem>
      <ddeItem name="2605.TW-Price" advise="1">
        <values>
          <value>
            <val>13.6</val>
          </value>
        </values>
      </ddeItem>
      <ddeItem name="2605.TW-SimulatePrice" advise="1">
        <values>
          <value>
            <val>13.6</val>
          </value>
        </values>
      </ddeItem>
      <ddeItem name="2605.TW-SimulateTime" advise="1">
        <values>
          <value t="str">
            <val>13:29:57</val>
          </value>
        </values>
      </ddeItem>
      <ddeItem name="2606.TW-ID" advise="1">
        <values>
          <value t="str">
            <val>2606</val>
          </value>
        </values>
      </ddeItem>
      <ddeItem name="2606.TW-Name" advise="1">
        <values>
          <value t="str">
            <val>裕民</val>
          </value>
        </values>
      </ddeItem>
      <ddeItem name="2606.TW-PreClose" advise="1">
        <values>
          <value>
            <val>28.1</val>
          </value>
        </values>
      </ddeItem>
      <ddeItem name="2606.TW-Price" advise="1">
        <values>
          <value>
            <val>28</val>
          </value>
        </values>
      </ddeItem>
      <ddeItem name="2606.TW-SimulatePrice" advise="1">
        <values>
          <value>
            <val>28</val>
          </value>
        </values>
      </ddeItem>
      <ddeItem name="2606.TW-SimulateTime" advise="1">
        <values>
          <value t="str">
            <val>13:29:57</val>
          </value>
        </values>
      </ddeItem>
      <ddeItem name="2607.TW-ID" advise="1">
        <values>
          <value t="str">
            <val>2607</val>
          </value>
        </values>
      </ddeItem>
      <ddeItem name="2607.TW-Name" advise="1">
        <values>
          <value t="str">
            <val>榮運</val>
          </value>
        </values>
      </ddeItem>
      <ddeItem name="2607.TW-PreClose" advise="1">
        <values>
          <value>
            <val>12.75</val>
          </value>
        </values>
      </ddeItem>
      <ddeItem name="2607.TW-Price" advise="1">
        <values>
          <value>
            <val>12.8</val>
          </value>
        </values>
      </ddeItem>
      <ddeItem name="2607.TW-SimulatePrice" advise="1">
        <values>
          <value>
            <val>12.8</val>
          </value>
        </values>
      </ddeItem>
      <ddeItem name="2607.TW-SimulateTime" advise="1">
        <values>
          <value t="str">
            <val>13:29:49</val>
          </value>
        </values>
      </ddeItem>
      <ddeItem name="2608.TW-ID" advise="1">
        <values>
          <value t="str">
            <val>2608</val>
          </value>
        </values>
      </ddeItem>
      <ddeItem name="2608.TW-Name" advise="1">
        <values>
          <value t="str">
            <val>嘉里大榮</val>
          </value>
        </values>
      </ddeItem>
      <ddeItem name="2608.TW-PreClose" advise="1">
        <values>
          <value>
            <val>39.200000000000003</val>
          </value>
        </values>
      </ddeItem>
      <ddeItem name="2608.TW-Price" advise="1">
        <values>
          <value>
            <val>39.85</val>
          </value>
        </values>
      </ddeItem>
      <ddeItem name="2608.TW-SimulatePrice" advise="1">
        <values>
          <value>
            <val>39.85</val>
          </value>
        </values>
      </ddeItem>
      <ddeItem name="2608.TW-SimulateTime" advise="1">
        <values>
          <value t="str">
            <val>13:29:41</val>
          </value>
        </values>
      </ddeItem>
      <ddeItem name="2609.TW-ID" advise="1">
        <values>
          <value t="str">
            <val>2609</val>
          </value>
        </values>
      </ddeItem>
      <ddeItem name="2609.TW-Name" advise="1">
        <values>
          <value t="str">
            <val>陽明</val>
          </value>
        </values>
      </ddeItem>
      <ddeItem name="2609.TW-PreClose" advise="1">
        <values>
          <value>
            <val>6.39</val>
          </value>
        </values>
      </ddeItem>
      <ddeItem name="2609.TW-Price" advise="1">
        <values>
          <value>
            <val>6.32</val>
          </value>
        </values>
      </ddeItem>
      <ddeItem name="2609.TW-SimulatePrice" advise="1">
        <values>
          <value>
            <val>6.32</val>
          </value>
        </values>
      </ddeItem>
      <ddeItem name="2609.TW-SimulateTime" advise="1">
        <values>
          <value t="str">
            <val>13:29:52</val>
          </value>
        </values>
      </ddeItem>
      <ddeItem name="2610.TW-ID" advise="1">
        <values>
          <value t="str">
            <val>2610</val>
          </value>
        </values>
      </ddeItem>
      <ddeItem name="2610.TW-Name" advise="1">
        <values>
          <value t="str">
            <val>華航</val>
          </value>
        </values>
      </ddeItem>
      <ddeItem name="2610.TW-PreClose" advise="1">
        <values>
          <value>
            <val>8.0399999999999991</val>
          </value>
        </values>
      </ddeItem>
      <ddeItem name="2610.TW-Price" advise="1">
        <values>
          <value>
            <val>8.0299999999999994</val>
          </value>
        </values>
      </ddeItem>
      <ddeItem name="2610.TW-SimulatePrice" advise="1">
        <values>
          <value>
            <val>8.0299999999999994</val>
          </value>
        </values>
      </ddeItem>
      <ddeItem name="2610.TW-SimulateTime" advise="1">
        <values>
          <value t="str">
            <val>13:29:56</val>
          </value>
        </values>
      </ddeItem>
      <ddeItem name="2611.TW-ID" advise="1">
        <values>
          <value t="str">
            <val>2611</val>
          </value>
        </values>
      </ddeItem>
      <ddeItem name="2611.TW-Name" advise="1">
        <values>
          <value t="str">
            <val>志信</val>
          </value>
        </values>
      </ddeItem>
      <ddeItem name="2611.TW-PreClose" advise="1">
        <values>
          <value>
            <val>6.01</val>
          </value>
        </values>
      </ddeItem>
      <ddeItem name="2611.TW-Price" advise="1">
        <values>
          <value>
            <val>6.09</val>
          </value>
        </values>
      </ddeItem>
      <ddeItem name="2611.TW-SimulatePrice" advise="1">
        <values>
          <value t="str">
            <val>--</val>
          </value>
        </values>
      </ddeItem>
      <ddeItem name="2611.TW-SimulateTime" advise="1">
        <values>
          <value t="str">
            <val>--</val>
          </value>
        </values>
      </ddeItem>
      <ddeItem name="2612.TW-ID" advise="1">
        <values>
          <value t="str">
            <val>2612</val>
          </value>
        </values>
      </ddeItem>
      <ddeItem name="2612.TW-Name" advise="1">
        <values>
          <value t="str">
            <val>中航</val>
          </value>
        </values>
      </ddeItem>
      <ddeItem name="2612.TW-PreClose" advise="1">
        <values>
          <value>
            <val>22.8</val>
          </value>
        </values>
      </ddeItem>
      <ddeItem name="2612.TW-Price" advise="1">
        <values>
          <value>
            <val>22.8</val>
          </value>
        </values>
      </ddeItem>
      <ddeItem name="2612.TW-SimulatePrice" advise="1">
        <values>
          <value>
            <val>22.8</val>
          </value>
        </values>
      </ddeItem>
      <ddeItem name="2612.TW-SimulateTime" advise="1">
        <values>
          <value t="str">
            <val>13:29:55</val>
          </value>
        </values>
      </ddeItem>
      <ddeItem name="2613.TW-ID" advise="1">
        <values>
          <value t="str">
            <val>2613</val>
          </value>
        </values>
      </ddeItem>
      <ddeItem name="2613.TW-Name" advise="1">
        <values>
          <value t="str">
            <val>中櫃</val>
          </value>
        </values>
      </ddeItem>
      <ddeItem name="2613.TW-PreClose" advise="1">
        <values>
          <value>
            <val>13.2</val>
          </value>
        </values>
      </ddeItem>
      <ddeItem name="2613.TW-Price" advise="1">
        <values>
          <value>
            <val>13.35</val>
          </value>
        </values>
      </ddeItem>
      <ddeItem name="2613.TW-SimulatePrice" advise="1">
        <values>
          <value t="str">
            <val>--</val>
          </value>
        </values>
      </ddeItem>
      <ddeItem name="2613.TW-SimulateTime" advise="1">
        <values>
          <value t="str">
            <val>--</val>
          </value>
        </values>
      </ddeItem>
      <ddeItem name="2614.TW-ID" advise="1">
        <values>
          <value t="str">
            <val>2614</val>
          </value>
        </values>
      </ddeItem>
      <ddeItem name="2614.TW-Name" advise="1">
        <values>
          <value t="str">
            <val>東森</val>
          </value>
        </values>
      </ddeItem>
      <ddeItem name="2614.TW-PreClose" advise="1">
        <values>
          <value>
            <val>17.45</val>
          </value>
        </values>
      </ddeItem>
      <ddeItem name="2614.TW-Price" advise="1">
        <values>
          <value>
            <val>15.75</val>
          </value>
        </values>
      </ddeItem>
      <ddeItem name="2614.TW-SimulatePrice" advise="1">
        <values>
          <value>
            <val>15.75</val>
          </value>
        </values>
      </ddeItem>
      <ddeItem name="2614.TW-SimulateTime" advise="1">
        <values>
          <value t="str">
            <val>13:29:49</val>
          </value>
        </values>
      </ddeItem>
      <ddeItem name="2615.TW-ID" advise="1">
        <values>
          <value t="str">
            <val>2615</val>
          </value>
        </values>
      </ddeItem>
      <ddeItem name="2615.TW-Name" advise="1">
        <values>
          <value t="str">
            <val>萬海</val>
          </value>
        </values>
      </ddeItem>
      <ddeItem name="2615.TW-PreClose" advise="1">
        <values>
          <value>
            <val>15.6</val>
          </value>
        </values>
      </ddeItem>
      <ddeItem name="2615.TW-Price" advise="1">
        <values>
          <value>
            <val>15.55</val>
          </value>
        </values>
      </ddeItem>
      <ddeItem name="2615.TW-SimulatePrice" advise="1">
        <values>
          <value>
            <val>15.55</val>
          </value>
        </values>
      </ddeItem>
      <ddeItem name="2615.TW-SimulateTime" advise="1">
        <values>
          <value t="str">
            <val>13:27:59</val>
          </value>
        </values>
      </ddeItem>
      <ddeItem name="2616.TW-ID" advise="1">
        <values>
          <value t="str">
            <val>2616</val>
          </value>
        </values>
      </ddeItem>
      <ddeItem name="2616.TW-Name" advise="1">
        <values>
          <value t="str">
            <val>山隆</val>
          </value>
        </values>
      </ddeItem>
      <ddeItem name="2616.TW-PreClose" advise="1">
        <values>
          <value>
            <val>29.85</val>
          </value>
        </values>
      </ddeItem>
      <ddeItem name="2616.TW-Price" advise="1">
        <values>
          <value>
            <val>29.95</val>
          </value>
        </values>
      </ddeItem>
      <ddeItem name="2616.TW-SimulatePrice" advise="1">
        <values>
          <value>
            <val>29.9</val>
          </value>
        </values>
      </ddeItem>
      <ddeItem name="2616.TW-SimulateTime" advise="1">
        <values>
          <value t="str">
            <val>13:29:22</val>
          </value>
        </values>
      </ddeItem>
      <ddeItem name="2617.TW-ID" advise="1">
        <values>
          <value t="str">
            <val>2617</val>
          </value>
        </values>
      </ddeItem>
      <ddeItem name="2617.TW-Name" advise="1">
        <values>
          <value t="str">
            <val>台航</val>
          </value>
        </values>
      </ddeItem>
      <ddeItem name="2617.TW-PreClose" advise="1">
        <values>
          <value>
            <val>15.1</val>
          </value>
        </values>
      </ddeItem>
      <ddeItem name="2617.TW-Price" advise="1">
        <values>
          <value>
            <val>15.25</val>
          </value>
        </values>
      </ddeItem>
      <ddeItem name="2617.TW-SimulatePrice" advise="1">
        <values>
          <value>
            <val>15.25</val>
          </value>
        </values>
      </ddeItem>
      <ddeItem name="2617.TW-SimulateTime" advise="1">
        <values>
          <value t="str">
            <val>13:29:15</val>
          </value>
        </values>
      </ddeItem>
      <ddeItem name="2618.TW-ID" advise="1">
        <values>
          <value t="str">
            <val>2618</val>
          </value>
        </values>
      </ddeItem>
      <ddeItem name="2618.TW-Name" advise="1">
        <values>
          <value t="str">
            <val>長榮航</val>
          </value>
        </values>
      </ddeItem>
      <ddeItem name="2618.TW-PreClose" advise="1">
        <values>
          <value>
            <val>11</val>
          </value>
        </values>
      </ddeItem>
      <ddeItem name="2618.TW-Price" advise="1">
        <values>
          <value>
            <val>10.8</val>
          </value>
        </values>
      </ddeItem>
      <ddeItem name="2618.TW-SimulatePrice" advise="1">
        <values>
          <value>
            <val>10.8</val>
          </value>
        </values>
      </ddeItem>
      <ddeItem name="2618.TW-SimulateTime" advise="1">
        <values>
          <value t="str">
            <val>13:29:58</val>
          </value>
        </values>
      </ddeItem>
      <ddeItem name="2630.TW-ID" advise="1">
        <values>
          <value t="str">
            <val>2630</val>
          </value>
        </values>
      </ddeItem>
      <ddeItem name="2630.TW-Name" advise="1">
        <values>
          <value t="str">
            <val>亞航</val>
          </value>
        </values>
      </ddeItem>
      <ddeItem name="2630.TW-PreClose" advise="1">
        <values>
          <value>
            <val>16.899999999999999</val>
          </value>
        </values>
      </ddeItem>
      <ddeItem name="2630.TW-Price" advise="1">
        <values>
          <value>
            <val>16.7</val>
          </value>
        </values>
      </ddeItem>
      <ddeItem name="2630.TW-SimulatePrice" advise="1">
        <values>
          <value>
            <val>16.7</val>
          </value>
        </values>
      </ddeItem>
      <ddeItem name="2630.TW-SimulateTime" advise="1">
        <values>
          <value t="str">
            <val>13:29:35</val>
          </value>
        </values>
      </ddeItem>
      <ddeItem name="2633.TW-ID" advise="1">
        <values>
          <value t="str">
            <val>2633</val>
          </value>
        </values>
      </ddeItem>
      <ddeItem name="2633.TW-Name" advise="1">
        <values>
          <value t="str">
            <val>台灣高鐵</val>
          </value>
        </values>
      </ddeItem>
      <ddeItem name="2633.TW-PreClose" advise="1">
        <values>
          <value>
            <val>33.6</val>
          </value>
        </values>
      </ddeItem>
      <ddeItem name="2633.TW-Price" advise="1">
        <values>
          <value>
            <val>33.5</val>
          </value>
        </values>
      </ddeItem>
      <ddeItem name="2633.TW-SimulatePrice" advise="1">
        <values>
          <value>
            <val>33.5</val>
          </value>
        </values>
      </ddeItem>
      <ddeItem name="2633.TW-SimulateTime" advise="1">
        <values>
          <value t="str">
            <val>13:29:55</val>
          </value>
        </values>
      </ddeItem>
      <ddeItem name="2634.TW-ID" advise="1">
        <values>
          <value t="str">
            <val>2634</val>
          </value>
        </values>
      </ddeItem>
      <ddeItem name="2634.TW-Name" advise="1">
        <values>
          <value t="str">
            <val>漢翔</val>
          </value>
        </values>
      </ddeItem>
      <ddeItem name="2634.TW-PreClose" advise="1">
        <values>
          <value>
            <val>27.5</val>
          </value>
        </values>
      </ddeItem>
      <ddeItem name="2634.TW-Price" advise="1">
        <values>
          <value>
            <val>27.4</val>
          </value>
        </values>
      </ddeItem>
      <ddeItem name="2634.TW-SimulatePrice" advise="1">
        <values>
          <value>
            <val>27.4</val>
          </value>
        </values>
      </ddeItem>
      <ddeItem name="2634.TW-SimulateTime" advise="1">
        <values>
          <value t="str">
            <val>13:29:38</val>
          </value>
        </values>
      </ddeItem>
      <ddeItem name="2636.TW-ID" advise="1">
        <values>
          <value t="str">
            <val>2636</val>
          </value>
        </values>
      </ddeItem>
      <ddeItem name="2636.TW-Name" advise="1">
        <values>
          <value t="str">
            <val>台驊投控</val>
          </value>
        </values>
      </ddeItem>
      <ddeItem name="2636.TW-PreClose" advise="1">
        <values>
          <value>
            <val>22.45</val>
          </value>
        </values>
      </ddeItem>
      <ddeItem name="2636.TW-Price" advise="1">
        <values>
          <value>
            <val>22.7</val>
          </value>
        </values>
      </ddeItem>
      <ddeItem name="2636.TW-SimulatePrice" advise="1">
        <values>
          <value>
            <val>22.7</val>
          </value>
        </values>
      </ddeItem>
      <ddeItem name="2636.TW-SimulateTime" advise="1">
        <values>
          <value t="str">
            <val>13:29:25</val>
          </value>
        </values>
      </ddeItem>
      <ddeItem name="2637.TW-ID" advise="1">
        <values>
          <value t="str">
            <val>2637</val>
          </value>
        </values>
      </ddeItem>
      <ddeItem name="2637.TW-Name" advise="1">
        <values>
          <value t="str">
            <val>慧洋-KY</val>
          </value>
        </values>
      </ddeItem>
      <ddeItem name="2637.TW-PreClose" advise="1">
        <values>
          <value>
            <val>23.4</val>
          </value>
        </values>
      </ddeItem>
      <ddeItem name="2637.TW-Price" advise="1">
        <values>
          <value>
            <val>23.35</val>
          </value>
        </values>
      </ddeItem>
      <ddeItem name="2637.TW-SimulatePrice" advise="1">
        <values>
          <value>
            <val>23.35</val>
          </value>
        </values>
      </ddeItem>
      <ddeItem name="2637.TW-SimulateTime" advise="1">
        <values>
          <value t="str">
            <val>13:29:40</val>
          </value>
        </values>
      </ddeItem>
      <ddeItem name="2642.TW-ID" advise="1">
        <values>
          <value t="str">
            <val>2642</val>
          </value>
        </values>
      </ddeItem>
      <ddeItem name="2642.TW-Name" advise="1">
        <values>
          <value t="str">
            <val>宅配通</val>
          </value>
        </values>
      </ddeItem>
      <ddeItem name="2642.TW-PreClose" advise="1">
        <values>
          <value>
            <val>30.45</val>
          </value>
        </values>
      </ddeItem>
      <ddeItem name="2642.TW-Price" advise="1">
        <values>
          <value>
            <val>33.049999999999997</val>
          </value>
        </values>
      </ddeItem>
      <ddeItem name="2642.TW-SimulatePrice" advise="1">
        <values>
          <value>
            <val>33</val>
          </value>
        </values>
      </ddeItem>
      <ddeItem name="2642.TW-SimulateTime" advise="1">
        <values>
          <value t="str">
            <val>13:29:51</val>
          </value>
        </values>
      </ddeItem>
      <ddeItem name="2701.TW-ID" advise="1">
        <values>
          <value t="str">
            <val>2701</val>
          </value>
        </values>
      </ddeItem>
      <ddeItem name="2701.TW-Name" advise="1">
        <values>
          <value t="str">
            <val>萬企</val>
          </value>
        </values>
      </ddeItem>
      <ddeItem name="2701.TW-PreClose" advise="1">
        <values>
          <value>
            <val>11.65</val>
          </value>
        </values>
      </ddeItem>
      <ddeItem name="2701.TW-Price" advise="1">
        <values>
          <value>
            <val>11.65</val>
          </value>
        </values>
      </ddeItem>
      <ddeItem name="2701.TW-SimulatePrice" advise="1">
        <values>
          <value>
            <val>11.65</val>
          </value>
        </values>
      </ddeItem>
      <ddeItem name="2701.TW-SimulateTime" advise="1">
        <values>
          <value t="str">
            <val>13:27:06</val>
          </value>
        </values>
      </ddeItem>
      <ddeItem name="2702.TW-ID" advise="1">
        <values>
          <value t="str">
            <val>2702</val>
          </value>
        </values>
      </ddeItem>
      <ddeItem name="2702.TW-Name" advise="1">
        <values>
          <value t="str">
            <val>華園</val>
          </value>
        </values>
      </ddeItem>
      <ddeItem name="2702.TW-PreClose" advise="1">
        <values>
          <value>
            <val>15.15</val>
          </value>
        </values>
      </ddeItem>
      <ddeItem name="2702.TW-Price" advise="1">
        <values>
          <value>
            <val>15.6</val>
          </value>
        </values>
      </ddeItem>
      <ddeItem name="2702.TW-SimulatePrice" advise="1">
        <values>
          <value>
            <val>15.6</val>
          </value>
        </values>
      </ddeItem>
      <ddeItem name="2702.TW-SimulateTime" advise="1">
        <values>
          <value t="str">
            <val>13:29:57</val>
          </value>
        </values>
      </ddeItem>
      <ddeItem name="2704.TW-ID" advise="1">
        <values>
          <value t="str">
            <val>2704</val>
          </value>
        </values>
      </ddeItem>
      <ddeItem name="2704.TW-Name" advise="1">
        <values>
          <value t="str">
            <val>國賓</val>
          </value>
        </values>
      </ddeItem>
      <ddeItem name="2704.TW-PreClose" advise="1">
        <values>
          <value>
            <val>26.4</val>
          </value>
        </values>
      </ddeItem>
      <ddeItem name="2704.TW-Price" advise="1">
        <values>
          <value>
            <val>26.4</val>
          </value>
        </values>
      </ddeItem>
      <ddeItem name="2704.TW-SimulatePrice" advise="1">
        <values>
          <value>
            <val>26.4</val>
          </value>
        </values>
      </ddeItem>
      <ddeItem name="2704.TW-SimulateTime" advise="1">
        <values>
          <value t="str">
            <val>13:29:22</val>
          </value>
        </values>
      </ddeItem>
      <ddeItem name="2705.TW-ID" advise="1">
        <values>
          <value t="str">
            <val>2705</val>
          </value>
        </values>
      </ddeItem>
      <ddeItem name="2705.TW-Name" advise="1">
        <values>
          <value t="str">
            <val>六福</val>
          </value>
        </values>
      </ddeItem>
      <ddeItem name="2705.TW-PreClose" advise="1">
        <values>
          <value>
            <val>12.45</val>
          </value>
        </values>
      </ddeItem>
      <ddeItem name="2705.TW-Price" advise="1">
        <values>
          <value>
            <val>12.2</val>
          </value>
        </values>
      </ddeItem>
      <ddeItem name="2705.TW-SimulatePrice" advise="1">
        <values>
          <value>
            <val>12.2</val>
          </value>
        </values>
      </ddeItem>
      <ddeItem name="2705.TW-SimulateTime" advise="1">
        <values>
          <value t="str">
            <val>13:29:42</val>
          </value>
        </values>
      </ddeItem>
      <ddeItem name="2706.TW-ID" advise="1">
        <values>
          <value t="str">
            <val>2706</val>
          </value>
        </values>
      </ddeItem>
      <ddeItem name="2706.TW-Name" advise="1">
        <values>
          <value t="str">
            <val>第一店</val>
          </value>
        </values>
      </ddeItem>
      <ddeItem name="2706.TW-PreClose" advise="1">
        <values>
          <value>
            <val>12.9</val>
          </value>
        </values>
      </ddeItem>
      <ddeItem name="2706.TW-Price" advise="1">
        <values>
          <value>
            <val>12.85</val>
          </value>
        </values>
      </ddeItem>
      <ddeItem name="2706.TW-SimulatePrice" advise="1">
        <values>
          <value>
            <val>12.85</val>
          </value>
        </values>
      </ddeItem>
      <ddeItem name="2706.TW-SimulateTime" advise="1">
        <values>
          <value t="str">
            <val>13:25:48</val>
          </value>
        </values>
      </ddeItem>
      <ddeItem name="2707.TW-ID" advise="1">
        <values>
          <value t="str">
            <val>2707</val>
          </value>
        </values>
      </ddeItem>
      <ddeItem name="2707.TW-Name" advise="1">
        <values>
          <value t="str">
            <val>晶華</val>
          </value>
        </values>
      </ddeItem>
      <ddeItem name="2707.TW-PreClose" advise="1">
        <values>
          <value>
            <val>135</val>
          </value>
        </values>
      </ddeItem>
      <ddeItem name="2707.TW-Price" advise="1">
        <values>
          <value>
            <val>136.5</val>
          </value>
        </values>
      </ddeItem>
      <ddeItem name="2707.TW-SimulatePrice" advise="1">
        <values>
          <value>
            <val>136.5</val>
          </value>
        </values>
      </ddeItem>
      <ddeItem name="2707.TW-SimulateTime" advise="1">
        <values>
          <value t="str">
            <val>13:29:56</val>
          </value>
        </values>
      </ddeItem>
      <ddeItem name="2712.TW-ID" advise="1">
        <values>
          <value t="str">
            <val>2712</val>
          </value>
        </values>
      </ddeItem>
      <ddeItem name="2712.TW-Name" advise="1">
        <values>
          <value t="str">
            <val>遠雄來</val>
          </value>
        </values>
      </ddeItem>
      <ddeItem name="2712.TW-PreClose" advise="1">
        <values>
          <value>
            <val>36.049999999999997</val>
          </value>
        </values>
      </ddeItem>
      <ddeItem name="2712.TW-Price" advise="1">
        <values>
          <value>
            <val>35.75</val>
          </value>
        </values>
      </ddeItem>
      <ddeItem name="2712.TW-SimulatePrice" advise="1">
        <values>
          <value t="str">
            <val>--</val>
          </value>
        </values>
      </ddeItem>
      <ddeItem name="2712.TW-SimulateTime" advise="1">
        <values>
          <value t="str">
            <val>--</val>
          </value>
        </values>
      </ddeItem>
      <ddeItem name="2722.TW-ID" advise="1">
        <values>
          <value t="str">
            <val>2722</val>
          </value>
        </values>
      </ddeItem>
      <ddeItem name="2722.TW-Name" advise="1">
        <values>
          <value t="str">
            <val>夏都</val>
          </value>
        </values>
      </ddeItem>
      <ddeItem name="2722.TW-PreClose" advise="1">
        <values>
          <value>
            <val>23.75</val>
          </value>
        </values>
      </ddeItem>
      <ddeItem name="2722.TW-Price" advise="1">
        <values>
          <value>
            <val>23.6</val>
          </value>
        </values>
      </ddeItem>
      <ddeItem name="2722.TW-SimulatePrice" advise="1">
        <values>
          <value t="str">
            <val>--</val>
          </value>
        </values>
      </ddeItem>
      <ddeItem name="2722.TW-SimulateTime" advise="1">
        <values>
          <value t="str">
            <val>--</val>
          </value>
        </values>
      </ddeItem>
      <ddeItem name="2723.TW-ID" advise="1">
        <values>
          <value t="str">
            <val>2723</val>
          </value>
        </values>
      </ddeItem>
      <ddeItem name="2723.TW-Name" advise="1">
        <values>
          <value t="str">
            <val>美食-KY</val>
          </value>
        </values>
      </ddeItem>
      <ddeItem name="2723.TW-PreClose" advise="1">
        <values>
          <value>
            <val>96.6</val>
          </value>
        </values>
      </ddeItem>
      <ddeItem name="2723.TW-Price" advise="1">
        <values>
          <value>
            <val>96</val>
          </value>
        </values>
      </ddeItem>
      <ddeItem name="2723.TW-SimulatePrice" advise="1">
        <values>
          <value>
            <val>96</val>
          </value>
        </values>
      </ddeItem>
      <ddeItem name="2723.TW-SimulateTime" advise="1">
        <values>
          <value t="str">
            <val>13:29:56</val>
          </value>
        </values>
      </ddeItem>
      <ddeItem name="2727.TW-ID" advise="1">
        <values>
          <value t="str">
            <val>2727</val>
          </value>
        </values>
      </ddeItem>
      <ddeItem name="2727.TW-Name" advise="1">
        <values>
          <value t="str">
            <val>王品</val>
          </value>
        </values>
      </ddeItem>
      <ddeItem name="2727.TW-PreClose" advise="1">
        <values>
          <value>
            <val>66.5</val>
          </value>
        </values>
      </ddeItem>
      <ddeItem name="2727.TW-Price" advise="1">
        <values>
          <value>
            <val>65.599999999999994</val>
          </value>
        </values>
      </ddeItem>
      <ddeItem name="2727.TW-SimulatePrice" advise="1">
        <values>
          <value>
            <val>65.599999999999994</val>
          </value>
        </values>
      </ddeItem>
      <ddeItem name="2727.TW-SimulateTime" advise="1">
        <values>
          <value t="str">
            <val>13:29:46</val>
          </value>
        </values>
      </ddeItem>
      <ddeItem name="2731.TW-ID" advise="1">
        <values>
          <value t="str">
            <val>2731</val>
          </value>
        </values>
      </ddeItem>
      <ddeItem name="2731.TW-Name" advise="1">
        <values>
          <value t="str">
            <val>雄獅</val>
          </value>
        </values>
      </ddeItem>
      <ddeItem name="2731.TW-PreClose" advise="1">
        <values>
          <value>
            <val>69.099999999999994</val>
          </value>
        </values>
      </ddeItem>
      <ddeItem name="2731.TW-Price" advise="1">
        <values>
          <value>
            <val>68.7</val>
          </value>
        </values>
      </ddeItem>
      <ddeItem name="2731.TW-SimulatePrice" advise="1">
        <values>
          <value>
            <val>68.7</val>
          </value>
        </values>
      </ddeItem>
      <ddeItem name="2731.TW-SimulateTime" advise="1">
        <values>
          <value t="str">
            <val>13:29:58</val>
          </value>
        </values>
      </ddeItem>
      <ddeItem name="2739.TW-ID" advise="1">
        <values>
          <value t="str">
            <val>2739</val>
          </value>
        </values>
      </ddeItem>
      <ddeItem name="2739.TW-Name" advise="1">
        <values>
          <value t="str">
            <val>寒舍</val>
          </value>
        </values>
      </ddeItem>
      <ddeItem name="2739.TW-PreClose" advise="1">
        <values>
          <value>
            <val>22.6</val>
          </value>
        </values>
      </ddeItem>
      <ddeItem name="2739.TW-Price" advise="1">
        <values>
          <value>
            <val>22.65</val>
          </value>
        </values>
      </ddeItem>
      <ddeItem name="2739.TW-SimulatePrice" advise="1">
        <values>
          <value>
            <val>22.65</val>
          </value>
        </values>
      </ddeItem>
      <ddeItem name="2739.TW-SimulateTime" advise="1">
        <values>
          <value t="str">
            <val>13:28:29</val>
          </value>
        </values>
      </ddeItem>
      <ddeItem name="2748.TW-ID" advise="1">
        <values>
          <value t="str">
            <val>2748</val>
          </value>
        </values>
      </ddeItem>
      <ddeItem name="2748.TW-Name" advise="1">
        <values>
          <value t="str">
            <val>雲品</val>
          </value>
        </values>
      </ddeItem>
      <ddeItem name="2748.TW-PreClose" advise="1">
        <values>
          <value>
            <val>42.9</val>
          </value>
        </values>
      </ddeItem>
      <ddeItem name="2748.TW-Price" advise="1">
        <values>
          <value>
            <val>42.65</val>
          </value>
        </values>
      </ddeItem>
      <ddeItem name="2748.TW-SimulatePrice" advise="1">
        <values>
          <value>
            <val>42.65</val>
          </value>
        </values>
      </ddeItem>
      <ddeItem name="2748.TW-SimulateTime" advise="1">
        <values>
          <value t="str">
            <val>13:28:46</val>
          </value>
        </values>
      </ddeItem>
      <ddeItem name="2801.TW-ID" advise="1">
        <values>
          <value t="str">
            <val>2801</val>
          </value>
        </values>
      </ddeItem>
      <ddeItem name="2801.TW-Name" advise="1">
        <values>
          <value t="str">
            <val>彰銀</val>
          </value>
        </values>
      </ddeItem>
      <ddeItem name="2801.TW-PreClose" advise="1">
        <values>
          <value>
            <val>18.8</val>
          </value>
        </values>
      </ddeItem>
      <ddeItem name="2801.TW-Price" advise="1">
        <values>
          <value>
            <val>18.8</val>
          </value>
        </values>
      </ddeItem>
      <ddeItem name="2801.TW-SimulatePrice" advise="1">
        <values>
          <value>
            <val>18.8</val>
          </value>
        </values>
      </ddeItem>
      <ddeItem name="2801.TW-SimulateTime" advise="1">
        <values>
          <value t="str">
            <val>13:29:55</val>
          </value>
        </values>
      </ddeItem>
      <ddeItem name="2809.TW-ID" advise="1">
        <values>
          <value t="str">
            <val>2809</val>
          </value>
        </values>
      </ddeItem>
      <ddeItem name="2809.TW-Name" advise="1">
        <values>
          <value t="str">
            <val>京城銀</val>
          </value>
        </values>
      </ddeItem>
      <ddeItem name="2809.TW-PreClose" advise="1">
        <values>
          <value>
            <val>32.35</val>
          </value>
        </values>
      </ddeItem>
      <ddeItem name="2809.TW-Price" advise="1">
        <values>
          <value>
            <val>32.1</val>
          </value>
        </values>
      </ddeItem>
      <ddeItem name="2809.TW-SimulatePrice" advise="1">
        <values>
          <value>
            <val>32.1</val>
          </value>
        </values>
      </ddeItem>
      <ddeItem name="2809.TW-SimulateTime" advise="1">
        <values>
          <value t="str">
            <val>13:29:57</val>
          </value>
        </values>
      </ddeItem>
      <ddeItem name="2812.TW-ID" advise="1">
        <values>
          <value t="str">
            <val>2812</val>
          </value>
        </values>
      </ddeItem>
      <ddeItem name="2812.TW-Name" advise="1">
        <values>
          <value t="str">
            <val>台中銀</val>
          </value>
        </values>
      </ddeItem>
      <ddeItem name="2812.TW-PreClose" advise="1">
        <values>
          <value>
            <val>11.35</val>
          </value>
        </values>
      </ddeItem>
      <ddeItem name="2812.TW-Price" advise="1">
        <values>
          <value>
            <val>11.35</val>
          </value>
        </values>
      </ddeItem>
      <ddeItem name="2812.TW-SimulatePrice" advise="1">
        <values>
          <value>
            <val>11.35</val>
          </value>
        </values>
      </ddeItem>
      <ddeItem name="2812.TW-SimulateTime" advise="1">
        <values>
          <value t="str">
            <val>13:29:56</val>
          </value>
        </values>
      </ddeItem>
      <ddeItem name="2816.TW-ID" advise="1">
        <values>
          <value t="str">
            <val>2816</val>
          </value>
        </values>
      </ddeItem>
      <ddeItem name="2816.TW-Name" advise="1">
        <values>
          <value t="str">
            <val>旺旺保</val>
          </value>
        </values>
      </ddeItem>
      <ddeItem name="2816.TW-PreClose" advise="1">
        <values>
          <value>
            <val>19.399999999999999</val>
          </value>
        </values>
      </ddeItem>
      <ddeItem name="2816.TW-Price" advise="1">
        <values>
          <value>
            <val>19.149999999999999</val>
          </value>
        </values>
      </ddeItem>
      <ddeItem name="2816.TW-SimulatePrice" advise="1">
        <values>
          <value>
            <val>19.149999999999999</val>
          </value>
        </values>
      </ddeItem>
      <ddeItem name="2816.TW-SimulateTime" advise="1">
        <values>
          <value t="str">
            <val>13:28:49</val>
          </value>
        </values>
      </ddeItem>
      <ddeItem name="2820.TW-ID" advise="1">
        <values>
          <value t="str">
            <val>2820</val>
          </value>
        </values>
      </ddeItem>
      <ddeItem name="2820.TW-Name" advise="1">
        <values>
          <value t="str">
            <val>華票</val>
          </value>
        </values>
      </ddeItem>
      <ddeItem name="2820.TW-PreClose" advise="1">
        <values>
          <value>
            <val>14.5</val>
          </value>
        </values>
      </ddeItem>
      <ddeItem name="2820.TW-Price" advise="1">
        <values>
          <value>
            <val>14.5</val>
          </value>
        </values>
      </ddeItem>
      <ddeItem name="2820.TW-SimulatePrice" advise="1">
        <values>
          <value>
            <val>14.5</val>
          </value>
        </values>
      </ddeItem>
      <ddeItem name="2820.TW-SimulateTime" advise="1">
        <values>
          <value t="str">
            <val>13:29:20</val>
          </value>
        </values>
      </ddeItem>
      <ddeItem name="2823.TW-ID" advise="1">
        <values>
          <value t="str">
            <val>2823</val>
          </value>
        </values>
      </ddeItem>
      <ddeItem name="2823.TW-Name" advise="1">
        <values>
          <value t="str">
            <val>中壽</val>
          </value>
        </values>
      </ddeItem>
      <ddeItem name="2823.TW-PreClose" advise="1">
        <values>
          <value>
            <val>20</val>
          </value>
        </values>
      </ddeItem>
      <ddeItem name="2823.TW-Price" advise="1">
        <values>
          <value>
            <val>19.75</val>
          </value>
        </values>
      </ddeItem>
      <ddeItem name="2823.TW-SimulatePrice" advise="1">
        <values>
          <value>
            <val>19.75</val>
          </value>
        </values>
      </ddeItem>
      <ddeItem name="2823.TW-SimulateTime" advise="1">
        <values>
          <value t="str">
            <val>13:29:58</val>
          </value>
        </values>
      </ddeItem>
      <ddeItem name="2832.TW-ID" advise="1">
        <values>
          <value t="str">
            <val>2832</val>
          </value>
        </values>
      </ddeItem>
      <ddeItem name="2832.TW-Name" advise="1">
        <values>
          <value t="str">
            <val>台產</val>
          </value>
        </values>
      </ddeItem>
      <ddeItem name="2832.TW-PreClose" advise="1">
        <values>
          <value>
            <val>19.5</val>
          </value>
        </values>
      </ddeItem>
      <ddeItem name="2832.TW-Price" advise="1">
        <values>
          <value>
            <val>19.600000000000001</val>
          </value>
        </values>
      </ddeItem>
      <ddeItem name="2832.TW-SimulatePrice" advise="1">
        <values>
          <value>
            <val>19.600000000000001</val>
          </value>
        </values>
      </ddeItem>
      <ddeItem name="2832.TW-SimulateTime" advise="1">
        <values>
          <value t="str">
            <val>13:29:39</val>
          </value>
        </values>
      </ddeItem>
      <ddeItem name="2834.TW-ID" advise="1">
        <values>
          <value t="str">
            <val>2834</val>
          </value>
        </values>
      </ddeItem>
      <ddeItem name="2834.TW-Name" advise="1">
        <values>
          <value t="str">
            <val>臺企銀</val>
          </value>
        </values>
      </ddeItem>
      <ddeItem name="2834.TW-PreClose" advise="1">
        <values>
          <value>
            <val>10.7</val>
          </value>
        </values>
      </ddeItem>
      <ddeItem name="2834.TW-Price" advise="1">
        <values>
          <value>
            <val>10.6</val>
          </value>
        </values>
      </ddeItem>
      <ddeItem name="2834.TW-SimulatePrice" advise="1">
        <values>
          <value>
            <val>10.6</val>
          </value>
        </values>
      </ddeItem>
      <ddeItem name="2834.TW-SimulateTime" advise="1">
        <values>
          <value t="str">
            <val>13:29:59</val>
          </value>
        </values>
      </ddeItem>
      <ddeItem name="2836.TW-ID" advise="1">
        <values>
          <value t="str">
            <val>2836</val>
          </value>
        </values>
      </ddeItem>
      <ddeItem name="2836.TW-Name" advise="1">
        <values>
          <value t="str">
            <val>高雄銀</val>
          </value>
        </values>
      </ddeItem>
      <ddeItem name="2836.TW-PreClose" advise="1">
        <values>
          <value>
            <val>9.43</val>
          </value>
        </values>
      </ddeItem>
      <ddeItem name="2836.TW-Price" advise="1">
        <values>
          <value>
            <val>9.43</val>
          </value>
        </values>
      </ddeItem>
      <ddeItem name="2836.TW-SimulatePrice" advise="1">
        <values>
          <value>
            <val>9.43</val>
          </value>
        </values>
      </ddeItem>
      <ddeItem name="2836.TW-SimulateTime" advise="1">
        <values>
          <value t="str">
            <val>13:28:53</val>
          </value>
        </values>
      </ddeItem>
      <ddeItem name="2838.TW-ID" advise="1">
        <values>
          <value t="str">
            <val>2838</val>
          </value>
        </values>
      </ddeItem>
      <ddeItem name="2838.TW-Name" advise="1">
        <values>
          <value t="str">
            <val>聯邦銀</val>
          </value>
        </values>
      </ddeItem>
      <ddeItem name="2838.TW-PreClose" advise="1">
        <values>
          <value>
            <val>10.65</val>
          </value>
        </values>
      </ddeItem>
      <ddeItem name="2838.TW-Price" advise="1">
        <values>
          <value>
            <val>10.7</val>
          </value>
        </values>
      </ddeItem>
      <ddeItem name="2838.TW-SimulatePrice" advise="1">
        <values>
          <value>
            <val>10.7</val>
          </value>
        </values>
      </ddeItem>
      <ddeItem name="2838.TW-SimulateTime" advise="1">
        <values>
          <value t="str">
            <val>13:29:58</val>
          </value>
        </values>
      </ddeItem>
      <ddeItem name="2841.TW-ID" advise="1">
        <values>
          <value t="str">
            <val>2841</val>
          </value>
        </values>
      </ddeItem>
      <ddeItem name="2841.TW-Name" advise="1">
        <values>
          <value t="str">
            <val>台開</val>
          </value>
        </values>
      </ddeItem>
      <ddeItem name="2841.TW-PreClose" advise="1">
        <values>
          <value>
            <val>6.5</val>
          </value>
        </values>
      </ddeItem>
      <ddeItem name="2841.TW-Price" advise="1">
        <values>
          <value>
            <val>6.46</val>
          </value>
        </values>
      </ddeItem>
      <ddeItem name="2841.TW-SimulatePrice" advise="1">
        <values>
          <value>
            <val>6.46</val>
          </value>
        </values>
      </ddeItem>
      <ddeItem name="2841.TW-SimulateTime" advise="1">
        <values>
          <value t="str">
            <val>13:29:59</val>
          </value>
        </values>
      </ddeItem>
      <ddeItem name="2845.TW-ID" advise="1">
        <values>
          <value t="str">
            <val>2845</val>
          </value>
        </values>
      </ddeItem>
      <ddeItem name="2845.TW-Name" advise="1">
        <values>
          <value t="str">
            <val>遠東銀</val>
          </value>
        </values>
      </ddeItem>
      <ddeItem name="2845.TW-PreClose" advise="1">
        <values>
          <value>
            <val>10.7</val>
          </value>
        </values>
      </ddeItem>
      <ddeItem name="2845.TW-Price" advise="1">
        <values>
          <value>
            <val>10.7</val>
          </value>
        </values>
      </ddeItem>
      <ddeItem name="2845.TW-SimulatePrice" advise="1">
        <values>
          <value>
            <val>10.7</val>
          </value>
        </values>
      </ddeItem>
      <ddeItem name="2845.TW-SimulateTime" advise="1">
        <values>
          <value t="str">
            <val>13:29:59</val>
          </value>
        </values>
      </ddeItem>
      <ddeItem name="2849.TW-ID" advise="1">
        <values>
          <value t="str">
            <val>2849</val>
          </value>
        </values>
      </ddeItem>
      <ddeItem name="2849.TW-Name" advise="1">
        <values>
          <value t="str">
            <val>安泰銀</val>
          </value>
        </values>
      </ddeItem>
      <ddeItem name="2849.TW-PreClose" advise="1">
        <values>
          <value>
            <val>14.2</val>
          </value>
        </values>
      </ddeItem>
      <ddeItem name="2849.TW-Price" advise="1">
        <values>
          <value>
            <val>14.3</val>
          </value>
        </values>
      </ddeItem>
      <ddeItem name="2849.TW-SimulatePrice" advise="1">
        <values>
          <value>
            <val>14.3</val>
          </value>
        </values>
      </ddeItem>
      <ddeItem name="2849.TW-SimulateTime" advise="1">
        <values>
          <value t="str">
            <val>13:27:37</val>
          </value>
        </values>
      </ddeItem>
      <ddeItem name="2850.TW-ID" advise="1">
        <values>
          <value t="str">
            <val>2850</val>
          </value>
        </values>
      </ddeItem>
      <ddeItem name="2850.TW-Name" advise="1">
        <values>
          <value t="str">
            <val>新產</val>
          </value>
        </values>
      </ddeItem>
      <ddeItem name="2850.TW-PreClose" advise="1">
        <values>
          <value>
            <val>35.4</val>
          </value>
        </values>
      </ddeItem>
      <ddeItem name="2850.TW-Price" advise="1">
        <values>
          <value>
            <val>35.200000000000003</val>
          </value>
        </values>
      </ddeItem>
      <ddeItem name="2850.TW-SimulatePrice" advise="1">
        <values>
          <value>
            <val>35.200000000000003</val>
          </value>
        </values>
      </ddeItem>
      <ddeItem name="2850.TW-SimulateTime" advise="1">
        <values>
          <value t="str">
            <val>13:29:50</val>
          </value>
        </values>
      </ddeItem>
      <ddeItem name="2851.TW-ID" advise="1">
        <values>
          <value t="str">
            <val>2851</val>
          </value>
        </values>
      </ddeItem>
      <ddeItem name="2851.TW-Name" advise="1">
        <values>
          <value t="str">
            <val>中再保</val>
          </value>
        </values>
      </ddeItem>
      <ddeItem name="2851.TW-PreClose" advise="1">
        <values>
          <value>
            <val>18.850000000000001</val>
          </value>
        </values>
      </ddeItem>
      <ddeItem name="2851.TW-Price" advise="1">
        <values>
          <value>
            <val>18.850000000000001</val>
          </value>
        </values>
      </ddeItem>
      <ddeItem name="2851.TW-SimulatePrice" advise="1">
        <values>
          <value>
            <val>18.850000000000001</val>
          </value>
        </values>
      </ddeItem>
      <ddeItem name="2851.TW-SimulateTime" advise="1">
        <values>
          <value t="str">
            <val>13:29:51</val>
          </value>
        </values>
      </ddeItem>
      <ddeItem name="2852.TW-ID" advise="1">
        <values>
          <value t="str">
            <val>2852</val>
          </value>
        </values>
      </ddeItem>
      <ddeItem name="2852.TW-Name" advise="1">
        <values>
          <value t="str">
            <val>第一保</val>
          </value>
        </values>
      </ddeItem>
      <ddeItem name="2852.TW-PreClose" advise="1">
        <values>
          <value>
            <val>13.8</val>
          </value>
        </values>
      </ddeItem>
      <ddeItem name="2852.TW-Price" advise="1">
        <values>
          <value>
            <val>13.8</val>
          </value>
        </values>
      </ddeItem>
      <ddeItem name="2852.TW-SimulatePrice" advise="1">
        <values>
          <value t="str">
            <val>--</val>
          </value>
        </values>
      </ddeItem>
      <ddeItem name="2852.TW-SimulateTime" advise="1">
        <values>
          <value t="str">
            <val>--</val>
          </value>
        </values>
      </ddeItem>
      <ddeItem name="2855.TW-ID" advise="1">
        <values>
          <value t="str">
            <val>2855</val>
          </value>
        </values>
      </ddeItem>
      <ddeItem name="2855.TW-Name" advise="1">
        <values>
          <value t="str">
            <val>統一證</val>
          </value>
        </values>
      </ddeItem>
      <ddeItem name="2855.TW-PreClose" advise="1">
        <values>
          <value>
            <val>13.2</val>
          </value>
        </values>
      </ddeItem>
      <ddeItem name="2855.TW-Price" advise="1">
        <values>
          <value>
            <val>13.25</val>
          </value>
        </values>
      </ddeItem>
      <ddeItem name="2855.TW-SimulatePrice" advise="1">
        <values>
          <value>
            <val>13.25</val>
          </value>
        </values>
      </ddeItem>
      <ddeItem name="2855.TW-SimulateTime" advise="1">
        <values>
          <value t="str">
            <val>13:29:52</val>
          </value>
        </values>
      </ddeItem>
      <ddeItem name="2867.TW-ID" advise="1">
        <values>
          <value t="str">
            <val>2867</val>
          </value>
        </values>
      </ddeItem>
      <ddeItem name="2867.TW-Name" advise="1">
        <values>
          <value t="str">
            <val>三商壽</val>
          </value>
        </values>
      </ddeItem>
      <ddeItem name="2867.TW-PreClose" advise="1">
        <values>
          <value>
            <val>9.19</val>
          </value>
        </values>
      </ddeItem>
      <ddeItem name="2867.TW-Price" advise="1">
        <values>
          <value>
            <val>9.49</val>
          </value>
        </values>
      </ddeItem>
      <ddeItem name="2867.TW-SimulatePrice" advise="1">
        <values>
          <value>
            <val>9.49</val>
          </value>
        </values>
      </ddeItem>
      <ddeItem name="2867.TW-SimulateTime" advise="1">
        <values>
          <value t="str">
            <val>13:29:55</val>
          </value>
        </values>
      </ddeItem>
      <ddeItem name="2880.TW-ID" advise="1">
        <values>
          <value t="str">
            <val>2880</val>
          </value>
        </values>
      </ddeItem>
      <ddeItem name="2880.TW-Name" advise="1">
        <values>
          <value t="str">
            <val>華南金</val>
          </value>
        </values>
      </ddeItem>
      <ddeItem name="2880.TW-PreClose" advise="1">
        <values>
          <value>
            <val>19.05</val>
          </value>
        </values>
      </ddeItem>
      <ddeItem name="2880.TW-Price" advise="1">
        <values>
          <value>
            <val>19</val>
          </value>
        </values>
      </ddeItem>
      <ddeItem name="2880.TW-SimulatePrice" advise="1">
        <values>
          <value>
            <val>19</val>
          </value>
        </values>
      </ddeItem>
      <ddeItem name="2880.TW-SimulateTime" advise="1">
        <values>
          <value t="str">
            <val>13:29:57</val>
          </value>
        </values>
      </ddeItem>
      <ddeItem name="2881.TW-ID" advise="1">
        <values>
          <value t="str">
            <val>2881</val>
          </value>
        </values>
      </ddeItem>
      <ddeItem name="2881.TW-Name" advise="1">
        <values>
          <value t="str">
            <val>富邦金</val>
          </value>
        </values>
      </ddeItem>
      <ddeItem name="2881.TW-PreClose" advise="1">
        <values>
          <value>
            <val>40.549999999999997</val>
          </value>
        </values>
      </ddeItem>
      <ddeItem name="2881.TW-Price" advise="1">
        <values>
          <value>
            <val>41.15</val>
          </value>
        </values>
      </ddeItem>
      <ddeItem name="2881.TW-SimulatePrice" advise="1">
        <values>
          <value>
            <val>41.15</val>
          </value>
        </values>
      </ddeItem>
      <ddeItem name="2881.TW-SimulateTime" advise="1">
        <values>
          <value t="str">
            <val>13:29:57</val>
          </value>
        </values>
      </ddeItem>
      <ddeItem name="2882.TW-ID" advise="1">
        <values>
          <value t="str">
            <val>2882</val>
          </value>
        </values>
      </ddeItem>
      <ddeItem name="2882.TW-Name" advise="1">
        <values>
          <value t="str">
            <val>國泰金</val>
          </value>
        </values>
      </ddeItem>
      <ddeItem name="2882.TW-PreClose" advise="1">
        <values>
          <value>
            <val>39.15</val>
          </value>
        </values>
      </ddeItem>
      <ddeItem name="2882.TW-Price" advise="1">
        <values>
          <value>
            <val>39.049999999999997</val>
          </value>
        </values>
      </ddeItem>
      <ddeItem name="2882.TW-SimulatePrice" advise="1">
        <values>
          <value>
            <val>39.049999999999997</val>
          </value>
        </values>
      </ddeItem>
      <ddeItem name="2882.TW-SimulateTime" advise="1">
        <values>
          <value t="str">
            <val>13:29:57</val>
          </value>
        </values>
      </ddeItem>
      <ddeItem name="2883.TW-ID" advise="1">
        <values>
          <value t="str">
            <val>2883</val>
          </value>
        </values>
      </ddeItem>
      <ddeItem name="2883.TW-Name" advise="1">
        <values>
          <value t="str">
            <val>開發金</val>
          </value>
        </values>
      </ddeItem>
      <ddeItem name="2883.TW-PreClose" advise="1">
        <values>
          <value>
            <val>8.99</val>
          </value>
        </values>
      </ddeItem>
      <ddeItem name="2883.TW-Price" advise="1">
        <values>
          <value>
            <val>8.9499999999999993</val>
          </value>
        </values>
      </ddeItem>
      <ddeItem name="2883.TW-SimulatePrice" advise="1">
        <values>
          <value>
            <val>8.9499999999999993</val>
          </value>
        </values>
      </ddeItem>
      <ddeItem name="2883.TW-SimulateTime" advise="1">
        <values>
          <value t="str">
            <val>13:29:57</val>
          </value>
        </values>
      </ddeItem>
      <ddeItem name="2884.TW-ID" advise="1">
        <values>
          <value t="str">
            <val>2884</val>
          </value>
        </values>
      </ddeItem>
      <ddeItem name="2884.TW-Name" advise="1">
        <values>
          <value t="str">
            <val>玉山金</val>
          </value>
        </values>
      </ddeItem>
      <ddeItem name="2884.TW-PreClose" advise="1">
        <values>
          <value>
            <val>26.9</val>
          </value>
        </values>
      </ddeItem>
      <ddeItem name="2884.TW-Price" advise="1">
        <values>
          <value>
            <val>26.95</val>
          </value>
        </values>
      </ddeItem>
      <ddeItem name="2884.TW-SimulatePrice" advise="1">
        <values>
          <value>
            <val>26.95</val>
          </value>
        </values>
      </ddeItem>
      <ddeItem name="2884.TW-SimulateTime" advise="1">
        <values>
          <value t="str">
            <val>13:29:59</val>
          </value>
        </values>
      </ddeItem>
      <ddeItem name="2885.TW-ID" advise="1">
        <values>
          <value t="str">
            <val>2885</val>
          </value>
        </values>
      </ddeItem>
      <ddeItem name="2885.TW-Name" advise="1">
        <values>
          <value t="str">
            <val>元大金</val>
          </value>
        </values>
      </ddeItem>
      <ddeItem name="2885.TW-PreClose" advise="1">
        <values>
          <value>
            <val>16.3</val>
          </value>
        </values>
      </ddeItem>
      <ddeItem name="2885.TW-Price" advise="1">
        <values>
          <value>
            <val>16.25</val>
          </value>
        </values>
      </ddeItem>
      <ddeItem name="2885.TW-SimulatePrice" advise="1">
        <values>
          <value>
            <val>16.25</val>
          </value>
        </values>
      </ddeItem>
      <ddeItem name="2885.TW-SimulateTime" advise="1">
        <values>
          <value t="str">
            <val>13:29:58</val>
          </value>
        </values>
      </ddeItem>
      <ddeItem name="2886.TW-ID" advise="1">
        <values>
          <value t="str">
            <val>2886</val>
          </value>
        </values>
      </ddeItem>
      <ddeItem name="2886.TW-Name" advise="1">
        <values>
          <value t="str">
            <val>兆豐金</val>
          </value>
        </values>
      </ddeItem>
      <ddeItem name="2886.TW-PreClose" advise="1">
        <values>
          <value>
            <val>30.25</val>
          </value>
        </values>
      </ddeItem>
      <ddeItem name="2886.TW-Price" advise="1">
        <values>
          <value>
            <val>30.25</val>
          </value>
        </values>
      </ddeItem>
      <ddeItem name="2886.TW-SimulatePrice" advise="1">
        <values>
          <value>
            <val>30.3</val>
          </value>
        </values>
      </ddeItem>
      <ddeItem name="2886.TW-SimulateTime" advise="1">
        <values>
          <value t="str">
            <val>13:29:55</val>
          </value>
        </values>
      </ddeItem>
      <ddeItem name="2887.TW-ID" advise="1">
        <values>
          <value t="str">
            <val>2887</val>
          </value>
        </values>
      </ddeItem>
      <ddeItem name="2887.TW-Name" advise="1">
        <values>
          <value t="str">
            <val>台新金</val>
          </value>
        </values>
      </ddeItem>
      <ddeItem name="2887.TW-PreClose" advise="1">
        <values>
          <value>
            <val>12.3</val>
          </value>
        </values>
      </ddeItem>
      <ddeItem name="2887.TW-Price" advise="1">
        <values>
          <value>
            <val>12.35</val>
          </value>
        </values>
      </ddeItem>
      <ddeItem name="2887.TW-SimulatePrice" advise="1">
        <values>
          <value>
            <val>12.35</val>
          </value>
        </values>
      </ddeItem>
      <ddeItem name="2887.TW-SimulateTime" advise="1">
        <values>
          <value t="str">
            <val>13:29:56</val>
          </value>
        </values>
      </ddeItem>
      <ddeItem name="2888.TW-ID" advise="1">
        <values>
          <value t="str">
            <val>2888</val>
          </value>
        </values>
      </ddeItem>
      <ddeItem name="2888.TW-Name" advise="1">
        <values>
          <value t="str">
            <val>新光金</val>
          </value>
        </values>
      </ddeItem>
      <ddeItem name="2888.TW-PreClose" advise="1">
        <values>
          <value>
            <val>8.16</val>
          </value>
        </values>
      </ddeItem>
      <ddeItem name="2888.TW-Price" advise="1">
        <values>
          <value>
            <val>8.16</val>
          </value>
        </values>
      </ddeItem>
      <ddeItem name="2888.TW-SimulatePrice" advise="1">
        <values>
          <value>
            <val>8.16</val>
          </value>
        </values>
      </ddeItem>
      <ddeItem name="2888.TW-SimulateTime" advise="1">
        <values>
          <value t="str">
            <val>13:29:55</val>
          </value>
        </values>
      </ddeItem>
      <ddeItem name="2889.TW-ID" advise="1">
        <values>
          <value t="str">
            <val>2889</val>
          </value>
        </values>
      </ddeItem>
      <ddeItem name="2889.TW-Name" advise="1">
        <values>
          <value t="str">
            <val>國票金</val>
          </value>
        </values>
      </ddeItem>
      <ddeItem name="2889.TW-PreClose" advise="1">
        <values>
          <value>
            <val>11.2</val>
          </value>
        </values>
      </ddeItem>
      <ddeItem name="2889.TW-Price" advise="1">
        <values>
          <value>
            <val>11.25</val>
          </value>
        </values>
      </ddeItem>
      <ddeItem name="2889.TW-SimulatePrice" advise="1">
        <values>
          <value>
            <val>11.25</val>
          </value>
        </values>
      </ddeItem>
      <ddeItem name="2889.TW-SimulateTime" advise="1">
        <values>
          <value t="str">
            <val>13:29:57</val>
          </value>
        </values>
      </ddeItem>
      <ddeItem name="2890.TW-ID" advise="1">
        <values>
          <value t="str">
            <val>2890</val>
          </value>
        </values>
      </ddeItem>
      <ddeItem name="2890.TW-Name" advise="1">
        <values>
          <value t="str">
            <val>永豐金</val>
          </value>
        </values>
      </ddeItem>
      <ddeItem name="2890.TW-PreClose" advise="1">
        <values>
          <value>
            <val>11.7</val>
          </value>
        </values>
      </ddeItem>
      <ddeItem name="2890.TW-Price" advise="1">
        <values>
          <value>
            <val>11.65</val>
          </value>
        </values>
      </ddeItem>
      <ddeItem name="2890.TW-SimulatePrice" advise="1">
        <values>
          <value>
            <val>11.65</val>
          </value>
        </values>
      </ddeItem>
      <ddeItem name="2890.TW-SimulateTime" advise="1">
        <values>
          <value t="str">
            <val>13:29:59</val>
          </value>
        </values>
      </ddeItem>
      <ddeItem name="2891.TW-ID" advise="1">
        <values>
          <value t="str">
            <val>2891</val>
          </value>
        </values>
      </ddeItem>
      <ddeItem name="2891.TW-Name" advise="1">
        <values>
          <value t="str">
            <val>中信金</val>
          </value>
        </values>
      </ddeItem>
      <ddeItem name="2891.TW-PreClose" advise="1">
        <values>
          <value>
            <val>19.55</val>
          </value>
        </values>
      </ddeItem>
      <ddeItem name="2891.TW-Price" advise="1">
        <values>
          <value>
            <val>19.600000000000001</val>
          </value>
        </values>
      </ddeItem>
      <ddeItem name="2891.TW-SimulatePrice" advise="1">
        <values>
          <value>
            <val>19.600000000000001</val>
          </value>
        </values>
      </ddeItem>
      <ddeItem name="2891.TW-SimulateTime" advise="1">
        <values>
          <value t="str">
            <val>13:29:57</val>
          </value>
        </values>
      </ddeItem>
      <ddeItem name="2892.TW-ID" advise="1">
        <values>
          <value t="str">
            <val>2892</val>
          </value>
        </values>
      </ddeItem>
      <ddeItem name="2892.TW-Name" advise="1">
        <values>
          <value t="str">
            <val>第一金</val>
          </value>
        </values>
      </ddeItem>
      <ddeItem name="2892.TW-PreClose" advise="1">
        <values>
          <value>
            <val>21.9</val>
          </value>
        </values>
      </ddeItem>
      <ddeItem name="2892.TW-Price" advise="1">
        <values>
          <value>
            <val>21.8</val>
          </value>
        </values>
      </ddeItem>
      <ddeItem name="2892.TW-SimulatePrice" advise="1">
        <values>
          <value>
            <val>21.8</val>
          </value>
        </values>
      </ddeItem>
      <ddeItem name="2892.TW-SimulateTime" advise="1">
        <values>
          <value t="str">
            <val>13:29:56</val>
          </value>
        </values>
      </ddeItem>
      <ddeItem name="2897.TW-ID" advise="1">
        <values>
          <value t="str">
            <val>2897</val>
          </value>
        </values>
      </ddeItem>
      <ddeItem name="2897.TW-Name" advise="1">
        <values>
          <value t="str">
            <val>王道銀行</val>
          </value>
        </values>
      </ddeItem>
      <ddeItem name="2897.TW-PreClose" advise="1">
        <values>
          <value>
            <val>7.04</val>
          </value>
        </values>
      </ddeItem>
      <ddeItem name="2897.TW-Price" advise="1">
        <values>
          <value>
            <val>7.06</val>
          </value>
        </values>
      </ddeItem>
      <ddeItem name="2897.TW-SimulatePrice" advise="1">
        <values>
          <value>
            <val>7.06</val>
          </value>
        </values>
      </ddeItem>
      <ddeItem name="2897.TW-SimulateTime" advise="1">
        <values>
          <value t="str">
            <val>13:29:48</val>
          </value>
        </values>
      </ddeItem>
      <ddeItem name="2901.TW-ID" advise="1">
        <values>
          <value t="str">
            <val>2901</val>
          </value>
        </values>
      </ddeItem>
      <ddeItem name="2901.TW-Name" advise="1">
        <values>
          <value t="str">
            <val>欣欣</val>
          </value>
        </values>
      </ddeItem>
      <ddeItem name="2901.TW-PreClose" advise="1">
        <values>
          <value>
            <val>23</val>
          </value>
        </values>
      </ddeItem>
      <ddeItem name="2901.TW-Price" advise="1">
        <values>
          <value>
            <val>22.65</val>
          </value>
        </values>
      </ddeItem>
      <ddeItem name="2901.TW-SimulatePrice" advise="1">
        <values>
          <value>
            <val>22.65</val>
          </value>
        </values>
      </ddeItem>
      <ddeItem name="2901.TW-SimulateTime" advise="1">
        <values>
          <value t="str">
            <val>13:32:55</val>
          </value>
        </values>
      </ddeItem>
      <ddeItem name="2903.TW-ID" advise="1">
        <values>
          <value t="str">
            <val>2903</val>
          </value>
        </values>
      </ddeItem>
      <ddeItem name="2903.TW-Name" advise="1">
        <values>
          <value t="str">
            <val>遠百</val>
          </value>
        </values>
      </ddeItem>
      <ddeItem name="2903.TW-PreClose" advise="1">
        <values>
          <value>
            <val>22.55</val>
          </value>
        </values>
      </ddeItem>
      <ddeItem name="2903.TW-Price" advise="1">
        <values>
          <value>
            <val>23.75</val>
          </value>
        </values>
      </ddeItem>
      <ddeItem name="2903.TW-SimulatePrice" advise="1">
        <values>
          <value>
            <val>23.75</val>
          </value>
        </values>
      </ddeItem>
      <ddeItem name="2903.TW-SimulateTime" advise="1">
        <values>
          <value t="str">
            <val>13:29:54</val>
          </value>
        </values>
      </ddeItem>
      <ddeItem name="2904.TW-ID" advise="1">
        <values>
          <value t="str">
            <val>2904</val>
          </value>
        </values>
      </ddeItem>
      <ddeItem name="2904.TW-Name" advise="1">
        <values>
          <value t="str">
            <val>匯僑</val>
          </value>
        </values>
      </ddeItem>
      <ddeItem name="2904.TW-PreClose" advise="1">
        <values>
          <value>
            <val>23.75</val>
          </value>
        </values>
      </ddeItem>
      <ddeItem name="2904.TW-Price" advise="1">
        <values>
          <value>
            <val>23.9</val>
          </value>
        </values>
      </ddeItem>
      <ddeItem name="2904.TW-SimulatePrice" advise="1">
        <values>
          <value>
            <val>23.9</val>
          </value>
        </values>
      </ddeItem>
      <ddeItem name="2904.TW-SimulateTime" advise="1">
        <values>
          <value t="str">
            <val>13:28:49</val>
          </value>
        </values>
      </ddeItem>
      <ddeItem name="2905.TW-ID" advise="1">
        <values>
          <value t="str">
            <val>2905</val>
          </value>
        </values>
      </ddeItem>
      <ddeItem name="2905.TW-Name" advise="1">
        <values>
          <value t="str">
            <val>三商</val>
          </value>
        </values>
      </ddeItem>
      <ddeItem name="2905.TW-PreClose" advise="1">
        <values>
          <value>
            <val>21.2</val>
          </value>
        </values>
      </ddeItem>
      <ddeItem name="2905.TW-Price" advise="1">
        <values>
          <value>
            <val>21.2</val>
          </value>
        </values>
      </ddeItem>
      <ddeItem name="2905.TW-SimulatePrice" advise="1">
        <values>
          <value>
            <val>21.2</val>
          </value>
        </values>
      </ddeItem>
      <ddeItem name="2905.TW-SimulateTime" advise="1">
        <values>
          <value t="str">
            <val>13:29:50</val>
          </value>
        </values>
      </ddeItem>
      <ddeItem name="2906.TW-ID" advise="1">
        <values>
          <value t="str">
            <val>2906</val>
          </value>
        </values>
      </ddeItem>
      <ddeItem name="2906.TW-Name" advise="1">
        <values>
          <value t="str">
            <val>高林</val>
          </value>
        </values>
      </ddeItem>
      <ddeItem name="2906.TW-PreClose" advise="1">
        <values>
          <value>
            <val>10.7</val>
          </value>
        </values>
      </ddeItem>
      <ddeItem name="2906.TW-Price" advise="1">
        <values>
          <value>
            <val>10.75</val>
          </value>
        </values>
      </ddeItem>
      <ddeItem name="2906.TW-SimulatePrice" advise="1">
        <values>
          <value>
            <val>10.75</val>
          </value>
        </values>
      </ddeItem>
      <ddeItem name="2906.TW-SimulateTime" advise="1">
        <values>
          <value t="str">
            <val>13:29:13</val>
          </value>
        </values>
      </ddeItem>
      <ddeItem name="2908.TW-ID" advise="1">
        <values>
          <value t="str">
            <val>2908</val>
          </value>
        </values>
      </ddeItem>
      <ddeItem name="2908.TW-Name" advise="1">
        <values>
          <value t="str">
            <val>特力</val>
          </value>
        </values>
      </ddeItem>
      <ddeItem name="2908.TW-PreClose" advise="1">
        <values>
          <value>
            <val>19.2</val>
          </value>
        </values>
      </ddeItem>
      <ddeItem name="2908.TW-Price" advise="1">
        <values>
          <value>
            <val>18.850000000000001</val>
          </value>
        </values>
      </ddeItem>
      <ddeItem name="2908.TW-SimulatePrice" advise="1">
        <values>
          <value>
            <val>18.850000000000001</val>
          </value>
        </values>
      </ddeItem>
      <ddeItem name="2908.TW-SimulateTime" advise="1">
        <values>
          <value t="str">
            <val>13:29:50</val>
          </value>
        </values>
      </ddeItem>
      <ddeItem name="2910.TW-ID" advise="1">
        <values>
          <value t="str">
            <val>2910</val>
          </value>
        </values>
      </ddeItem>
      <ddeItem name="2910.TW-Name" advise="1">
        <values>
          <value t="str">
            <val>統領</val>
          </value>
        </values>
      </ddeItem>
      <ddeItem name="2910.TW-PreClose" advise="1">
        <values>
          <value>
            <val>31.25</val>
          </value>
        </values>
      </ddeItem>
      <ddeItem name="2910.TW-Price" advise="1">
        <values>
          <value>
            <val>31</val>
          </value>
        </values>
      </ddeItem>
      <ddeItem name="2910.TW-SimulatePrice" advise="1">
        <values>
          <value>
            <val>31</val>
          </value>
        </values>
      </ddeItem>
      <ddeItem name="2910.TW-SimulateTime" advise="1">
        <values>
          <value t="str">
            <val>13:29:59</val>
          </value>
        </values>
      </ddeItem>
      <ddeItem name="2911.TW-ID" advise="1">
        <values>
          <value t="str">
            <val>2911</val>
          </value>
        </values>
      </ddeItem>
      <ddeItem name="2911.TW-Name" advise="1">
        <values>
          <value t="str">
            <val>麗嬰房</val>
          </value>
        </values>
      </ddeItem>
      <ddeItem name="2911.TW-PreClose" advise="1">
        <values>
          <value>
            <val>5.96</val>
          </value>
        </values>
      </ddeItem>
      <ddeItem name="2911.TW-Price" advise="1">
        <values>
          <value>
            <val>5.91</val>
          </value>
        </values>
      </ddeItem>
      <ddeItem name="2911.TW-SimulatePrice" advise="1">
        <values>
          <value t="str">
            <val>--</val>
          </value>
        </values>
      </ddeItem>
      <ddeItem name="2911.TW-SimulateTime" advise="1">
        <values>
          <value t="str">
            <val>--</val>
          </value>
        </values>
      </ddeItem>
      <ddeItem name="2912.TW-ID" advise="1">
        <values>
          <value t="str">
            <val>2912</val>
          </value>
        </values>
      </ddeItem>
      <ddeItem name="2912.TW-Name" advise="1">
        <values>
          <value t="str">
            <val>統一超</val>
          </value>
        </values>
      </ddeItem>
      <ddeItem name="2912.TW-PreClose" advise="1">
        <values>
          <value>
            <val>302.5</val>
          </value>
        </values>
      </ddeItem>
      <ddeItem name="2912.TW-Price" advise="1">
        <values>
          <value>
            <val>300</val>
          </value>
        </values>
      </ddeItem>
      <ddeItem name="2912.TW-SimulatePrice" advise="1">
        <values>
          <value>
            <val>300</val>
          </value>
        </values>
      </ddeItem>
      <ddeItem name="2912.TW-SimulateTime" advise="1">
        <values>
          <value t="str">
            <val>13:29:55</val>
          </value>
        </values>
      </ddeItem>
      <ddeItem name="2913.TW-ID" advise="1">
        <values>
          <value t="str">
            <val>2913</val>
          </value>
        </values>
      </ddeItem>
      <ddeItem name="2913.TW-Name" advise="1">
        <values>
          <value t="str">
            <val>農林</val>
          </value>
        </values>
      </ddeItem>
      <ddeItem name="2913.TW-PreClose" advise="1">
        <values>
          <value>
            <val>14.05</val>
          </value>
        </values>
      </ddeItem>
      <ddeItem name="2913.TW-Price" advise="1">
        <values>
          <value>
            <val>14.15</val>
          </value>
        </values>
      </ddeItem>
      <ddeItem name="2913.TW-SimulatePrice" advise="1">
        <values>
          <value>
            <val>14.15</val>
          </value>
        </values>
      </ddeItem>
      <ddeItem name="2913.TW-SimulateTime" advise="1">
        <values>
          <value t="str">
            <val>13:28:48</val>
          </value>
        </values>
      </ddeItem>
      <ddeItem name="2915.TW-ID" advise="1">
        <values>
          <value t="str">
            <val>2915</val>
          </value>
        </values>
      </ddeItem>
      <ddeItem name="2915.TW-Name" advise="1">
        <values>
          <value t="str">
            <val>潤泰全</val>
          </value>
        </values>
      </ddeItem>
      <ddeItem name="2915.TW-PreClose" advise="1">
        <values>
          <value>
            <val>66.099999999999994</val>
          </value>
        </values>
      </ddeItem>
      <ddeItem name="2915.TW-Price" advise="1">
        <values>
          <value>
            <val>67</val>
          </value>
        </values>
      </ddeItem>
      <ddeItem name="2915.TW-SimulatePrice" advise="1">
        <values>
          <value>
            <val>67</val>
          </value>
        </values>
      </ddeItem>
      <ddeItem name="2915.TW-SimulateTime" advise="1">
        <values>
          <value t="str">
            <val>13:29:55</val>
          </value>
        </values>
      </ddeItem>
      <ddeItem name="2923.TW-ID" advise="1">
        <values>
          <value t="str">
            <val>2923</val>
          </value>
        </values>
      </ddeItem>
      <ddeItem name="2923.TW-Name" advise="1">
        <values>
          <value t="str">
            <val>鼎固-KY</val>
          </value>
        </values>
      </ddeItem>
      <ddeItem name="2923.TW-PreClose" advise="1">
        <values>
          <value>
            <val>24.7</val>
          </value>
        </values>
      </ddeItem>
      <ddeItem name="2923.TW-Price" advise="1">
        <values>
          <value>
            <val>24.5</val>
          </value>
        </values>
      </ddeItem>
      <ddeItem name="2923.TW-SimulatePrice" advise="1">
        <values>
          <value>
            <val>24.5</val>
          </value>
        </values>
      </ddeItem>
      <ddeItem name="2923.TW-SimulateTime" advise="1">
        <values>
          <value t="str">
            <val>13:29:52</val>
          </value>
        </values>
      </ddeItem>
      <ddeItem name="2929.TW-ID" advise="1">
        <values>
          <value t="str">
            <val>2929</val>
          </value>
        </values>
      </ddeItem>
      <ddeItem name="2929.TW-Name" advise="1">
        <values>
          <value t="str">
            <val>淘帝-KY</val>
          </value>
        </values>
      </ddeItem>
      <ddeItem name="2929.TW-PreClose" advise="1">
        <values>
          <value>
            <val>59.1</val>
          </value>
        </values>
      </ddeItem>
      <ddeItem name="2929.TW-Price" advise="1">
        <values>
          <value>
            <val>58.3</val>
          </value>
        </values>
      </ddeItem>
      <ddeItem name="2929.TW-SimulatePrice" advise="1">
        <values>
          <value>
            <val>58.3</val>
          </value>
        </values>
      </ddeItem>
      <ddeItem name="2929.TW-SimulateTime" advise="1">
        <values>
          <value t="str">
            <val>13:29:42</val>
          </value>
        </values>
      </ddeItem>
      <ddeItem name="2936.TW-ID" advise="1">
        <values>
          <value t="str">
            <val>2936</val>
          </value>
        </values>
      </ddeItem>
      <ddeItem name="2936.TW-Name" advise="1">
        <values>
          <value t="str">
            <val>客思達-KY</val>
          </value>
        </values>
      </ddeItem>
      <ddeItem name="2936.TW-PreClose" advise="1">
        <values>
          <value>
            <val>15</val>
          </value>
        </values>
      </ddeItem>
      <ddeItem name="2936.TW-Price" advise="1">
        <values>
          <value>
            <val>14.85</val>
          </value>
        </values>
      </ddeItem>
      <ddeItem name="2936.TW-SimulatePrice" advise="1">
        <values>
          <value>
            <val>14.85</val>
          </value>
        </values>
      </ddeItem>
      <ddeItem name="2936.TW-SimulateTime" advise="1">
        <values>
          <value t="str">
            <val>13:28:29</val>
          </value>
        </values>
      </ddeItem>
      <ddeItem name="2939.TW-ID" advise="1">
        <values>
          <value t="str">
            <val>2939</val>
          </value>
        </values>
      </ddeItem>
      <ddeItem name="2939.TW-Name" advise="1">
        <values>
          <value t="str">
            <val>凱羿-KY</val>
          </value>
        </values>
      </ddeItem>
      <ddeItem name="2939.TW-PreClose" advise="1">
        <values>
          <value>
            <val>155.5</val>
          </value>
        </values>
      </ddeItem>
      <ddeItem name="2939.TW-Price" advise="1">
        <values>
          <value>
            <val>140</val>
          </value>
        </values>
      </ddeItem>
      <ddeItem name="2939.TW-SimulatePrice" advise="1">
        <values>
          <value>
            <val>140</val>
          </value>
        </values>
      </ddeItem>
      <ddeItem name="2939.TW-SimulateTime" advise="1">
        <values>
          <value t="str">
            <val>13:29:55</val>
          </value>
        </values>
      </ddeItem>
      <ddeItem name="3002.TW-ID" advise="1">
        <values>
          <value t="str">
            <val>3002</val>
          </value>
        </values>
      </ddeItem>
      <ddeItem name="3002.TW-Name" advise="1">
        <values>
          <value t="str">
            <val>歐格</val>
          </value>
        </values>
      </ddeItem>
      <ddeItem name="3002.TW-PreClose" advise="1">
        <values>
          <value>
            <val>10.85</val>
          </value>
        </values>
      </ddeItem>
      <ddeItem name="3002.TW-Price" advise="1">
        <values>
          <value>
            <val>10.5</val>
          </value>
        </values>
      </ddeItem>
      <ddeItem name="3002.TW-SimulatePrice" advise="1">
        <values>
          <value>
            <val>10.5</val>
          </value>
        </values>
      </ddeItem>
      <ddeItem name="3002.TW-SimulateTime" advise="1">
        <values>
          <value t="str">
            <val>13:29:54</val>
          </value>
        </values>
      </ddeItem>
      <ddeItem name="3003.TW-ID" advise="1">
        <values>
          <value t="str">
            <val>3003</val>
          </value>
        </values>
      </ddeItem>
      <ddeItem name="3003.TW-Name" advise="1">
        <values>
          <value t="str">
            <val>健和興</val>
          </value>
        </values>
      </ddeItem>
      <ddeItem name="3003.TW-PreClose" advise="1">
        <values>
          <value>
            <val>38.200000000000003</val>
          </value>
        </values>
      </ddeItem>
      <ddeItem name="3003.TW-Price" advise="1">
        <values>
          <value>
            <val>38.35</val>
          </value>
        </values>
      </ddeItem>
      <ddeItem name="3003.TW-SimulatePrice" advise="1">
        <values>
          <value>
            <val>38.35</val>
          </value>
        </values>
      </ddeItem>
      <ddeItem name="3003.TW-SimulateTime" advise="1">
        <values>
          <value t="str">
            <val>13:29:54</val>
          </value>
        </values>
      </ddeItem>
      <ddeItem name="3004.TW-ID" advise="1">
        <values>
          <value t="str">
            <val>3004</val>
          </value>
        </values>
      </ddeItem>
      <ddeItem name="3004.TW-Name" advise="1">
        <values>
          <value t="str">
            <val>豐達科</val>
          </value>
        </values>
      </ddeItem>
      <ddeItem name="3004.TW-PreClose" advise="1">
        <values>
          <value>
            <val>53.3</val>
          </value>
        </values>
      </ddeItem>
      <ddeItem name="3004.TW-Price" advise="1">
        <values>
          <value>
            <val>52.8</val>
          </value>
        </values>
      </ddeItem>
      <ddeItem name="3004.TW-SimulatePrice" advise="1">
        <values>
          <value>
            <val>52.8</val>
          </value>
        </values>
      </ddeItem>
      <ddeItem name="3004.TW-SimulateTime" advise="1">
        <values>
          <value t="str">
            <val>13:29:57</val>
          </value>
        </values>
      </ddeItem>
      <ddeItem name="3005.TW-ID" advise="1">
        <values>
          <value t="str">
            <val>3005</val>
          </value>
        </values>
      </ddeItem>
      <ddeItem name="3005.TW-Name" advise="1">
        <values>
          <value t="str">
            <val>神基</val>
          </value>
        </values>
      </ddeItem>
      <ddeItem name="3005.TW-PreClose" advise="1">
        <values>
          <value>
            <val>46.1</val>
          </value>
        </values>
      </ddeItem>
      <ddeItem name="3005.TW-Price" advise="1">
        <values>
          <value>
            <val>45.15</val>
          </value>
        </values>
      </ddeItem>
      <ddeItem name="3005.TW-SimulatePrice" advise="1">
        <values>
          <value>
            <val>45.15</val>
          </value>
        </values>
      </ddeItem>
      <ddeItem name="3005.TW-SimulateTime" advise="1">
        <values>
          <value t="str">
            <val>13:29:59</val>
          </value>
        </values>
      </ddeItem>
      <ddeItem name="3006.TW-ID" advise="1">
        <values>
          <value t="str">
            <val>3006</val>
          </value>
        </values>
      </ddeItem>
      <ddeItem name="3006.TW-Name" advise="1">
        <values>
          <value t="str">
            <val>晶豪科</val>
          </value>
        </values>
      </ddeItem>
      <ddeItem name="3006.TW-PreClose" advise="1">
        <values>
          <value>
            <val>42</val>
          </value>
        </values>
      </ddeItem>
      <ddeItem name="3006.TW-Price" advise="1">
        <values>
          <value>
            <val>42.6</val>
          </value>
        </values>
      </ddeItem>
      <ddeItem name="3006.TW-SimulatePrice" advise="1">
        <values>
          <value>
            <val>42.55</val>
          </value>
        </values>
      </ddeItem>
      <ddeItem name="3006.TW-SimulateTime" advise="1">
        <values>
          <value t="str">
            <val>13:29:58</val>
          </value>
        </values>
      </ddeItem>
      <ddeItem name="3008.TW-ID" advise="1">
        <values>
          <value t="str">
            <val>3008</val>
          </value>
        </values>
      </ddeItem>
      <ddeItem name="3008.TW-Name" advise="1">
        <values>
          <value t="str">
            <val>大立光</val>
          </value>
        </values>
      </ddeItem>
      <ddeItem name="3008.TW-PreClose" advise="1">
        <values>
          <value>
            <val>4110</val>
          </value>
        </values>
      </ddeItem>
      <ddeItem name="3008.TW-Price" advise="1">
        <values>
          <value>
            <val>4065</val>
          </value>
        </values>
      </ddeItem>
      <ddeItem name="3008.TW-SimulatePrice" advise="1">
        <values>
          <value>
            <val>4065</val>
          </value>
        </values>
      </ddeItem>
      <ddeItem name="3008.TW-SimulateTime" advise="1">
        <values>
          <value t="str">
            <val>13:29:58</val>
          </value>
        </values>
      </ddeItem>
      <ddeItem name="3010.TW-ID" advise="1">
        <values>
          <value t="str">
            <val>3010</val>
          </value>
        </values>
      </ddeItem>
      <ddeItem name="3010.TW-Name" advise="1">
        <values>
          <value t="str">
            <val>華立</val>
          </value>
        </values>
      </ddeItem>
      <ddeItem name="3010.TW-PreClose" advise="1">
        <values>
          <value>
            <val>53.8</val>
          </value>
        </values>
      </ddeItem>
      <ddeItem name="3010.TW-Price" advise="1">
        <values>
          <value>
            <val>54.4</val>
          </value>
        </values>
      </ddeItem>
      <ddeItem name="3010.TW-SimulatePrice" advise="1">
        <values>
          <value>
            <val>54.4</val>
          </value>
        </values>
      </ddeItem>
      <ddeItem name="3010.TW-SimulateTime" advise="1">
        <values>
          <value t="str">
            <val>13:29:37</val>
          </value>
        </values>
      </ddeItem>
      <ddeItem name="3011.TW-ID" advise="1">
        <values>
          <value t="str">
            <val>3011</val>
          </value>
        </values>
      </ddeItem>
      <ddeItem name="3011.TW-Name" advise="1">
        <values>
          <value t="str">
            <val>今皓</val>
          </value>
        </values>
      </ddeItem>
      <ddeItem name="3011.TW-PreClose" advise="1">
        <values>
          <value>
            <val>5.36</val>
          </value>
        </values>
      </ddeItem>
      <ddeItem name="3011.TW-Price" advise="1">
        <values>
          <value>
            <val>5.27</val>
          </value>
        </values>
      </ddeItem>
      <ddeItem name="3011.TW-SimulatePrice" advise="1">
        <values>
          <value>
            <val>5.27</val>
          </value>
        </values>
      </ddeItem>
      <ddeItem name="3011.TW-SimulateTime" advise="1">
        <values>
          <value t="str">
            <val>13:29:25</val>
          </value>
        </values>
      </ddeItem>
      <ddeItem name="3013.TW-ID" advise="1">
        <values>
          <value t="str">
            <val>3013</val>
          </value>
        </values>
      </ddeItem>
      <ddeItem name="3013.TW-Name" advise="1">
        <values>
          <value t="str">
            <val>晟銘電</val>
          </value>
        </values>
      </ddeItem>
      <ddeItem name="3013.TW-PreClose" advise="1">
        <values>
          <value>
            <val>12.55</val>
          </value>
        </values>
      </ddeItem>
      <ddeItem name="3013.TW-Price" advise="1">
        <values>
          <value>
            <val>12.5</val>
          </value>
        </values>
      </ddeItem>
      <ddeItem name="3013.TW-SimulatePrice" advise="1">
        <values>
          <value>
            <val>12.45</val>
          </value>
        </values>
      </ddeItem>
      <ddeItem name="3013.TW-SimulateTime" advise="1">
        <values>
          <value t="str">
            <val>13:29:56</val>
          </value>
        </values>
      </ddeItem>
      <ddeItem name="3014.TW-ID" advise="1">
        <values>
          <value t="str">
            <val>3014</val>
          </value>
        </values>
      </ddeItem>
      <ddeItem name="3014.TW-Name" advise="1">
        <values>
          <value t="str">
            <val>聯陽</val>
          </value>
        </values>
      </ddeItem>
      <ddeItem name="3014.TW-PreClose" advise="1">
        <values>
          <value>
            <val>53.1</val>
          </value>
        </values>
      </ddeItem>
      <ddeItem name="3014.TW-Price" advise="1">
        <values>
          <value>
            <val>54.9</val>
          </value>
        </values>
      </ddeItem>
      <ddeItem name="3014.TW-SimulatePrice" advise="1">
        <values>
          <value>
            <val>54.9</val>
          </value>
        </values>
      </ddeItem>
      <ddeItem name="3014.TW-SimulateTime" advise="1">
        <values>
          <value t="str">
            <val>13:29:58</val>
          </value>
        </values>
      </ddeItem>
      <ddeItem name="3015.TW-ID" advise="1">
        <values>
          <value t="str">
            <val>3015</val>
          </value>
        </values>
      </ddeItem>
      <ddeItem name="3015.TW-Name" advise="1">
        <values>
          <value t="str">
            <val>全漢</val>
          </value>
        </values>
      </ddeItem>
      <ddeItem name="3015.TW-PreClose" advise="1">
        <values>
          <value>
            <val>22.05</val>
          </value>
        </values>
      </ddeItem>
      <ddeItem name="3015.TW-Price" advise="1">
        <values>
          <value>
            <val>21.6</val>
          </value>
        </values>
      </ddeItem>
      <ddeItem name="3015.TW-SimulatePrice" advise="1">
        <values>
          <value>
            <val>21.6</val>
          </value>
        </values>
      </ddeItem>
      <ddeItem name="3015.TW-SimulateTime" advise="1">
        <values>
          <value t="str">
            <val>13:29:55</val>
          </value>
        </values>
      </ddeItem>
      <ddeItem name="3016.TW-ID" advise="1">
        <values>
          <value t="str">
            <val>3016</val>
          </value>
        </values>
      </ddeItem>
      <ddeItem name="3016.TW-Name" advise="1">
        <values>
          <value t="str">
            <val>嘉晶</val>
          </value>
        </values>
      </ddeItem>
      <ddeItem name="3016.TW-PreClose" advise="1">
        <values>
          <value>
            <val>56.2</val>
          </value>
        </values>
      </ddeItem>
      <ddeItem name="3016.TW-Price" advise="1">
        <values>
          <value>
            <val>59</val>
          </value>
        </values>
      </ddeItem>
      <ddeItem name="3016.TW-SimulatePrice" advise="1">
        <values>
          <value>
            <val>59</val>
          </value>
        </values>
      </ddeItem>
      <ddeItem name="3016.TW-SimulateTime" advise="1">
        <values>
          <value t="str">
            <val>13:29:59</val>
          </value>
        </values>
      </ddeItem>
      <ddeItem name="3017.TW-ID" advise="1">
        <values>
          <value t="str">
            <val>3017</val>
          </value>
        </values>
      </ddeItem>
      <ddeItem name="3017.TW-Name" advise="1">
        <values>
          <value t="str">
            <val>奇鋐</val>
          </value>
        </values>
      </ddeItem>
      <ddeItem name="3017.TW-PreClose" advise="1">
        <values>
          <value>
            <val>39.15</val>
          </value>
        </values>
      </ddeItem>
      <ddeItem name="3017.TW-Price" advise="1">
        <values>
          <value>
            <val>38.4</val>
          </value>
        </values>
      </ddeItem>
      <ddeItem name="3017.TW-SimulatePrice" advise="1">
        <values>
          <value>
            <val>38.4</val>
          </value>
        </values>
      </ddeItem>
      <ddeItem name="3017.TW-SimulateTime" advise="1">
        <values>
          <value t="str">
            <val>13:29:55</val>
          </value>
        </values>
      </ddeItem>
      <ddeItem name="3018.TW-ID" advise="1">
        <values>
          <value t="str">
            <val>3018</val>
          </value>
        </values>
      </ddeItem>
      <ddeItem name="3018.TW-Name" advise="1">
        <values>
          <value t="str">
            <val>同開</val>
          </value>
        </values>
      </ddeItem>
      <ddeItem name="3018.TW-PreClose" advise="1">
        <values>
          <value>
            <val>17.899999999999999</val>
          </value>
        </values>
      </ddeItem>
      <ddeItem name="3018.TW-Price" advise="1">
        <values>
          <value>
            <val>18.899999999999999</val>
          </value>
        </values>
      </ddeItem>
      <ddeItem name="3018.TW-SimulatePrice" advise="1">
        <values>
          <value>
            <val>18.899999999999999</val>
          </value>
        </values>
      </ddeItem>
      <ddeItem name="3018.TW-SimulateTime" advise="1">
        <values>
          <value t="str">
            <val>13:29:18</val>
          </value>
        </values>
      </ddeItem>
      <ddeItem name="3019.TW-ID" advise="1">
        <values>
          <value t="str">
            <val>3019</val>
          </value>
        </values>
      </ddeItem>
      <ddeItem name="3019.TW-Name" advise="1">
        <values>
          <value t="str">
            <val>亞光</val>
          </value>
        </values>
      </ddeItem>
      <ddeItem name="3019.TW-PreClose" advise="1">
        <values>
          <value>
            <val>68.8</val>
          </value>
        </values>
      </ddeItem>
      <ddeItem name="3019.TW-Price" advise="1">
        <values>
          <value>
            <val>67.2</val>
          </value>
        </values>
      </ddeItem>
      <ddeItem name="3019.TW-SimulatePrice" advise="1">
        <values>
          <value>
            <val>67.2</val>
          </value>
        </values>
      </ddeItem>
      <ddeItem name="3019.TW-SimulateTime" advise="1">
        <values>
          <value t="str">
            <val>13:29:59</val>
          </value>
        </values>
      </ddeItem>
      <ddeItem name="3021.TW-ID" advise="1">
        <values>
          <value t="str">
            <val>3021</val>
          </value>
        </values>
      </ddeItem>
      <ddeItem name="3021.TW-Name" advise="1">
        <values>
          <value t="str">
            <val>鴻名</val>
          </value>
        </values>
      </ddeItem>
      <ddeItem name="3021.TW-PreClose" advise="1">
        <values>
          <value>
            <val>13</val>
          </value>
        </values>
      </ddeItem>
      <ddeItem name="3021.TW-Price" advise="1">
        <values>
          <value>
            <val>12.7</val>
          </value>
        </values>
      </ddeItem>
      <ddeItem name="3021.TW-SimulatePrice" advise="1">
        <values>
          <value>
            <val>12.7</val>
          </value>
        </values>
      </ddeItem>
      <ddeItem name="3021.TW-SimulateTime" advise="1">
        <values>
          <value t="str">
            <val>13:29:19</val>
          </value>
        </values>
      </ddeItem>
      <ddeItem name="3022.TW-ID" advise="1">
        <values>
          <value t="str">
            <val>3022</val>
          </value>
        </values>
      </ddeItem>
      <ddeItem name="3022.TW-Name" advise="1">
        <values>
          <value t="str">
            <val>威強電</val>
          </value>
        </values>
      </ddeItem>
      <ddeItem name="3022.TW-PreClose" advise="1">
        <values>
          <value>
            <val>40.9</val>
          </value>
        </values>
      </ddeItem>
      <ddeItem name="3022.TW-Price" advise="1">
        <values>
          <value>
            <val>40.1</val>
          </value>
        </values>
      </ddeItem>
      <ddeItem name="3022.TW-SimulatePrice" advise="1">
        <values>
          <value>
            <val>40.1</val>
          </value>
        </values>
      </ddeItem>
      <ddeItem name="3022.TW-SimulateTime" advise="1">
        <values>
          <value t="str">
            <val>13:29:59</val>
          </value>
        </values>
      </ddeItem>
      <ddeItem name="3023.TW-ID" advise="1">
        <values>
          <value t="str">
            <val>3023</val>
          </value>
        </values>
      </ddeItem>
      <ddeItem name="3023.TW-Name" advise="1">
        <values>
          <value t="str">
            <val>信邦</val>
          </value>
        </values>
      </ddeItem>
      <ddeItem name="3023.TW-PreClose" advise="1">
        <values>
          <value>
            <val>141</val>
          </value>
        </values>
      </ddeItem>
      <ddeItem name="3023.TW-Price" advise="1">
        <values>
          <value>
            <val>142</val>
          </value>
        </values>
      </ddeItem>
      <ddeItem name="3023.TW-SimulatePrice" advise="1">
        <values>
          <value>
            <val>142</val>
          </value>
        </values>
      </ddeItem>
      <ddeItem name="3023.TW-SimulateTime" advise="1">
        <values>
          <value t="str">
            <val>13:29:55</val>
          </value>
        </values>
      </ddeItem>
      <ddeItem name="3024.TW-ID" advise="1">
        <values>
          <value t="str">
            <val>3024</val>
          </value>
        </values>
      </ddeItem>
      <ddeItem name="3024.TW-Name" advise="1">
        <values>
          <value t="str">
            <val>憶聲</val>
          </value>
        </values>
      </ddeItem>
      <ddeItem name="3024.TW-PreClose" advise="1">
        <values>
          <value>
            <val>7.12</val>
          </value>
        </values>
      </ddeItem>
      <ddeItem name="3024.TW-Price" advise="1">
        <values>
          <value>
            <val>7.19</val>
          </value>
        </values>
      </ddeItem>
      <ddeItem name="3024.TW-SimulatePrice" advise="1">
        <values>
          <value>
            <val>7.19</val>
          </value>
        </values>
      </ddeItem>
      <ddeItem name="3024.TW-SimulateTime" advise="1">
        <values>
          <value t="str">
            <val>13:29:47</val>
          </value>
        </values>
      </ddeItem>
      <ddeItem name="3025.TW-ID" advise="1">
        <values>
          <value t="str">
            <val>3025</val>
          </value>
        </values>
      </ddeItem>
      <ddeItem name="3025.TW-Name" advise="1">
        <values>
          <value t="str">
            <val>星通</val>
          </value>
        </values>
      </ddeItem>
      <ddeItem name="3025.TW-PreClose" advise="1">
        <values>
          <value>
            <val>19.45</val>
          </value>
        </values>
      </ddeItem>
      <ddeItem name="3025.TW-Price" advise="1">
        <values>
          <value>
            <val>19.45</val>
          </value>
        </values>
      </ddeItem>
      <ddeItem name="3025.TW-SimulatePrice" advise="1">
        <values>
          <value>
            <val>19.45</val>
          </value>
        </values>
      </ddeItem>
      <ddeItem name="3025.TW-SimulateTime" advise="1">
        <values>
          <value t="str">
            <val>13:29:12</val>
          </value>
        </values>
      </ddeItem>
      <ddeItem name="3026.TW-ID" advise="1">
        <values>
          <value t="str">
            <val>3026</val>
          </value>
        </values>
      </ddeItem>
      <ddeItem name="3026.TW-Name" advise="1">
        <values>
          <value t="str">
            <val>禾伸堂</val>
          </value>
        </values>
      </ddeItem>
      <ddeItem name="3026.TW-PreClose" advise="1">
        <values>
          <value>
            <val>125.5</val>
          </value>
        </values>
      </ddeItem>
      <ddeItem name="3026.TW-Price" advise="1">
        <values>
          <value>
            <val>127.5</val>
          </value>
        </values>
      </ddeItem>
      <ddeItem name="3026.TW-SimulatePrice" advise="1">
        <values>
          <value>
            <val>127.5</val>
          </value>
        </values>
      </ddeItem>
      <ddeItem name="3026.TW-SimulateTime" advise="1">
        <values>
          <value t="str">
            <val>13:29:59</val>
          </value>
        </values>
      </ddeItem>
      <ddeItem name="3027.TW-ID" advise="1">
        <values>
          <value t="str">
            <val>3027</val>
          </value>
        </values>
      </ddeItem>
      <ddeItem name="3027.TW-Name" advise="1">
        <values>
          <value t="str">
            <val>盛達</val>
          </value>
        </values>
      </ddeItem>
      <ddeItem name="3027.TW-PreClose" advise="1">
        <values>
          <value>
            <val>8.09</val>
          </value>
        </values>
      </ddeItem>
      <ddeItem name="3027.TW-Price" advise="1">
        <values>
          <value>
            <val>8.0299999999999994</val>
          </value>
        </values>
      </ddeItem>
      <ddeItem name="3027.TW-SimulatePrice" advise="1">
        <values>
          <value>
            <val>8.0299999999999994</val>
          </value>
        </values>
      </ddeItem>
      <ddeItem name="3027.TW-SimulateTime" advise="1">
        <values>
          <value t="str">
            <val>13:29:58</val>
          </value>
        </values>
      </ddeItem>
      <ddeItem name="3028.TW-ID" advise="1">
        <values>
          <value t="str">
            <val>3028</val>
          </value>
        </values>
      </ddeItem>
      <ddeItem name="3028.TW-Name" advise="1">
        <values>
          <value t="str">
            <val>增你強</val>
          </value>
        </values>
      </ddeItem>
      <ddeItem name="3028.TW-PreClose" advise="1">
        <values>
          <value>
            <val>19.2</val>
          </value>
        </values>
      </ddeItem>
      <ddeItem name="3028.TW-Price" advise="1">
        <values>
          <value>
            <val>18.95</val>
          </value>
        </values>
      </ddeItem>
      <ddeItem name="3028.TW-SimulatePrice" advise="1">
        <values>
          <value>
            <val>18.95</val>
          </value>
        </values>
      </ddeItem>
      <ddeItem name="3028.TW-SimulateTime" advise="1">
        <values>
          <value t="str">
            <val>13:29:47</val>
          </value>
        </values>
      </ddeItem>
      <ddeItem name="3029.TW-ID" advise="1">
        <values>
          <value t="str">
            <val>3029</val>
          </value>
        </values>
      </ddeItem>
      <ddeItem name="3029.TW-Name" advise="1">
        <values>
          <value t="str">
            <val>零壹</val>
          </value>
        </values>
      </ddeItem>
      <ddeItem name="3029.TW-PreClose" advise="1">
        <values>
          <value>
            <val>31.8</val>
          </value>
        </values>
      </ddeItem>
      <ddeItem name="3029.TW-Price" advise="1">
        <values>
          <value>
            <val>31.8</val>
          </value>
        </values>
      </ddeItem>
      <ddeItem name="3029.TW-SimulatePrice" advise="1">
        <values>
          <value>
            <val>31.8</val>
          </value>
        </values>
      </ddeItem>
      <ddeItem name="3029.TW-SimulateTime" advise="1">
        <values>
          <value t="str">
            <val>13:29:44</val>
          </value>
        </values>
      </ddeItem>
      <ddeItem name="3030.TW-ID" advise="1">
        <values>
          <value t="str">
            <val>3030</val>
          </value>
        </values>
      </ddeItem>
      <ddeItem name="3030.TW-Name" advise="1">
        <values>
          <value t="str">
            <val>德律</val>
          </value>
        </values>
      </ddeItem>
      <ddeItem name="3030.TW-PreClose" advise="1">
        <values>
          <value>
            <val>54</val>
          </value>
        </values>
      </ddeItem>
      <ddeItem name="3030.TW-Price" advise="1">
        <values>
          <value>
            <val>53.6</val>
          </value>
        </values>
      </ddeItem>
      <ddeItem name="3030.TW-SimulatePrice" advise="1">
        <values>
          <value>
            <val>53.6</val>
          </value>
        </values>
      </ddeItem>
      <ddeItem name="3030.TW-SimulateTime" advise="1">
        <values>
          <value t="str">
            <val>13:29:45</val>
          </value>
        </values>
      </ddeItem>
      <ddeItem name="3031.TW-ID" advise="1">
        <values>
          <value t="str">
            <val>3031</val>
          </value>
        </values>
      </ddeItem>
      <ddeItem name="3031.TW-Name" advise="1">
        <values>
          <value t="str">
            <val>佰鴻</val>
          </value>
        </values>
      </ddeItem>
      <ddeItem name="3031.TW-PreClose" advise="1">
        <values>
          <value>
            <val>14.25</val>
          </value>
        </values>
      </ddeItem>
      <ddeItem name="3031.TW-Price" advise="1">
        <values>
          <value>
            <val>14.5</val>
          </value>
        </values>
      </ddeItem>
      <ddeItem name="3031.TW-SimulatePrice" advise="1">
        <values>
          <value>
            <val>14.5</val>
          </value>
        </values>
      </ddeItem>
      <ddeItem name="3031.TW-SimulateTime" advise="1">
        <values>
          <value t="str">
            <val>13:29:55</val>
          </value>
        </values>
      </ddeItem>
      <ddeItem name="3032.TW-ID" advise="1">
        <values>
          <value t="str">
            <val>3032</val>
          </value>
        </values>
      </ddeItem>
      <ddeItem name="3032.TW-Name" advise="1">
        <values>
          <value t="str">
            <val>偉訓</val>
          </value>
        </values>
      </ddeItem>
      <ddeItem name="3032.TW-PreClose" advise="1">
        <values>
          <value>
            <val>28.5</val>
          </value>
        </values>
      </ddeItem>
      <ddeItem name="3032.TW-Price" advise="1">
        <values>
          <value>
            <val>28.35</val>
          </value>
        </values>
      </ddeItem>
      <ddeItem name="3032.TW-SimulatePrice" advise="1">
        <values>
          <value t="str">
            <val>--</val>
          </value>
        </values>
      </ddeItem>
      <ddeItem name="3032.TW-SimulateTime" advise="1">
        <values>
          <value t="str">
            <val>--</val>
          </value>
        </values>
      </ddeItem>
      <ddeItem name="3033.TW-ID" advise="1">
        <values>
          <value t="str">
            <val>3033</val>
          </value>
        </values>
      </ddeItem>
      <ddeItem name="3033.TW-Name" advise="1">
        <values>
          <value t="str">
            <val>威健</val>
          </value>
        </values>
      </ddeItem>
      <ddeItem name="3033.TW-PreClose" advise="1">
        <values>
          <value>
            <val>14.75</val>
          </value>
        </values>
      </ddeItem>
      <ddeItem name="3033.TW-Price" advise="1">
        <values>
          <value>
            <val>14.65</val>
          </value>
        </values>
      </ddeItem>
      <ddeItem name="3033.TW-SimulatePrice" advise="1">
        <values>
          <value>
            <val>14.65</val>
          </value>
        </values>
      </ddeItem>
      <ddeItem name="3033.TW-SimulateTime" advise="1">
        <values>
          <value t="str">
            <val>13:29:06</val>
          </value>
        </values>
      </ddeItem>
      <ddeItem name="3034.TW-ID" advise="1">
        <values>
          <value t="str">
            <val>3034</val>
          </value>
        </values>
      </ddeItem>
      <ddeItem name="3034.TW-Name" advise="1">
        <values>
          <value t="str">
            <val>聯詠</val>
          </value>
        </values>
      </ddeItem>
      <ddeItem name="3034.TW-PreClose" advise="1">
        <values>
          <value>
            <val>203.5</val>
          </value>
        </values>
      </ddeItem>
      <ddeItem name="3034.TW-Price" advise="1">
        <values>
          <value>
            <val>204</val>
          </value>
        </values>
      </ddeItem>
      <ddeItem name="3034.TW-SimulatePrice" advise="1">
        <values>
          <value>
            <val>204</val>
          </value>
        </values>
      </ddeItem>
      <ddeItem name="3034.TW-SimulateTime" advise="1">
        <values>
          <value t="str">
            <val>13:29:56</val>
          </value>
        </values>
      </ddeItem>
      <ddeItem name="3035.TW-ID" advise="1">
        <values>
          <value t="str">
            <val>3035</val>
          </value>
        </values>
      </ddeItem>
      <ddeItem name="3035.TW-Name" advise="1">
        <values>
          <value t="str">
            <val>智原</val>
          </value>
        </values>
      </ddeItem>
      <ddeItem name="3035.TW-PreClose" advise="1">
        <values>
          <value>
            <val>42.1</val>
          </value>
        </values>
      </ddeItem>
      <ddeItem name="3035.TW-Price" advise="1">
        <values>
          <value>
            <val>41.35</val>
          </value>
        </values>
      </ddeItem>
      <ddeItem name="3035.TW-SimulatePrice" advise="1">
        <values>
          <value>
            <val>41.35</val>
          </value>
        </values>
      </ddeItem>
      <ddeItem name="3035.TW-SimulateTime" advise="1">
        <values>
          <value t="str">
            <val>13:29:55</val>
          </value>
        </values>
      </ddeItem>
      <ddeItem name="3036.TW-ID" advise="1">
        <values>
          <value t="str">
            <val>3036</val>
          </value>
        </values>
      </ddeItem>
      <ddeItem name="3036.TW-Name" advise="1">
        <values>
          <value t="str">
            <val>文曄</val>
          </value>
        </values>
      </ddeItem>
      <ddeItem name="3036.TW-PreClose" advise="1">
        <values>
          <value>
            <val>38.799999999999997</val>
          </value>
        </values>
      </ddeItem>
      <ddeItem name="3036.TW-Price" advise="1">
        <values>
          <value>
            <val>38.75</val>
          </value>
        </values>
      </ddeItem>
      <ddeItem name="3036.TW-SimulatePrice" advise="1">
        <values>
          <value>
            <val>38.75</val>
          </value>
        </values>
      </ddeItem>
      <ddeItem name="3036.TW-SimulateTime" advise="1">
        <values>
          <value t="str">
            <val>13:29:58</val>
          </value>
        </values>
      </ddeItem>
      <ddeItem name="3037.TW-ID" advise="1">
        <values>
          <value t="str">
            <val>3037</val>
          </value>
        </values>
      </ddeItem>
      <ddeItem name="3037.TW-Name" advise="1">
        <values>
          <value t="str">
            <val>欣興</val>
          </value>
        </values>
      </ddeItem>
      <ddeItem name="3037.TW-PreClose" advise="1">
        <values>
          <value>
            <val>42.8</val>
          </value>
        </values>
      </ddeItem>
      <ddeItem name="3037.TW-Price" advise="1">
        <values>
          <value>
            <val>43.9</val>
          </value>
        </values>
      </ddeItem>
      <ddeItem name="3037.TW-SimulatePrice" advise="1">
        <values>
          <value>
            <val>43.9</val>
          </value>
        </values>
      </ddeItem>
      <ddeItem name="3037.TW-SimulateTime" advise="1">
        <values>
          <value t="str">
            <val>13:29:58</val>
          </value>
        </values>
      </ddeItem>
      <ddeItem name="3038.TW-ID" advise="1">
        <values>
          <value t="str">
            <val>3038</val>
          </value>
        </values>
      </ddeItem>
      <ddeItem name="3038.TW-Name" advise="1">
        <values>
          <value t="str">
            <val>全台</val>
          </value>
        </values>
      </ddeItem>
      <ddeItem name="3038.TW-PreClose" advise="1">
        <values>
          <value>
            <val>18.95</val>
          </value>
        </values>
      </ddeItem>
      <ddeItem name="3038.TW-Price" advise="1">
        <values>
          <value>
            <val>19</val>
          </value>
        </values>
      </ddeItem>
      <ddeItem name="3038.TW-SimulatePrice" advise="1">
        <values>
          <value>
            <val>19</val>
          </value>
        </values>
      </ddeItem>
      <ddeItem name="3038.TW-SimulateTime" advise="1">
        <values>
          <value t="str">
            <val>13:29:57</val>
          </value>
        </values>
      </ddeItem>
      <ddeItem name="3040.TW-ID" advise="1">
        <values>
          <value t="str">
            <val>3040</val>
          </value>
        </values>
      </ddeItem>
      <ddeItem name="3040.TW-Name" advise="1">
        <values>
          <value t="str">
            <val>遠見</val>
          </value>
        </values>
      </ddeItem>
      <ddeItem name="3040.TW-PreClose" advise="1">
        <values>
          <value>
            <val>33.200000000000003</val>
          </value>
        </values>
      </ddeItem>
      <ddeItem name="3040.TW-Price" advise="1">
        <values>
          <value>
            <val>33.15</val>
          </value>
        </values>
      </ddeItem>
      <ddeItem name="3040.TW-SimulatePrice" advise="1">
        <values>
          <value t="str">
            <val>--</val>
          </value>
        </values>
      </ddeItem>
      <ddeItem name="3040.TW-SimulateTime" advise="1">
        <values>
          <value t="str">
            <val>--</val>
          </value>
        </values>
      </ddeItem>
      <ddeItem name="3041.TW-ID" advise="1">
        <values>
          <value t="str">
            <val>3041</val>
          </value>
        </values>
      </ddeItem>
      <ddeItem name="3041.TW-Name" advise="1">
        <values>
          <value t="str">
            <val>揚智</val>
          </value>
        </values>
      </ddeItem>
      <ddeItem name="3041.TW-PreClose" advise="1">
        <values>
          <value>
            <val>16.5</val>
          </value>
        </values>
      </ddeItem>
      <ddeItem name="3041.TW-Price" advise="1">
        <values>
          <value>
            <val>17.05</val>
          </value>
        </values>
      </ddeItem>
      <ddeItem name="3041.TW-SimulatePrice" advise="1">
        <values>
          <value>
            <val>17.05</val>
          </value>
        </values>
      </ddeItem>
      <ddeItem name="3041.TW-SimulateTime" advise="1">
        <values>
          <value t="str">
            <val>13:29:57</val>
          </value>
        </values>
      </ddeItem>
      <ddeItem name="3042.TW-ID" advise="1">
        <values>
          <value t="str">
            <val>3042</val>
          </value>
        </values>
      </ddeItem>
      <ddeItem name="3042.TW-Name" advise="1">
        <values>
          <value t="str">
            <val>晶技</val>
          </value>
        </values>
      </ddeItem>
      <ddeItem name="3042.TW-PreClose" advise="1">
        <values>
          <value>
            <val>55.9</val>
          </value>
        </values>
      </ddeItem>
      <ddeItem name="3042.TW-Price" advise="1">
        <values>
          <value>
            <val>57</val>
          </value>
        </values>
      </ddeItem>
      <ddeItem name="3042.TW-SimulatePrice" advise="1">
        <values>
          <value>
            <val>56.7</val>
          </value>
        </values>
      </ddeItem>
      <ddeItem name="3042.TW-SimulateTime" advise="1">
        <values>
          <value t="str">
            <val>13:29:55</val>
          </value>
        </values>
      </ddeItem>
      <ddeItem name="3043.TW-ID" advise="1">
        <values>
          <value t="str">
            <val>3043</val>
          </value>
        </values>
      </ddeItem>
      <ddeItem name="3043.TW-Name" advise="1">
        <values>
          <value t="str">
            <val>科風</val>
          </value>
        </values>
      </ddeItem>
      <ddeItem name="3043.TW-PreClose" advise="1">
        <values>
          <value>
            <val>1.37</val>
          </value>
        </values>
      </ddeItem>
      <ddeItem name="3043.TW-Price" advise="1">
        <values>
          <value>
            <val>1.44</val>
          </value>
        </values>
      </ddeItem>
      <ddeItem name="3043.TW-SimulatePrice" advise="1">
        <values>
          <value t="str">
            <val>--</val>
          </value>
        </values>
      </ddeItem>
      <ddeItem name="3043.TW-SimulateTime" advise="1">
        <values>
          <value t="str">
            <val>--</val>
          </value>
        </values>
      </ddeItem>
      <ddeItem name="3044.TW-ID" advise="1">
        <values>
          <value t="str">
            <val>3044</val>
          </value>
        </values>
      </ddeItem>
      <ddeItem name="3044.TW-Name" advise="1">
        <values>
          <value t="str">
            <val>健鼎</val>
          </value>
        </values>
      </ddeItem>
      <ddeItem name="3044.TW-PreClose" advise="1">
        <values>
          <value>
            <val>110.5</val>
          </value>
        </values>
      </ddeItem>
      <ddeItem name="3044.TW-Price" advise="1">
        <values>
          <value>
            <val>109.5</val>
          </value>
        </values>
      </ddeItem>
      <ddeItem name="3044.TW-SimulatePrice" advise="1">
        <values>
          <value>
            <val>109.5</val>
          </value>
        </values>
      </ddeItem>
      <ddeItem name="3044.TW-SimulateTime" advise="1">
        <values>
          <value t="str">
            <val>13:29:58</val>
          </value>
        </values>
      </ddeItem>
      <ddeItem name="3045.TW-ID" advise="1">
        <values>
          <value t="str">
            <val>3045</val>
          </value>
        </values>
      </ddeItem>
      <ddeItem name="3045.TW-Name" advise="1">
        <values>
          <value t="str">
            <val>台灣大</val>
          </value>
        </values>
      </ddeItem>
      <ddeItem name="3045.TW-PreClose" advise="1">
        <values>
          <value>
            <val>107</val>
          </value>
        </values>
      </ddeItem>
      <ddeItem name="3045.TW-Price" advise="1">
        <values>
          <value>
            <val>107.5</val>
          </value>
        </values>
      </ddeItem>
      <ddeItem name="3045.TW-SimulatePrice" advise="1">
        <values>
          <value>
            <val>107.5</val>
          </value>
        </values>
      </ddeItem>
      <ddeItem name="3045.TW-SimulateTime" advise="1">
        <values>
          <value t="str">
            <val>13:29:54</val>
          </value>
        </values>
      </ddeItem>
      <ddeItem name="3046.TW-ID" advise="1">
        <values>
          <value t="str">
            <val>3046</val>
          </value>
        </values>
      </ddeItem>
      <ddeItem name="3046.TW-Name" advise="1">
        <values>
          <value t="str">
            <val>建碁</val>
          </value>
        </values>
      </ddeItem>
      <ddeItem name="3046.TW-PreClose" advise="1">
        <values>
          <value>
            <val>12</val>
          </value>
        </values>
      </ddeItem>
      <ddeItem name="3046.TW-Price" advise="1">
        <values>
          <value>
            <val>12</val>
          </value>
        </values>
      </ddeItem>
      <ddeItem name="3046.TW-SimulatePrice" advise="1">
        <values>
          <value>
            <val>12</val>
          </value>
        </values>
      </ddeItem>
      <ddeItem name="3046.TW-SimulateTime" advise="1">
        <values>
          <value t="str">
            <val>13:29:03</val>
          </value>
        </values>
      </ddeItem>
      <ddeItem name="3047.TW-ID" advise="1">
        <values>
          <value t="str">
            <val>3047</val>
          </value>
        </values>
      </ddeItem>
      <ddeItem name="3047.TW-Name" advise="1">
        <values>
          <value t="str">
            <val>訊舟</val>
          </value>
        </values>
      </ddeItem>
      <ddeItem name="3047.TW-PreClose" advise="1">
        <values>
          <value>
            <val>8.1199999999999992</val>
          </value>
        </values>
      </ddeItem>
      <ddeItem name="3047.TW-Price" advise="1">
        <values>
          <value>
            <val>7.92</val>
          </value>
        </values>
      </ddeItem>
      <ddeItem name="3047.TW-SimulatePrice" advise="1">
        <values>
          <value>
            <val>7.92</val>
          </value>
        </values>
      </ddeItem>
      <ddeItem name="3047.TW-SimulateTime" advise="1">
        <values>
          <value t="str">
            <val>13:29:52</val>
          </value>
        </values>
      </ddeItem>
      <ddeItem name="3048.TW-ID" advise="1">
        <values>
          <value t="str">
            <val>3048</val>
          </value>
        </values>
      </ddeItem>
      <ddeItem name="3048.TW-Name" advise="1">
        <values>
          <value t="str">
            <val>益登</val>
          </value>
        </values>
      </ddeItem>
      <ddeItem name="3048.TW-PreClose" advise="1">
        <values>
          <value>
            <val>17.350000000000001</val>
          </value>
        </values>
      </ddeItem>
      <ddeItem name="3048.TW-Price" advise="1">
        <values>
          <value>
            <val>17.149999999999999</val>
          </value>
        </values>
      </ddeItem>
      <ddeItem name="3048.TW-SimulatePrice" advise="1">
        <values>
          <value>
            <val>17.149999999999999</val>
          </value>
        </values>
      </ddeItem>
      <ddeItem name="3048.TW-SimulateTime" advise="1">
        <values>
          <value t="str">
            <val>13:29:38</val>
          </value>
        </values>
      </ddeItem>
      <ddeItem name="3049.TW-ID" advise="1">
        <values>
          <value t="str">
            <val>3049</val>
          </value>
        </values>
      </ddeItem>
      <ddeItem name="3049.TW-Name" advise="1">
        <values>
          <value t="str">
            <val>和鑫</val>
          </value>
        </values>
      </ddeItem>
      <ddeItem name="3049.TW-PreClose" advise="1">
        <values>
          <value>
            <val>10.050000000000001</val>
          </value>
        </values>
      </ddeItem>
      <ddeItem name="3049.TW-Price" advise="1">
        <values>
          <value>
            <val>10</val>
          </value>
        </values>
      </ddeItem>
      <ddeItem name="3049.TW-SimulatePrice" advise="1">
        <values>
          <value>
            <val>10</val>
          </value>
        </values>
      </ddeItem>
      <ddeItem name="3049.TW-SimulateTime" advise="1">
        <values>
          <value t="str">
            <val>13:29:58</val>
          </value>
        </values>
      </ddeItem>
      <ddeItem name="3050.TW-ID" advise="1">
        <values>
          <value t="str">
            <val>3050</val>
          </value>
        </values>
      </ddeItem>
      <ddeItem name="3050.TW-Name" advise="1">
        <values>
          <value t="str">
            <val>鈺德</val>
          </value>
        </values>
      </ddeItem>
      <ddeItem name="3050.TW-PreClose" advise="1">
        <values>
          <value>
            <val>10.199999999999999</val>
          </value>
        </values>
      </ddeItem>
      <ddeItem name="3050.TW-Price" advise="1">
        <values>
          <value>
            <val>9.7799999999999994</val>
          </value>
        </values>
      </ddeItem>
      <ddeItem name="3050.TW-SimulatePrice" advise="1">
        <values>
          <value>
            <val>9.7799999999999994</val>
          </value>
        </values>
      </ddeItem>
      <ddeItem name="3050.TW-SimulateTime" advise="1">
        <values>
          <value t="str">
            <val>13:29:47</val>
          </value>
        </values>
      </ddeItem>
      <ddeItem name="3051.TW-ID" advise="1">
        <values>
          <value t="str">
            <val>3051</val>
          </value>
        </values>
      </ddeItem>
      <ddeItem name="3051.TW-Name" advise="1">
        <values>
          <value t="str">
            <val>力特</val>
          </value>
        </values>
      </ddeItem>
      <ddeItem name="3051.TW-PreClose" advise="1">
        <values>
          <value>
            <val>3.11</val>
          </value>
        </values>
      </ddeItem>
      <ddeItem name="3051.TW-Price" advise="1">
        <values>
          <value>
            <val>3.16</val>
          </value>
        </values>
      </ddeItem>
      <ddeItem name="3051.TW-SimulatePrice" advise="1">
        <values>
          <value>
            <val>3.16</val>
          </value>
        </values>
      </ddeItem>
      <ddeItem name="3051.TW-SimulateTime" advise="1">
        <values>
          <value t="str">
            <val>13:29:49</val>
          </value>
        </values>
      </ddeItem>
      <ddeItem name="3052.TW-ID" advise="1">
        <values>
          <value t="str">
            <val>3052</val>
          </value>
        </values>
      </ddeItem>
      <ddeItem name="3052.TW-Name" advise="1">
        <values>
          <value t="str">
            <val>夆典</val>
          </value>
        </values>
      </ddeItem>
      <ddeItem name="3052.TW-PreClose" advise="1">
        <values>
          <value>
            <val>10.5</val>
          </value>
        </values>
      </ddeItem>
      <ddeItem name="3052.TW-Price" advise="1">
        <values>
          <value>
            <val>10.4</val>
          </value>
        </values>
      </ddeItem>
      <ddeItem name="3052.TW-SimulatePrice" advise="1">
        <values>
          <value>
            <val>10.4</val>
          </value>
        </values>
      </ddeItem>
      <ddeItem name="3052.TW-SimulateTime" advise="1">
        <values>
          <value t="str">
            <val>13:29:59</val>
          </value>
        </values>
      </ddeItem>
      <ddeItem name="3054.TW-ID" advise="1">
        <values>
          <value t="str">
            <val>3054</val>
          </value>
        </values>
      </ddeItem>
      <ddeItem name="3054.TW-Name" advise="1">
        <values>
          <value t="str">
            <val>立萬利</val>
          </value>
        </values>
      </ddeItem>
      <ddeItem name="3054.TW-PreClose" advise="1">
        <values>
          <value>
            <val>23.75</val>
          </value>
        </values>
      </ddeItem>
      <ddeItem name="3054.TW-Price" advise="1">
        <values>
          <value>
            <val>23.85</val>
          </value>
        </values>
      </ddeItem>
      <ddeItem name="3054.TW-SimulatePrice" advise="1">
        <values>
          <value t="str">
            <val>--</val>
          </value>
        </values>
      </ddeItem>
      <ddeItem name="3054.TW-SimulateTime" advise="1">
        <values>
          <value t="str">
            <val>--</val>
          </value>
        </values>
      </ddeItem>
      <ddeItem name="3055.TW-ID" advise="1">
        <values>
          <value t="str">
            <val>3055</val>
          </value>
        </values>
      </ddeItem>
      <ddeItem name="3055.TW-Name" advise="1">
        <values>
          <value t="str">
            <val>蔚華科</val>
          </value>
        </values>
      </ddeItem>
      <ddeItem name="3055.TW-PreClose" advise="1">
        <values>
          <value>
            <val>27.65</val>
          </value>
        </values>
      </ddeItem>
      <ddeItem name="3055.TW-Price" advise="1">
        <values>
          <value>
            <val>27.5</val>
          </value>
        </values>
      </ddeItem>
      <ddeItem name="3055.TW-SimulatePrice" advise="1">
        <values>
          <value>
            <val>27.5</val>
          </value>
        </values>
      </ddeItem>
      <ddeItem name="3055.TW-SimulateTime" advise="1">
        <values>
          <value t="str">
            <val>13:29:26</val>
          </value>
        </values>
      </ddeItem>
      <ddeItem name="3056.TW-ID" advise="1">
        <values>
          <value t="str">
            <val>3056</val>
          </value>
        </values>
      </ddeItem>
      <ddeItem name="3056.TW-Name" advise="1">
        <values>
          <value t="str">
            <val>總太</val>
          </value>
        </values>
      </ddeItem>
      <ddeItem name="3056.TW-PreClose" advise="1">
        <values>
          <value>
            <val>31.45</val>
          </value>
        </values>
      </ddeItem>
      <ddeItem name="3056.TW-Price" advise="1">
        <values>
          <value>
            <val>31.45</val>
          </value>
        </values>
      </ddeItem>
      <ddeItem name="3056.TW-SimulatePrice" advise="1">
        <values>
          <value>
            <val>31.45</val>
          </value>
        </values>
      </ddeItem>
      <ddeItem name="3056.TW-SimulateTime" advise="1">
        <values>
          <value t="str">
            <val>13:29:57</val>
          </value>
        </values>
      </ddeItem>
      <ddeItem name="3057.TW-ID" advise="1">
        <values>
          <value t="str">
            <val>3057</val>
          </value>
        </values>
      </ddeItem>
      <ddeItem name="3057.TW-Name" advise="1">
        <values>
          <value t="str">
            <val>喬鼎</val>
          </value>
        </values>
      </ddeItem>
      <ddeItem name="3057.TW-PreClose" advise="1">
        <values>
          <value>
            <val>4.51</val>
          </value>
        </values>
      </ddeItem>
      <ddeItem name="3057.TW-Price" advise="1">
        <values>
          <value>
            <val>4.55</val>
          </value>
        </values>
      </ddeItem>
      <ddeItem name="3057.TW-SimulatePrice" advise="1">
        <values>
          <value>
            <val>4.55</val>
          </value>
        </values>
      </ddeItem>
      <ddeItem name="3057.TW-SimulateTime" advise="1">
        <values>
          <value t="str">
            <val>13:29:50</val>
          </value>
        </values>
      </ddeItem>
      <ddeItem name="3058.TW-ID" advise="1">
        <values>
          <value t="str">
            <val>3058</val>
          </value>
        </values>
      </ddeItem>
      <ddeItem name="3058.TW-Name" advise="1">
        <values>
          <value t="str">
            <val>立德</val>
          </value>
        </values>
      </ddeItem>
      <ddeItem name="3058.TW-PreClose" advise="1">
        <values>
          <value>
            <val>6.88</val>
          </value>
        </values>
      </ddeItem>
      <ddeItem name="3058.TW-Price" advise="1">
        <values>
          <value>
            <val>6.7</val>
          </value>
        </values>
      </ddeItem>
      <ddeItem name="3058.TW-SimulatePrice" advise="1">
        <values>
          <value>
            <val>6.7</val>
          </value>
        </values>
      </ddeItem>
      <ddeItem name="3058.TW-SimulateTime" advise="1">
        <values>
          <value t="str">
            <val>13:29:59</val>
          </value>
        </values>
      </ddeItem>
      <ddeItem name="3059.TW-ID" advise="1">
        <values>
          <value t="str">
            <val>3059</val>
          </value>
        </values>
      </ddeItem>
      <ddeItem name="3059.TW-Name" advise="1">
        <values>
          <value t="str">
            <val>華晶科</val>
          </value>
        </values>
      </ddeItem>
      <ddeItem name="3059.TW-PreClose" advise="1">
        <values>
          <value>
            <val>21.8</val>
          </value>
        </values>
      </ddeItem>
      <ddeItem name="3059.TW-Price" advise="1">
        <values>
          <value>
            <val>21.55</val>
          </value>
        </values>
      </ddeItem>
      <ddeItem name="3059.TW-SimulatePrice" advise="1">
        <values>
          <value>
            <val>21.55</val>
          </value>
        </values>
      </ddeItem>
      <ddeItem name="3059.TW-SimulateTime" advise="1">
        <values>
          <value t="str">
            <val>13:29:49</val>
          </value>
        </values>
      </ddeItem>
      <ddeItem name="3060.TW-ID" advise="1">
        <values>
          <value t="str">
            <val>3060</val>
          </value>
        </values>
      </ddeItem>
      <ddeItem name="3060.TW-Name" advise="1">
        <values>
          <value t="str">
            <val>銘異</val>
          </value>
        </values>
      </ddeItem>
      <ddeItem name="3060.TW-PreClose" advise="1">
        <values>
          <value>
            <val>13.1</val>
          </value>
        </values>
      </ddeItem>
      <ddeItem name="3060.TW-Price" advise="1">
        <values>
          <value>
            <val>12.9</val>
          </value>
        </values>
      </ddeItem>
      <ddeItem name="3060.TW-SimulatePrice" advise="1">
        <values>
          <value>
            <val>12.9</val>
          </value>
        </values>
      </ddeItem>
      <ddeItem name="3060.TW-SimulateTime" advise="1">
        <values>
          <value t="str">
            <val>13:29:53</val>
          </value>
        </values>
      </ddeItem>
      <ddeItem name="3062.TW-ID" advise="1">
        <values>
          <value t="str">
            <val>3062</val>
          </value>
        </values>
      </ddeItem>
      <ddeItem name="3062.TW-Name" advise="1">
        <values>
          <value t="str">
            <val>建漢</val>
          </value>
        </values>
      </ddeItem>
      <ddeItem name="3062.TW-PreClose" advise="1">
        <values>
          <value>
            <val>14.8</val>
          </value>
        </values>
      </ddeItem>
      <ddeItem name="3062.TW-Price" advise="1">
        <values>
          <value>
            <val>14.6</val>
          </value>
        </values>
      </ddeItem>
      <ddeItem name="3062.TW-SimulatePrice" advise="1">
        <values>
          <value>
            <val>14.6</val>
          </value>
        </values>
      </ddeItem>
      <ddeItem name="3062.TW-SimulateTime" advise="1">
        <values>
          <value t="str">
            <val>13:29:50</val>
          </value>
        </values>
      </ddeItem>
      <ddeItem name="3090.TW-ID" advise="1">
        <values>
          <value t="str">
            <val>3090</val>
          </value>
        </values>
      </ddeItem>
      <ddeItem name="3090.TW-Name" advise="1">
        <values>
          <value t="str">
            <val>日電貿</val>
          </value>
        </values>
      </ddeItem>
      <ddeItem name="3090.TW-PreClose" advise="1">
        <values>
          <value>
            <val>51.9</val>
          </value>
        </values>
      </ddeItem>
      <ddeItem name="3090.TW-Price" advise="1">
        <values>
          <value>
            <val>52.9</val>
          </value>
        </values>
      </ddeItem>
      <ddeItem name="3090.TW-SimulatePrice" advise="1">
        <values>
          <value>
            <val>52.9</val>
          </value>
        </values>
      </ddeItem>
      <ddeItem name="3090.TW-SimulateTime" advise="1">
        <values>
          <value t="str">
            <val>13:29:59</val>
          </value>
        </values>
      </ddeItem>
      <ddeItem name="3094.TW-ID" advise="1">
        <values>
          <value t="str">
            <val>3094</val>
          </value>
        </values>
      </ddeItem>
      <ddeItem name="3094.TW-Name" advise="1">
        <values>
          <value t="str">
            <val>聯傑</val>
          </value>
        </values>
      </ddeItem>
      <ddeItem name="3094.TW-PreClose" advise="1">
        <values>
          <value>
            <val>17.600000000000001</val>
          </value>
        </values>
      </ddeItem>
      <ddeItem name="3094.TW-Price" advise="1">
        <values>
          <value>
            <val>17.7</val>
          </value>
        </values>
      </ddeItem>
      <ddeItem name="3094.TW-SimulatePrice" advise="1">
        <values>
          <value>
            <val>17.7</val>
          </value>
        </values>
      </ddeItem>
      <ddeItem name="3094.TW-SimulateTime" advise="1">
        <values>
          <value t="str">
            <val>13:29:59</val>
          </value>
        </values>
      </ddeItem>
      <ddeItem name="3130.TW-ID" advise="1">
        <values>
          <value t="str">
            <val>3130</val>
          </value>
        </values>
      </ddeItem>
      <ddeItem name="3130.TW-Name" advise="1">
        <values>
          <value t="str">
            <val>一零四</val>
          </value>
        </values>
      </ddeItem>
      <ddeItem name="3130.TW-PreClose" advise="1">
        <values>
          <value>
            <val>152</val>
          </value>
        </values>
      </ddeItem>
      <ddeItem name="3130.TW-Price" advise="1">
        <values>
          <value>
            <val>152.5</val>
          </value>
        </values>
      </ddeItem>
      <ddeItem name="3130.TW-SimulatePrice" advise="1">
        <values>
          <value t="str">
            <val>--</val>
          </value>
        </values>
      </ddeItem>
      <ddeItem name="3130.TW-SimulateTime" advise="1">
        <values>
          <value t="str">
            <val>--</val>
          </value>
        </values>
      </ddeItem>
      <ddeItem name="3149.TW-ID" advise="1">
        <values>
          <value t="str">
            <val>3149</val>
          </value>
        </values>
      </ddeItem>
      <ddeItem name="3149.TW-Name" advise="1">
        <values>
          <value t="str">
            <val>正達</val>
          </value>
        </values>
      </ddeItem>
      <ddeItem name="3149.TW-PreClose" advise="1">
        <values>
          <value>
            <val>7.64</val>
          </value>
        </values>
      </ddeItem>
      <ddeItem name="3149.TW-Price" advise="1">
        <values>
          <value>
            <val>7.11</val>
          </value>
        </values>
      </ddeItem>
      <ddeItem name="3149.TW-SimulatePrice" advise="1">
        <values>
          <value>
            <val>7.11</val>
          </value>
        </values>
      </ddeItem>
      <ddeItem name="3149.TW-SimulateTime" advise="1">
        <values>
          <value t="str">
            <val>13:29:58</val>
          </value>
        </values>
      </ddeItem>
      <ddeItem name="3164.TW-ID" advise="1">
        <values>
          <value t="str">
            <val>3164</val>
          </value>
        </values>
      </ddeItem>
      <ddeItem name="3164.TW-Name" advise="1">
        <values>
          <value t="str">
            <val>景岳</val>
          </value>
        </values>
      </ddeItem>
      <ddeItem name="3164.TW-PreClose" advise="1">
        <values>
          <value>
            <val>23.8</val>
          </value>
        </values>
      </ddeItem>
      <ddeItem name="3164.TW-Price" advise="1">
        <values>
          <value>
            <val>23.95</val>
          </value>
        </values>
      </ddeItem>
      <ddeItem name="3164.TW-SimulatePrice" advise="1">
        <values>
          <value t="str">
            <val>--</val>
          </value>
        </values>
      </ddeItem>
      <ddeItem name="3164.TW-SimulateTime" advise="1">
        <values>
          <value t="str">
            <val>--</val>
          </value>
        </values>
      </ddeItem>
      <ddeItem name="3167.TW-ID" advise="1">
        <values>
          <value t="str">
            <val>3167</val>
          </value>
        </values>
      </ddeItem>
      <ddeItem name="3167.TW-Name" advise="1">
        <values>
          <value t="str">
            <val>大量</val>
          </value>
        </values>
      </ddeItem>
      <ddeItem name="3167.TW-PreClose" advise="1">
        <values>
          <value>
            <val>42.55</val>
          </value>
        </values>
      </ddeItem>
      <ddeItem name="3167.TW-Price" advise="1">
        <values>
          <value>
            <val>43.05</val>
          </value>
        </values>
      </ddeItem>
      <ddeItem name="3167.TW-SimulatePrice" advise="1">
        <values>
          <value>
            <val>43.05</val>
          </value>
        </values>
      </ddeItem>
      <ddeItem name="3167.TW-SimulateTime" advise="1">
        <values>
          <value t="str">
            <val>13:27:54</val>
          </value>
        </values>
      </ddeItem>
      <ddeItem name="3189.TW-ID" advise="1">
        <values>
          <value t="str">
            <val>3189</val>
          </value>
        </values>
      </ddeItem>
      <ddeItem name="3189.TW-Name" advise="1">
        <values>
          <value t="str">
            <val>景碩</val>
          </value>
        </values>
      </ddeItem>
      <ddeItem name="3189.TW-PreClose" advise="1">
        <values>
          <value>
            <val>51</val>
          </value>
        </values>
      </ddeItem>
      <ddeItem name="3189.TW-Price" advise="1">
        <values>
          <value>
            <val>50.7</val>
          </value>
        </values>
      </ddeItem>
      <ddeItem name="3189.TW-SimulatePrice" advise="1">
        <values>
          <value>
            <val>50.7</val>
          </value>
        </values>
      </ddeItem>
      <ddeItem name="3189.TW-SimulateTime" advise="1">
        <values>
          <value t="str">
            <val>13:29:55</val>
          </value>
        </values>
      </ddeItem>
      <ddeItem name="3209.TW-ID" advise="1">
        <values>
          <value t="str">
            <val>3209</val>
          </value>
        </values>
      </ddeItem>
      <ddeItem name="3209.TW-Name" advise="1">
        <values>
          <value t="str">
            <val>全科</val>
          </value>
        </values>
      </ddeItem>
      <ddeItem name="3209.TW-PreClose" advise="1">
        <values>
          <value>
            <val>19.75</val>
          </value>
        </values>
      </ddeItem>
      <ddeItem name="3209.TW-Price" advise="1">
        <values>
          <value>
            <val>20.05</val>
          </value>
        </values>
      </ddeItem>
      <ddeItem name="3209.TW-SimulatePrice" advise="1">
        <values>
          <value>
            <val>20.05</val>
          </value>
        </values>
      </ddeItem>
      <ddeItem name="3209.TW-SimulateTime" advise="1">
        <values>
          <value t="str">
            <val>13:29:59</val>
          </value>
        </values>
      </ddeItem>
      <ddeItem name="3229.TW-ID" advise="1">
        <values>
          <value t="str">
            <val>3229</val>
          </value>
        </values>
      </ddeItem>
      <ddeItem name="3229.TW-Name" advise="1">
        <values>
          <value t="str">
            <val>晟鈦</val>
          </value>
        </values>
      </ddeItem>
      <ddeItem name="3229.TW-PreClose" advise="1">
        <values>
          <value>
            <val>9.1</val>
          </value>
        </values>
      </ddeItem>
      <ddeItem name="3229.TW-Price" advise="1">
        <values>
          <value>
            <val>9.3000000000000007</val>
          </value>
        </values>
      </ddeItem>
      <ddeItem name="3229.TW-SimulatePrice" advise="1">
        <values>
          <value t="str">
            <val>--</val>
          </value>
        </values>
      </ddeItem>
      <ddeItem name="3229.TW-SimulateTime" advise="1">
        <values>
          <value t="str">
            <val>--</val>
          </value>
        </values>
      </ddeItem>
      <ddeItem name="3231.TW-ID" advise="1">
        <values>
          <value t="str">
            <val>3231</val>
          </value>
        </values>
      </ddeItem>
      <ddeItem name="3231.TW-Name" advise="1">
        <values>
          <value t="str">
            <val>緯創</val>
          </value>
        </values>
      </ddeItem>
      <ddeItem name="3231.TW-PreClose" advise="1">
        <values>
          <value>
            <val>27.95</val>
          </value>
        </values>
      </ddeItem>
      <ddeItem name="3231.TW-Price" advise="1">
        <values>
          <value>
            <val>28.1</val>
          </value>
        </values>
      </ddeItem>
      <ddeItem name="3231.TW-SimulatePrice" advise="1">
        <values>
          <value>
            <val>28.15</val>
          </value>
        </values>
      </ddeItem>
      <ddeItem name="3231.TW-SimulateTime" advise="1">
        <values>
          <value t="str">
            <val>13:29:55</val>
          </value>
        </values>
      </ddeItem>
      <ddeItem name="3257.TW-ID" advise="1">
        <values>
          <value t="str">
            <val>3257</val>
          </value>
        </values>
      </ddeItem>
      <ddeItem name="3257.TW-Name" advise="1">
        <values>
          <value t="str">
            <val>虹冠電</val>
          </value>
        </values>
      </ddeItem>
      <ddeItem name="3257.TW-PreClose" advise="1">
        <values>
          <value>
            <val>60.3</val>
          </value>
        </values>
      </ddeItem>
      <ddeItem name="3257.TW-Price" advise="1">
        <values>
          <value>
            <val>60.9</val>
          </value>
        </values>
      </ddeItem>
      <ddeItem name="3257.TW-SimulatePrice" advise="1">
        <values>
          <value>
            <val>60.9</val>
          </value>
        </values>
      </ddeItem>
      <ddeItem name="3257.TW-SimulateTime" advise="1">
        <values>
          <value t="str">
            <val>13:29:57</val>
          </value>
        </values>
      </ddeItem>
      <ddeItem name="3266.TW-ID" advise="1">
        <values>
          <value t="str">
            <val>3266</val>
          </value>
        </values>
      </ddeItem>
      <ddeItem name="3266.TW-Name" advise="1">
        <values>
          <value t="str">
            <val>昇陽</val>
          </value>
        </values>
      </ddeItem>
      <ddeItem name="3266.TW-PreClose" advise="1">
        <values>
          <value>
            <val>12.9</val>
          </value>
        </values>
      </ddeItem>
      <ddeItem name="3266.TW-Price" advise="1">
        <values>
          <value>
            <val>14.15</val>
          </value>
        </values>
      </ddeItem>
      <ddeItem name="3266.TW-SimulatePrice" advise="1">
        <values>
          <value>
            <val>14.15</val>
          </value>
        </values>
      </ddeItem>
      <ddeItem name="3266.TW-SimulateTime" advise="1">
        <values>
          <value t="str">
            <val>13:28:43</val>
          </value>
        </values>
      </ddeItem>
      <ddeItem name="3296.TW-ID" advise="1">
        <values>
          <value t="str">
            <val>3296</val>
          </value>
        </values>
      </ddeItem>
      <ddeItem name="3296.TW-Name" advise="1">
        <values>
          <value t="str">
            <val>勝德</val>
          </value>
        </values>
      </ddeItem>
      <ddeItem name="3296.TW-PreClose" advise="1">
        <values>
          <value>
            <val>13.1</val>
          </value>
        </values>
      </ddeItem>
      <ddeItem name="3296.TW-Price" advise="1">
        <values>
          <value>
            <val>13.1</val>
          </value>
        </values>
      </ddeItem>
      <ddeItem name="3296.TW-SimulatePrice" advise="1">
        <values>
          <value>
            <val>13.1</val>
          </value>
        </values>
      </ddeItem>
      <ddeItem name="3296.TW-SimulateTime" advise="1">
        <values>
          <value t="str">
            <val>13:28:29</val>
          </value>
        </values>
      </ddeItem>
      <ddeItem name="3305.TW-ID" advise="1">
        <values>
          <value t="str">
            <val>3305</val>
          </value>
        </values>
      </ddeItem>
      <ddeItem name="3305.TW-Name" advise="1">
        <values>
          <value t="str">
            <val>昇貿</val>
          </value>
        </values>
      </ddeItem>
      <ddeItem name="3305.TW-PreClose" advise="1">
        <values>
          <value>
            <val>19.45</val>
          </value>
        </values>
      </ddeItem>
      <ddeItem name="3305.TW-Price" advise="1">
        <values>
          <value>
            <val>19.5</val>
          </value>
        </values>
      </ddeItem>
      <ddeItem name="3305.TW-SimulatePrice" advise="1">
        <values>
          <value>
            <val>19.5</val>
          </value>
        </values>
      </ddeItem>
      <ddeItem name="3305.TW-SimulateTime" advise="1">
        <values>
          <value t="str">
            <val>13:29:59</val>
          </value>
        </values>
      </ddeItem>
      <ddeItem name="3308.TW-ID" advise="1">
        <values>
          <value t="str">
            <val>3308</val>
          </value>
        </values>
      </ddeItem>
      <ddeItem name="3308.TW-Name" advise="1">
        <values>
          <value t="str">
            <val>聯德</val>
          </value>
        </values>
      </ddeItem>
      <ddeItem name="3308.TW-PreClose" advise="1">
        <values>
          <value>
            <val>4.99</val>
          </value>
        </values>
      </ddeItem>
      <ddeItem name="3308.TW-Price" advise="1">
        <values>
          <value>
            <val>5.48</val>
          </value>
        </values>
      </ddeItem>
      <ddeItem name="3308.TW-SimulatePrice" advise="1">
        <values>
          <value>
            <val>5.48</val>
          </value>
        </values>
      </ddeItem>
      <ddeItem name="3308.TW-SimulateTime" advise="1">
        <values>
          <value t="str">
            <val>13:29:49</val>
          </value>
        </values>
      </ddeItem>
      <ddeItem name="3311.TW-ID" advise="1">
        <values>
          <value t="str">
            <val>3311</val>
          </value>
        </values>
      </ddeItem>
      <ddeItem name="3311.TW-Name" advise="1">
        <values>
          <value t="str">
            <val>閎暉</val>
          </value>
        </values>
      </ddeItem>
      <ddeItem name="3311.TW-PreClose" advise="1">
        <values>
          <value>
            <val>27.5</val>
          </value>
        </values>
      </ddeItem>
      <ddeItem name="3311.TW-Price" advise="1">
        <values>
          <value>
            <val>27.5</val>
          </value>
        </values>
      </ddeItem>
      <ddeItem name="3311.TW-SimulatePrice" advise="1">
        <values>
          <value>
            <val>27.5</val>
          </value>
        </values>
      </ddeItem>
      <ddeItem name="3311.TW-SimulateTime" advise="1">
        <values>
          <value t="str">
            <val>13:29:23</val>
          </value>
        </values>
      </ddeItem>
      <ddeItem name="3312.TW-ID" advise="1">
        <values>
          <value t="str">
            <val>3312</val>
          </value>
        </values>
      </ddeItem>
      <ddeItem name="3312.TW-Name" advise="1">
        <values>
          <value t="str">
            <val>弘憶股</val>
          </value>
        </values>
      </ddeItem>
      <ddeItem name="3312.TW-PreClose" advise="1">
        <values>
          <value>
            <val>15</val>
          </value>
        </values>
      </ddeItem>
      <ddeItem name="3312.TW-Price" advise="1">
        <values>
          <value>
            <val>15.15</val>
          </value>
        </values>
      </ddeItem>
      <ddeItem name="3312.TW-SimulatePrice" advise="1">
        <values>
          <value>
            <val>15.15</val>
          </value>
        </values>
      </ddeItem>
      <ddeItem name="3312.TW-SimulateTime" advise="1">
        <values>
          <value t="str">
            <val>13:29:56</val>
          </value>
        </values>
      </ddeItem>
      <ddeItem name="3321.TW-ID" advise="1">
        <values>
          <value t="str">
            <val>3321</val>
          </value>
        </values>
      </ddeItem>
      <ddeItem name="3321.TW-Name" advise="1">
        <values>
          <value t="str">
            <val>同泰</val>
          </value>
        </values>
      </ddeItem>
      <ddeItem name="3321.TW-PreClose" advise="1">
        <values>
          <value>
            <val>11.75</val>
          </value>
        </values>
      </ddeItem>
      <ddeItem name="3321.TW-Price" advise="1">
        <values>
          <value>
            <val>10.6</val>
          </value>
        </values>
      </ddeItem>
      <ddeItem name="3321.TW-SimulatePrice" advise="1">
        <values>
          <value>
            <val>10.6</val>
          </value>
        </values>
      </ddeItem>
      <ddeItem name="3321.TW-SimulateTime" advise="1">
        <values>
          <value t="str">
            <val>13:29:49</val>
          </value>
        </values>
      </ddeItem>
      <ddeItem name="3338.TW-ID" advise="1">
        <values>
          <value t="str">
            <val>3338</val>
          </value>
        </values>
      </ddeItem>
      <ddeItem name="3338.TW-Name" advise="1">
        <values>
          <value t="str">
            <val>泰碩</val>
          </value>
        </values>
      </ddeItem>
      <ddeItem name="3338.TW-PreClose" advise="1">
        <values>
          <value>
            <val>92.6</val>
          </value>
        </values>
      </ddeItem>
      <ddeItem name="3338.TW-Price" advise="1">
        <values>
          <value>
            <val>90.3</val>
          </value>
        </values>
      </ddeItem>
      <ddeItem name="3338.TW-SimulatePrice" advise="1">
        <values>
          <value>
            <val>90.3</val>
          </value>
        </values>
      </ddeItem>
      <ddeItem name="3338.TW-SimulateTime" advise="1">
        <values>
          <value t="str">
            <val>13:29:57</val>
          </value>
        </values>
      </ddeItem>
      <ddeItem name="3346.TW-ID" advise="1">
        <values>
          <value t="str">
            <val>3346</val>
          </value>
        </values>
      </ddeItem>
      <ddeItem name="3346.TW-Name" advise="1">
        <values>
          <value t="str">
            <val>麗清</val>
          </value>
        </values>
      </ddeItem>
      <ddeItem name="3346.TW-PreClose" advise="1">
        <values>
          <value>
            <val>26.35</val>
          </value>
        </values>
      </ddeItem>
      <ddeItem name="3346.TW-Price" advise="1">
        <values>
          <value>
            <val>25.3</val>
          </value>
        </values>
      </ddeItem>
      <ddeItem name="3346.TW-SimulatePrice" advise="1">
        <values>
          <value>
            <val>25.3</val>
          </value>
        </values>
      </ddeItem>
      <ddeItem name="3346.TW-SimulateTime" advise="1">
        <values>
          <value t="str">
            <val>13:29:46</val>
          </value>
        </values>
      </ddeItem>
      <ddeItem name="3356.TW-ID" advise="1">
        <values>
          <value t="str">
            <val>3356</val>
          </value>
        </values>
      </ddeItem>
      <ddeItem name="3356.TW-Name" advise="1">
        <values>
          <value t="str">
            <val>奇偶</val>
          </value>
        </values>
      </ddeItem>
      <ddeItem name="3356.TW-PreClose" advise="1">
        <values>
          <value>
            <val>22.95</val>
          </value>
        </values>
      </ddeItem>
      <ddeItem name="3356.TW-Price" advise="1">
        <values>
          <value>
            <val>22.5</val>
          </value>
        </values>
      </ddeItem>
      <ddeItem name="3356.TW-SimulatePrice" advise="1">
        <values>
          <value>
            <val>22.5</val>
          </value>
        </values>
      </ddeItem>
      <ddeItem name="3356.TW-SimulateTime" advise="1">
        <values>
          <value t="str">
            <val>13:29:54</val>
          </value>
        </values>
      </ddeItem>
      <ddeItem name="3376.TW-ID" advise="1">
        <values>
          <value t="str">
            <val>3376</val>
          </value>
        </values>
      </ddeItem>
      <ddeItem name="3376.TW-Name" advise="1">
        <values>
          <value t="str">
            <val>新日興</val>
          </value>
        </values>
      </ddeItem>
      <ddeItem name="3376.TW-PreClose" advise="1">
        <values>
          <value>
            <val>127.5</val>
          </value>
        </values>
      </ddeItem>
      <ddeItem name="3376.TW-Price" advise="1">
        <values>
          <value>
            <val>127.5</val>
          </value>
        </values>
      </ddeItem>
      <ddeItem name="3376.TW-SimulatePrice" advise="1">
        <values>
          <value>
            <val>127.5</val>
          </value>
        </values>
      </ddeItem>
      <ddeItem name="3376.TW-SimulateTime" advise="1">
        <values>
          <value t="str">
            <val>13:29:56</val>
          </value>
        </values>
      </ddeItem>
      <ddeItem name="3380.TW-ID" advise="1">
        <values>
          <value t="str">
            <val>3380</val>
          </value>
        </values>
      </ddeItem>
      <ddeItem name="3380.TW-Name" advise="1">
        <values>
          <value t="str">
            <val>明泰</val>
          </value>
        </values>
      </ddeItem>
      <ddeItem name="3380.TW-PreClose" advise="1">
        <values>
          <value>
            <val>26</val>
          </value>
        </values>
      </ddeItem>
      <ddeItem name="3380.TW-Price" advise="1">
        <values>
          <value>
            <val>26</val>
          </value>
        </values>
      </ddeItem>
      <ddeItem name="3380.TW-SimulatePrice" advise="1">
        <values>
          <value>
            <val>26</val>
          </value>
        </values>
      </ddeItem>
      <ddeItem name="3380.TW-SimulateTime" advise="1">
        <values>
          <value t="str">
            <val>13:29:53</val>
          </value>
        </values>
      </ddeItem>
      <ddeItem name="3383.TW-ID" advise="1">
        <values>
          <value t="str">
            <val>3383</val>
          </value>
        </values>
      </ddeItem>
      <ddeItem name="3383.TW-Name" advise="1">
        <values>
          <value t="str">
            <val>新世紀</val>
          </value>
        </values>
      </ddeItem>
      <ddeItem name="3383.TW-PreClose" advise="1">
        <values>
          <value>
            <val>4.54</val>
          </value>
        </values>
      </ddeItem>
      <ddeItem name="3383.TW-Price" advise="1">
        <values>
          <value>
            <val>4.5599999999999996</val>
          </value>
        </values>
      </ddeItem>
      <ddeItem name="3383.TW-SimulatePrice" advise="1">
        <values>
          <value t="str">
            <val>--</val>
          </value>
        </values>
      </ddeItem>
      <ddeItem name="3383.TW-SimulateTime" advise="1">
        <values>
          <value t="str">
            <val>--</val>
          </value>
        </values>
      </ddeItem>
      <ddeItem name="3406.TW-ID" advise="1">
        <values>
          <value t="str">
            <val>3406</val>
          </value>
        </values>
      </ddeItem>
      <ddeItem name="3406.TW-Name" advise="1">
        <values>
          <value t="str">
            <val>玉晶光</val>
          </value>
        </values>
      </ddeItem>
      <ddeItem name="3406.TW-PreClose" advise="1">
        <values>
          <value>
            <val>498.5</val>
          </value>
        </values>
      </ddeItem>
      <ddeItem name="3406.TW-Price" advise="1">
        <values>
          <value>
            <val>493</val>
          </value>
        </values>
      </ddeItem>
      <ddeItem name="3406.TW-SimulatePrice" advise="1">
        <values>
          <value>
            <val>493</val>
          </value>
        </values>
      </ddeItem>
      <ddeItem name="3406.TW-SimulateTime" advise="1">
        <values>
          <value t="str">
            <val>13:29:59</val>
          </value>
        </values>
      </ddeItem>
      <ddeItem name="3413.TW-ID" advise="1">
        <values>
          <value t="str">
            <val>3413</val>
          </value>
        </values>
      </ddeItem>
      <ddeItem name="3413.TW-Name" advise="1">
        <values>
          <value t="str">
            <val>京鼎</val>
          </value>
        </values>
      </ddeItem>
      <ddeItem name="3413.TW-PreClose" advise="1">
        <values>
          <value>
            <val>167</val>
          </value>
        </values>
      </ddeItem>
      <ddeItem name="3413.TW-Price" advise="1">
        <values>
          <value>
            <val>166</val>
          </value>
        </values>
      </ddeItem>
      <ddeItem name="3413.TW-SimulatePrice" advise="1">
        <values>
          <value>
            <val>166</val>
          </value>
        </values>
      </ddeItem>
      <ddeItem name="3413.TW-SimulateTime" advise="1">
        <values>
          <value t="str">
            <val>13:29:57</val>
          </value>
        </values>
      </ddeItem>
      <ddeItem name="3416.TW-ID" advise="1">
        <values>
          <value t="str">
            <val>3416</val>
          </value>
        </values>
      </ddeItem>
      <ddeItem name="3416.TW-Name" advise="1">
        <values>
          <value t="str">
            <val>融程電</val>
          </value>
        </values>
      </ddeItem>
      <ddeItem name="3416.TW-PreClose" advise="1">
        <values>
          <value>
            <val>52.9</val>
          </value>
        </values>
      </ddeItem>
      <ddeItem name="3416.TW-Price" advise="1">
        <values>
          <value>
            <val>53.7</val>
          </value>
        </values>
      </ddeItem>
      <ddeItem name="3416.TW-SimulatePrice" advise="1">
        <values>
          <value>
            <val>53.6</val>
          </value>
        </values>
      </ddeItem>
      <ddeItem name="3416.TW-SimulateTime" advise="1">
        <values>
          <value t="str">
            <val>13:29:55</val>
          </value>
        </values>
      </ddeItem>
      <ddeItem name="3419.TW-ID" advise="1">
        <values>
          <value t="str">
            <val>3419</val>
          </value>
        </values>
      </ddeItem>
      <ddeItem name="3419.TW-Name" advise="1">
        <values>
          <value t="str">
            <val>譁裕</val>
          </value>
        </values>
      </ddeItem>
      <ddeItem name="3419.TW-PreClose" advise="1">
        <values>
          <value>
            <val>14.1</val>
          </value>
        </values>
      </ddeItem>
      <ddeItem name="3419.TW-Price" advise="1">
        <values>
          <value>
            <val>14</val>
          </value>
        </values>
      </ddeItem>
      <ddeItem name="3419.TW-SimulatePrice" advise="1">
        <values>
          <value>
            <val>14</val>
          </value>
        </values>
      </ddeItem>
      <ddeItem name="3419.TW-SimulateTime" advise="1">
        <values>
          <value t="str">
            <val>13:29:14</val>
          </value>
        </values>
      </ddeItem>
      <ddeItem name="3432.TW-ID" advise="1">
        <values>
          <value t="str">
            <val>3432</val>
          </value>
        </values>
      </ddeItem>
      <ddeItem name="3432.TW-Name" advise="1">
        <values>
          <value t="str">
            <val>台端</val>
          </value>
        </values>
      </ddeItem>
      <ddeItem name="3432.TW-PreClose" advise="1">
        <values>
          <value>
            <val>11.1</val>
          </value>
        </values>
      </ddeItem>
      <ddeItem name="3432.TW-Price" advise="1">
        <values>
          <value>
            <val>11.1</val>
          </value>
        </values>
      </ddeItem>
      <ddeItem name="3432.TW-SimulatePrice" advise="1">
        <values>
          <value t="str">
            <val>--</val>
          </value>
        </values>
      </ddeItem>
      <ddeItem name="3432.TW-SimulateTime" advise="1">
        <values>
          <value t="str">
            <val>--</val>
          </value>
        </values>
      </ddeItem>
      <ddeItem name="3437.TW-ID" advise="1">
        <values>
          <value t="str">
            <val>3437</val>
          </value>
        </values>
      </ddeItem>
      <ddeItem name="3437.TW-Name" advise="1">
        <values>
          <value t="str">
            <val>榮創</val>
          </value>
        </values>
      </ddeItem>
      <ddeItem name="3437.TW-PreClose" advise="1">
        <values>
          <value>
            <val>17.95</val>
          </value>
        </values>
      </ddeItem>
      <ddeItem name="3437.TW-Price" advise="1">
        <values>
          <value>
            <val>18.149999999999999</val>
          </value>
        </values>
      </ddeItem>
      <ddeItem name="3437.TW-SimulatePrice" advise="1">
        <values>
          <value>
            <val>18.149999999999999</val>
          </value>
        </values>
      </ddeItem>
      <ddeItem name="3437.TW-SimulateTime" advise="1">
        <values>
          <value t="str">
            <val>13:29:57</val>
          </value>
        </values>
      </ddeItem>
      <ddeItem name="3443.TW-ID" advise="1">
        <values>
          <value t="str">
            <val>3443</val>
          </value>
        </values>
      </ddeItem>
      <ddeItem name="3443.TW-Name" advise="1">
        <values>
          <value t="str">
            <val>創意</val>
          </value>
        </values>
      </ddeItem>
      <ddeItem name="3443.TW-PreClose" advise="1">
        <values>
          <value>
            <val>217.5</val>
          </value>
        </values>
      </ddeItem>
      <ddeItem name="3443.TW-Price" advise="1">
        <values>
          <value>
            <val>216</val>
          </value>
        </values>
      </ddeItem>
      <ddeItem name="3443.TW-SimulatePrice" advise="1">
        <values>
          <value>
            <val>216</val>
          </value>
        </values>
      </ddeItem>
      <ddeItem name="3443.TW-SimulateTime" advise="1">
        <values>
          <value t="str">
            <val>13:29:58</val>
          </value>
        </values>
      </ddeItem>
      <ddeItem name="3450.TW-ID" advise="1">
        <values>
          <value t="str">
            <val>3450</val>
          </value>
        </values>
      </ddeItem>
      <ddeItem name="3450.TW-Name" advise="1">
        <values>
          <value t="str">
            <val>聯鈞</val>
          </value>
        </values>
      </ddeItem>
      <ddeItem name="3450.TW-PreClose" advise="1">
        <values>
          <value>
            <val>67.7</val>
          </value>
        </values>
      </ddeItem>
      <ddeItem name="3450.TW-Price" advise="1">
        <values>
          <value>
            <val>65.2</val>
          </value>
        </values>
      </ddeItem>
      <ddeItem name="3450.TW-SimulatePrice" advise="1">
        <values>
          <value>
            <val>65.2</val>
          </value>
        </values>
      </ddeItem>
      <ddeItem name="3450.TW-SimulateTime" advise="1">
        <values>
          <value t="str">
            <val>13:29:57</val>
          </value>
        </values>
      </ddeItem>
      <ddeItem name="3454.TW-ID" advise="1">
        <values>
          <value t="str">
            <val>3454</val>
          </value>
        </values>
      </ddeItem>
      <ddeItem name="3454.TW-Name" advise="1">
        <values>
          <value t="str">
            <val>晶睿</val>
          </value>
        </values>
      </ddeItem>
      <ddeItem name="3454.TW-PreClose" advise="1">
        <values>
          <value>
            <val>68.2</val>
          </value>
        </values>
      </ddeItem>
      <ddeItem name="3454.TW-Price" advise="1">
        <values>
          <value>
            <val>67.5</val>
          </value>
        </values>
      </ddeItem>
      <ddeItem name="3454.TW-SimulatePrice" advise="1">
        <values>
          <value>
            <val>67.599999999999994</val>
          </value>
        </values>
      </ddeItem>
      <ddeItem name="3454.TW-SimulateTime" advise="1">
        <values>
          <value t="str">
            <val>13:29:55</val>
          </value>
        </values>
      </ddeItem>
      <ddeItem name="3481.TW-ID" advise="1">
        <values>
          <value t="str">
            <val>3481</val>
          </value>
        </values>
      </ddeItem>
      <ddeItem name="3481.TW-Name" advise="1">
        <values>
          <value t="str">
            <val>群創</val>
          </value>
        </values>
      </ddeItem>
      <ddeItem name="3481.TW-PreClose" advise="1">
        <values>
          <value>
            <val>6.22</val>
          </value>
        </values>
      </ddeItem>
      <ddeItem name="3481.TW-Price" advise="1">
        <values>
          <value>
            <val>6.22</val>
          </value>
        </values>
      </ddeItem>
      <ddeItem name="3481.TW-SimulatePrice" advise="1">
        <values>
          <value>
            <val>6.22</val>
          </value>
        </values>
      </ddeItem>
      <ddeItem name="3481.TW-SimulateTime" advise="1">
        <values>
          <value t="str">
            <val>13:29:55</val>
          </value>
        </values>
      </ddeItem>
      <ddeItem name="3494.TW-ID" advise="1">
        <values>
          <value t="str">
            <val>3494</val>
          </value>
        </values>
      </ddeItem>
      <ddeItem name="3494.TW-Name" advise="1">
        <values>
          <value t="str">
            <val>誠研</val>
          </value>
        </values>
      </ddeItem>
      <ddeItem name="3494.TW-PreClose" advise="1">
        <values>
          <value>
            <val>3.56</val>
          </value>
        </values>
      </ddeItem>
      <ddeItem name="3494.TW-Price" advise="1">
        <values>
          <value>
            <val>3.46</val>
          </value>
        </values>
      </ddeItem>
      <ddeItem name="3494.TW-SimulatePrice" advise="1">
        <values>
          <value>
            <val>3.46</val>
          </value>
        </values>
      </ddeItem>
      <ddeItem name="3494.TW-SimulateTime" advise="1">
        <values>
          <value t="str">
            <val>13:29:26</val>
          </value>
        </values>
      </ddeItem>
      <ddeItem name="3501.TW-ID" advise="1">
        <values>
          <value t="str">
            <val>3501</val>
          </value>
        </values>
      </ddeItem>
      <ddeItem name="3501.TW-Name" advise="1">
        <values>
          <value t="str">
            <val>維熹</val>
          </value>
        </values>
      </ddeItem>
      <ddeItem name="3501.TW-PreClose" advise="1">
        <values>
          <value>
            <val>44.65</val>
          </value>
        </values>
      </ddeItem>
      <ddeItem name="3501.TW-Price" advise="1">
        <values>
          <value>
            <val>44.7</val>
          </value>
        </values>
      </ddeItem>
      <ddeItem name="3501.TW-SimulatePrice" advise="1">
        <values>
          <value>
            <val>44.7</val>
          </value>
        </values>
      </ddeItem>
      <ddeItem name="3501.TW-SimulateTime" advise="1">
        <values>
          <value t="str">
            <val>13:29:43</val>
          </value>
        </values>
      </ddeItem>
      <ddeItem name="3504.TW-ID" advise="1">
        <values>
          <value t="str">
            <val>3504</val>
          </value>
        </values>
      </ddeItem>
      <ddeItem name="3504.TW-Name" advise="1">
        <values>
          <value t="str">
            <val>揚明光</val>
          </value>
        </values>
      </ddeItem>
      <ddeItem name="3504.TW-PreClose" advise="1">
        <values>
          <value>
            <val>59.3</val>
          </value>
        </values>
      </ddeItem>
      <ddeItem name="3504.TW-Price" advise="1">
        <values>
          <value>
            <val>59</val>
          </value>
        </values>
      </ddeItem>
      <ddeItem name="3504.TW-SimulatePrice" advise="1">
        <values>
          <value>
            <val>59</val>
          </value>
        </values>
      </ddeItem>
      <ddeItem name="3504.TW-SimulateTime" advise="1">
        <values>
          <value t="str">
            <val>13:29:42</val>
          </value>
        </values>
      </ddeItem>
      <ddeItem name="3515.TW-ID" advise="1">
        <values>
          <value t="str">
            <val>3515</val>
          </value>
        </values>
      </ddeItem>
      <ddeItem name="3515.TW-Name" advise="1">
        <values>
          <value t="str">
            <val>華擎</val>
          </value>
        </values>
      </ddeItem>
      <ddeItem name="3515.TW-PreClose" advise="1">
        <values>
          <value>
            <val>128</val>
          </value>
        </values>
      </ddeItem>
      <ddeItem name="3515.TW-Price" advise="1">
        <values>
          <value>
            <val>128.5</val>
          </value>
        </values>
      </ddeItem>
      <ddeItem name="3515.TW-SimulatePrice" advise="1">
        <values>
          <value>
            <val>128.5</val>
          </value>
        </values>
      </ddeItem>
      <ddeItem name="3515.TW-SimulateTime" advise="1">
        <values>
          <value t="str">
            <val>13:29:59</val>
          </value>
        </values>
      </ddeItem>
      <ddeItem name="3518.TW-ID" advise="1">
        <values>
          <value t="str">
            <val>3518</val>
          </value>
        </values>
      </ddeItem>
      <ddeItem name="3518.TW-Name" advise="1">
        <values>
          <value t="str">
            <val>柏騰</val>
          </value>
        </values>
      </ddeItem>
      <ddeItem name="3518.TW-PreClose" advise="1">
        <values>
          <value>
            <val>34.15</val>
          </value>
        </values>
      </ddeItem>
      <ddeItem name="3518.TW-Price" advise="1">
        <values>
          <value>
            <val>34.299999999999997</val>
          </value>
        </values>
      </ddeItem>
      <ddeItem name="3518.TW-SimulatePrice" advise="1">
        <values>
          <value>
            <val>34.299999999999997</val>
          </value>
        </values>
      </ddeItem>
      <ddeItem name="3518.TW-SimulateTime" advise="1">
        <values>
          <value t="str">
            <val>13:29:58</val>
          </value>
        </values>
      </ddeItem>
      <ddeItem name="3528.TW-ID" advise="1">
        <values>
          <value t="str">
            <val>3528</val>
          </value>
        </values>
      </ddeItem>
      <ddeItem name="3528.TW-Name" advise="1">
        <values>
          <value t="str">
            <val>安馳</val>
          </value>
        </values>
      </ddeItem>
      <ddeItem name="3528.TW-PreClose" advise="1">
        <values>
          <value>
            <val>38.299999999999997</val>
          </value>
        </values>
      </ddeItem>
      <ddeItem name="3528.TW-Price" advise="1">
        <values>
          <value>
            <val>38.25</val>
          </value>
        </values>
      </ddeItem>
      <ddeItem name="3528.TW-SimulatePrice" advise="1">
        <values>
          <value>
            <val>38.25</val>
          </value>
        </values>
      </ddeItem>
      <ddeItem name="3528.TW-SimulateTime" advise="1">
        <values>
          <value t="str">
            <val>13:29:12</val>
          </value>
        </values>
      </ddeItem>
      <ddeItem name="3530.TW-ID" advise="1">
        <values>
          <value t="str">
            <val>3530</val>
          </value>
        </values>
      </ddeItem>
      <ddeItem name="3530.TW-Name" advise="1">
        <values>
          <value t="str">
            <val>晶相光</val>
          </value>
        </values>
      </ddeItem>
      <ddeItem name="3530.TW-PreClose" advise="1">
        <values>
          <value>
            <val>81.2</val>
          </value>
        </values>
      </ddeItem>
      <ddeItem name="3530.TW-Price" advise="1">
        <values>
          <value>
            <val>80</val>
          </value>
        </values>
      </ddeItem>
      <ddeItem name="3530.TW-SimulatePrice" advise="1">
        <values>
          <value>
            <val>80</val>
          </value>
        </values>
      </ddeItem>
      <ddeItem name="3530.TW-SimulateTime" advise="1">
        <values>
          <value t="str">
            <val>13:29:45</val>
          </value>
        </values>
      </ddeItem>
      <ddeItem name="3532.TW-ID" advise="1">
        <values>
          <value t="str">
            <val>3532</val>
          </value>
        </values>
      </ddeItem>
      <ddeItem name="3532.TW-Name" advise="1">
        <values>
          <value t="str">
            <val>台勝科</val>
          </value>
        </values>
      </ddeItem>
      <ddeItem name="3532.TW-PreClose" advise="1">
        <values>
          <value>
            <val>156</val>
          </value>
        </values>
      </ddeItem>
      <ddeItem name="3532.TW-Price" advise="1">
        <values>
          <value>
            <val>152</val>
          </value>
        </values>
      </ddeItem>
      <ddeItem name="3532.TW-SimulatePrice" advise="1">
        <values>
          <value>
            <val>152</val>
          </value>
        </values>
      </ddeItem>
      <ddeItem name="3532.TW-SimulateTime" advise="1">
        <values>
          <value t="str">
            <val>13:29:58</val>
          </value>
        </values>
      </ddeItem>
      <ddeItem name="3533.TW-ID" advise="1">
        <values>
          <value t="str">
            <val>3533</val>
          </value>
        </values>
      </ddeItem>
      <ddeItem name="3533.TW-Name" advise="1">
        <values>
          <value t="str">
            <val>嘉澤</val>
          </value>
        </values>
      </ddeItem>
      <ddeItem name="3533.TW-PreClose" advise="1">
        <values>
          <value>
            <val>387</val>
          </value>
        </values>
      </ddeItem>
      <ddeItem name="3533.TW-Price" advise="1">
        <values>
          <value>
            <val>394.5</val>
          </value>
        </values>
      </ddeItem>
      <ddeItem name="3533.TW-SimulatePrice" advise="1">
        <values>
          <value>
            <val>394.5</val>
          </value>
        </values>
      </ddeItem>
      <ddeItem name="3533.TW-SimulateTime" advise="1">
        <values>
          <value t="str">
            <val>13:29:58</val>
          </value>
        </values>
      </ddeItem>
      <ddeItem name="3535.TW-ID" advise="1">
        <values>
          <value t="str">
            <val>3535</val>
          </value>
        </values>
      </ddeItem>
      <ddeItem name="3535.TW-Name" advise="1">
        <values>
          <value t="str">
            <val>晶彩科</val>
          </value>
        </values>
      </ddeItem>
      <ddeItem name="3535.TW-PreClose" advise="1">
        <values>
          <value>
            <val>15.4</val>
          </value>
        </values>
      </ddeItem>
      <ddeItem name="3535.TW-Price" advise="1">
        <values>
          <value>
            <val>15.2</val>
          </value>
        </values>
      </ddeItem>
      <ddeItem name="3535.TW-SimulatePrice" advise="1">
        <values>
          <value>
            <val>15.2</val>
          </value>
        </values>
      </ddeItem>
      <ddeItem name="3535.TW-SimulateTime" advise="1">
        <values>
          <value t="str">
            <val>13:29:33</val>
          </value>
        </values>
      </ddeItem>
      <ddeItem name="3536.TW-ID" advise="1">
        <values>
          <value t="str">
            <val>3536</val>
          </value>
        </values>
      </ddeItem>
      <ddeItem name="3536.TW-Name" advise="1">
        <values>
          <value t="str">
            <val>誠創</val>
          </value>
        </values>
      </ddeItem>
      <ddeItem name="3536.TW-PreClose" advise="1">
        <values>
          <value>
            <val>2.91</val>
          </value>
        </values>
      </ddeItem>
      <ddeItem name="3536.TW-Price" advise="1">
        <values>
          <value>
            <val>2.94</val>
          </value>
        </values>
      </ddeItem>
      <ddeItem name="3536.TW-SimulatePrice" advise="1">
        <values>
          <value t="str">
            <val>--</val>
          </value>
        </values>
      </ddeItem>
      <ddeItem name="3536.TW-SimulateTime" advise="1">
        <values>
          <value t="str">
            <val>--</val>
          </value>
        </values>
      </ddeItem>
      <ddeItem name="3543.TW-ID" advise="1">
        <values>
          <value t="str">
            <val>3543</val>
          </value>
        </values>
      </ddeItem>
      <ddeItem name="3543.TW-Name" advise="1">
        <values>
          <value t="str">
            <val>州巧</val>
          </value>
        </values>
      </ddeItem>
      <ddeItem name="3543.TW-PreClose" advise="1">
        <values>
          <value>
            <val>17.25</val>
          </value>
        </values>
      </ddeItem>
      <ddeItem name="3543.TW-Price" advise="1">
        <values>
          <value>
            <val>17.25</val>
          </value>
        </values>
      </ddeItem>
      <ddeItem name="3543.TW-SimulatePrice" advise="1">
        <values>
          <value>
            <val>17.25</val>
          </value>
        </values>
      </ddeItem>
      <ddeItem name="3543.TW-SimulateTime" advise="1">
        <values>
          <value t="str">
            <val>13:29:55</val>
          </value>
        </values>
      </ddeItem>
      <ddeItem name="3545.TW-ID" advise="1">
        <values>
          <value t="str">
            <val>3545</val>
          </value>
        </values>
      </ddeItem>
      <ddeItem name="3545.TW-Name" advise="1">
        <values>
          <value t="str">
            <val>敦泰</val>
          </value>
        </values>
      </ddeItem>
      <ddeItem name="3545.TW-PreClose" advise="1">
        <values>
          <value>
            <val>31.15</val>
          </value>
        </values>
      </ddeItem>
      <ddeItem name="3545.TW-Price" advise="1">
        <values>
          <value>
            <val>31.2</val>
          </value>
        </values>
      </ddeItem>
      <ddeItem name="3545.TW-SimulatePrice" advise="1">
        <values>
          <value>
            <val>31.2</val>
          </value>
        </values>
      </ddeItem>
      <ddeItem name="3545.TW-SimulateTime" advise="1">
        <values>
          <value t="str">
            <val>13:29:59</val>
          </value>
        </values>
      </ddeItem>
      <ddeItem name="3550.TW-ID" advise="1">
        <values>
          <value t="str">
            <val>3550</val>
          </value>
        </values>
      </ddeItem>
      <ddeItem name="3550.TW-Name" advise="1">
        <values>
          <value t="str">
            <val>聯穎</val>
          </value>
        </values>
      </ddeItem>
      <ddeItem name="3550.TW-PreClose" advise="1">
        <values>
          <value>
            <val>12.35</val>
          </value>
        </values>
      </ddeItem>
      <ddeItem name="3550.TW-Price" advise="1">
        <values>
          <value>
            <val>12.2</val>
          </value>
        </values>
      </ddeItem>
      <ddeItem name="3550.TW-SimulatePrice" advise="1">
        <values>
          <value>
            <val>12.2</val>
          </value>
        </values>
      </ddeItem>
      <ddeItem name="3550.TW-SimulateTime" advise="1">
        <values>
          <value t="str">
            <val>13:29:11</val>
          </value>
        </values>
      </ddeItem>
      <ddeItem name="3557.TW-ID" advise="1">
        <values>
          <value t="str">
            <val>3557</val>
          </value>
        </values>
      </ddeItem>
      <ddeItem name="3557.TW-Name" advise="1">
        <values>
          <value t="str">
            <val>嘉威</val>
          </value>
        </values>
      </ddeItem>
      <ddeItem name="3557.TW-PreClose" advise="1">
        <values>
          <value>
            <val>69.7</val>
          </value>
        </values>
      </ddeItem>
      <ddeItem name="3557.TW-Price" advise="1">
        <values>
          <value>
            <val>68</val>
          </value>
        </values>
      </ddeItem>
      <ddeItem name="3557.TW-SimulatePrice" advise="1">
        <values>
          <value>
            <val>67.900000000000006</val>
          </value>
        </values>
      </ddeItem>
      <ddeItem name="3557.TW-SimulateTime" advise="1">
        <values>
          <value t="str">
            <val>13:29:55</val>
          </value>
        </values>
      </ddeItem>
      <ddeItem name="3563.TW-ID" advise="1">
        <values>
          <value t="str">
            <val>3563</val>
          </value>
        </values>
      </ddeItem>
      <ddeItem name="3563.TW-Name" advise="1">
        <values>
          <value t="str">
            <val>牧德</val>
          </value>
        </values>
      </ddeItem>
      <ddeItem name="3563.TW-PreClose" advise="1">
        <values>
          <value>
            <val>330</val>
          </value>
        </values>
      </ddeItem>
      <ddeItem name="3563.TW-Price" advise="1">
        <values>
          <value>
            <val>330.5</val>
          </value>
        </values>
      </ddeItem>
      <ddeItem name="3563.TW-SimulatePrice" advise="1">
        <values>
          <value>
            <val>330.5</val>
          </value>
        </values>
      </ddeItem>
      <ddeItem name="3563.TW-SimulateTime" advise="1">
        <values>
          <value t="str">
            <val>13:29:57</val>
          </value>
        </values>
      </ddeItem>
      <ddeItem name="3576.TW-ID" advise="1">
        <values>
          <value t="str">
            <val>3576</val>
          </value>
        </values>
      </ddeItem>
      <ddeItem name="3576.TW-Name" advise="1">
        <values>
          <value t="str">
            <val>聯合再生</val>
          </value>
        </values>
      </ddeItem>
      <ddeItem name="3576.TW-PreClose" advise="1">
        <values>
          <value>
            <val>6.04</val>
          </value>
        </values>
      </ddeItem>
      <ddeItem name="3576.TW-Price" advise="1">
        <values>
          <value>
            <val>5.95</val>
          </value>
        </values>
      </ddeItem>
      <ddeItem name="3576.TW-SimulatePrice" advise="1">
        <values>
          <value>
            <val>5.95</val>
          </value>
        </values>
      </ddeItem>
      <ddeItem name="3576.TW-SimulateTime" advise="1">
        <values>
          <value t="str">
            <val>13:29:51</val>
          </value>
        </values>
      </ddeItem>
      <ddeItem name="3583.TW-ID" advise="1">
        <values>
          <value t="str">
            <val>3583</val>
          </value>
        </values>
      </ddeItem>
      <ddeItem name="3583.TW-Name" advise="1">
        <values>
          <value t="str">
            <val>辛耘</val>
          </value>
        </values>
      </ddeItem>
      <ddeItem name="3583.TW-PreClose" advise="1">
        <values>
          <value>
            <val>47.1</val>
          </value>
        </values>
      </ddeItem>
      <ddeItem name="3583.TW-Price" advise="1">
        <values>
          <value>
            <val>46.05</val>
          </value>
        </values>
      </ddeItem>
      <ddeItem name="3583.TW-SimulatePrice" advise="1">
        <values>
          <value>
            <val>46.05</val>
          </value>
        </values>
      </ddeItem>
      <ddeItem name="3583.TW-SimulateTime" advise="1">
        <values>
          <value t="str">
            <val>13:29:25</val>
          </value>
        </values>
      </ddeItem>
      <ddeItem name="3588.TW-ID" advise="1">
        <values>
          <value t="str">
            <val>3588</val>
          </value>
        </values>
      </ddeItem>
      <ddeItem name="3588.TW-Name" advise="1">
        <values>
          <value t="str">
            <val>通嘉</val>
          </value>
        </values>
      </ddeItem>
      <ddeItem name="3588.TW-PreClose" advise="1">
        <values>
          <value>
            <val>29.45</val>
          </value>
        </values>
      </ddeItem>
      <ddeItem name="3588.TW-Price" advise="1">
        <values>
          <value>
            <val>29.55</val>
          </value>
        </values>
      </ddeItem>
      <ddeItem name="3588.TW-SimulatePrice" advise="1">
        <values>
          <value>
            <val>29.55</val>
          </value>
        </values>
      </ddeItem>
      <ddeItem name="3588.TW-SimulateTime" advise="1">
        <values>
          <value t="str">
            <val>13:29:47</val>
          </value>
        </values>
      </ddeItem>
      <ddeItem name="3591.TW-ID" advise="1">
        <values>
          <value t="str">
            <val>3591</val>
          </value>
        </values>
      </ddeItem>
      <ddeItem name="3591.TW-Name" advise="1">
        <values>
          <value t="str">
            <val>艾笛森</val>
          </value>
        </values>
      </ddeItem>
      <ddeItem name="3591.TW-PreClose" advise="1">
        <values>
          <value>
            <val>12.4</val>
          </value>
        </values>
      </ddeItem>
      <ddeItem name="3591.TW-Price" advise="1">
        <values>
          <value>
            <val>12.1</val>
          </value>
        </values>
      </ddeItem>
      <ddeItem name="3591.TW-SimulatePrice" advise="1">
        <values>
          <value>
            <val>12.1</val>
          </value>
        </values>
      </ddeItem>
      <ddeItem name="3591.TW-SimulateTime" advise="1">
        <values>
          <value t="str">
            <val>13:29:09</val>
          </value>
        </values>
      </ddeItem>
      <ddeItem name="3593.TW-ID" advise="1">
        <values>
          <value t="str">
            <val>3593</val>
          </value>
        </values>
      </ddeItem>
      <ddeItem name="3593.TW-Name" advise="1">
        <values>
          <value t="str">
            <val>力銘</val>
          </value>
        </values>
      </ddeItem>
      <ddeItem name="3593.TW-PreClose" advise="1">
        <values>
          <value>
            <val>8.67</val>
          </value>
        </values>
      </ddeItem>
      <ddeItem name="3593.TW-Price" advise="1">
        <values>
          <value>
            <val>8.7899999999999991</val>
          </value>
        </values>
      </ddeItem>
      <ddeItem name="3593.TW-SimulatePrice" advise="1">
        <values>
          <value>
            <val>8.7899999999999991</val>
          </value>
        </values>
      </ddeItem>
      <ddeItem name="3593.TW-SimulateTime" advise="1">
        <values>
          <value t="str">
            <val>13:29:40</val>
          </value>
        </values>
      </ddeItem>
      <ddeItem name="3596.TW-ID" advise="1">
        <values>
          <value t="str">
            <val>3596</val>
          </value>
        </values>
      </ddeItem>
      <ddeItem name="3596.TW-Name" advise="1">
        <values>
          <value t="str">
            <val>智易</val>
          </value>
        </values>
      </ddeItem>
      <ddeItem name="3596.TW-PreClose" advise="1">
        <values>
          <value>
            <val>85.2</val>
          </value>
        </values>
      </ddeItem>
      <ddeItem name="3596.TW-Price" advise="1">
        <values>
          <value>
            <val>84.7</val>
          </value>
        </values>
      </ddeItem>
      <ddeItem name="3596.TW-SimulatePrice" advise="1">
        <values>
          <value>
            <val>84.7</val>
          </value>
        </values>
      </ddeItem>
      <ddeItem name="3596.TW-SimulateTime" advise="1">
        <values>
          <value t="str">
            <val>13:29:52</val>
          </value>
        </values>
      </ddeItem>
      <ddeItem name="3605.TW-ID" advise="1">
        <values>
          <value t="str">
            <val>3605</val>
          </value>
        </values>
      </ddeItem>
      <ddeItem name="3605.TW-Name" advise="1">
        <values>
          <value t="str">
            <val>宏致</val>
          </value>
        </values>
      </ddeItem>
      <ddeItem name="3605.TW-PreClose" advise="1">
        <values>
          <value>
            <val>23.85</val>
          </value>
        </values>
      </ddeItem>
      <ddeItem name="3605.TW-Price" advise="1">
        <values>
          <value>
            <val>24.05</val>
          </value>
        </values>
      </ddeItem>
      <ddeItem name="3605.TW-SimulatePrice" advise="1">
        <values>
          <value>
            <val>24.05</val>
          </value>
        </values>
      </ddeItem>
      <ddeItem name="3605.TW-SimulateTime" advise="1">
        <values>
          <value t="str">
            <val>13:29:58</val>
          </value>
        </values>
      </ddeItem>
      <ddeItem name="3607.TW-ID" advise="1">
        <values>
          <value t="str">
            <val>3607</val>
          </value>
        </values>
      </ddeItem>
      <ddeItem name="3607.TW-Name" advise="1">
        <values>
          <value t="str">
            <val>谷崧</val>
          </value>
        </values>
      </ddeItem>
      <ddeItem name="3607.TW-PreClose" advise="1">
        <values>
          <value>
            <val>12.1</val>
          </value>
        </values>
      </ddeItem>
      <ddeItem name="3607.TW-Price" advise="1">
        <values>
          <value>
            <val>12.25</val>
          </value>
        </values>
      </ddeItem>
      <ddeItem name="3607.TW-SimulatePrice" advise="1">
        <values>
          <value>
            <val>12.25</val>
          </value>
        </values>
      </ddeItem>
      <ddeItem name="3607.TW-SimulateTime" advise="1">
        <values>
          <value t="str">
            <val>13:29:14</val>
          </value>
        </values>
      </ddeItem>
      <ddeItem name="3617.TW-ID" advise="1">
        <values>
          <value t="str">
            <val>3617</val>
          </value>
        </values>
      </ddeItem>
      <ddeItem name="3617.TW-Name" advise="1">
        <values>
          <value t="str">
            <val>碩天</val>
          </value>
        </values>
      </ddeItem>
      <ddeItem name="3617.TW-PreClose" advise="1">
        <values>
          <value>
            <val>80.3</val>
          </value>
        </values>
      </ddeItem>
      <ddeItem name="3617.TW-Price" advise="1">
        <values>
          <value>
            <val>79.599999999999994</val>
          </value>
        </values>
      </ddeItem>
      <ddeItem name="3617.TW-SimulatePrice" advise="1">
        <values>
          <value>
            <val>79.599999999999994</val>
          </value>
        </values>
      </ddeItem>
      <ddeItem name="3617.TW-SimulateTime" advise="1">
        <values>
          <value t="str">
            <val>13:29:37</val>
          </value>
        </values>
      </ddeItem>
      <ddeItem name="3622.TW-ID" advise="1">
        <values>
          <value t="str">
            <val>3622</val>
          </value>
        </values>
      </ddeItem>
      <ddeItem name="3622.TW-Name" advise="1">
        <values>
          <value t="str">
            <val>洋華</val>
          </value>
        </values>
      </ddeItem>
      <ddeItem name="3622.TW-PreClose" advise="1">
        <values>
          <value>
            <val>18.399999999999999</val>
          </value>
        </values>
      </ddeItem>
      <ddeItem name="3622.TW-Price" advise="1">
        <values>
          <value>
            <val>18.350000000000001</val>
          </value>
        </values>
      </ddeItem>
      <ddeItem name="3622.TW-SimulatePrice" advise="1">
        <values>
          <value>
            <val>18.350000000000001</val>
          </value>
        </values>
      </ddeItem>
      <ddeItem name="3622.TW-SimulateTime" advise="1">
        <values>
          <value t="str">
            <val>13:28:45</val>
          </value>
        </values>
      </ddeItem>
      <ddeItem name="3645.TW-ID" advise="1">
        <values>
          <value t="str">
            <val>3645</val>
          </value>
        </values>
      </ddeItem>
      <ddeItem name="3645.TW-Name" advise="1">
        <values>
          <value t="str">
            <val>達邁</val>
          </value>
        </values>
      </ddeItem>
      <ddeItem name="3645.TW-PreClose" advise="1">
        <values>
          <value>
            <val>39.4</val>
          </value>
        </values>
      </ddeItem>
      <ddeItem name="3645.TW-Price" advise="1">
        <values>
          <value>
            <val>39.799999999999997</val>
          </value>
        </values>
      </ddeItem>
      <ddeItem name="3645.TW-SimulatePrice" advise="1">
        <values>
          <value>
            <val>39.799999999999997</val>
          </value>
        </values>
      </ddeItem>
      <ddeItem name="3645.TW-SimulateTime" advise="1">
        <values>
          <value t="str">
            <val>13:29:59</val>
          </value>
        </values>
      </ddeItem>
      <ddeItem name="3653.TW-ID" advise="1">
        <values>
          <value t="str">
            <val>3653</val>
          </value>
        </values>
      </ddeItem>
      <ddeItem name="3653.TW-Name" advise="1">
        <values>
          <value t="str">
            <val>健策</val>
          </value>
        </values>
      </ddeItem>
      <ddeItem name="3653.TW-PreClose" advise="1">
        <values>
          <value>
            <val>208</val>
          </value>
        </values>
      </ddeItem>
      <ddeItem name="3653.TW-Price" advise="1">
        <values>
          <value>
            <val>212</val>
          </value>
        </values>
      </ddeItem>
      <ddeItem name="3653.TW-SimulatePrice" advise="1">
        <values>
          <value>
            <val>212</val>
          </value>
        </values>
      </ddeItem>
      <ddeItem name="3653.TW-SimulateTime" advise="1">
        <values>
          <value t="str">
            <val>13:29:56</val>
          </value>
        </values>
      </ddeItem>
      <ddeItem name="3661.TW-ID" advise="1">
        <values>
          <value t="str">
            <val>3661</val>
          </value>
        </values>
      </ddeItem>
      <ddeItem name="3661.TW-Name" advise="1">
        <values>
          <value t="str">
            <val>世芯-KY</val>
          </value>
        </values>
      </ddeItem>
      <ddeItem name="3661.TW-PreClose" advise="1">
        <values>
          <value>
            <val>274</val>
          </value>
        </values>
      </ddeItem>
      <ddeItem name="3661.TW-Price" advise="1">
        <values>
          <value>
            <val>297.5</val>
          </value>
        </values>
      </ddeItem>
      <ddeItem name="3661.TW-SimulatePrice" advise="1">
        <values>
          <value>
            <val>297.5</val>
          </value>
        </values>
      </ddeItem>
      <ddeItem name="3661.TW-SimulateTime" advise="1">
        <values>
          <value t="str">
            <val>13:29:59</val>
          </value>
        </values>
      </ddeItem>
      <ddeItem name="3665.TW-ID" advise="1">
        <values>
          <value t="str">
            <val>3665</val>
          </value>
        </values>
      </ddeItem>
      <ddeItem name="3665.TW-Name" advise="1">
        <values>
          <value t="str">
            <val>貿聯-KY</val>
          </value>
        </values>
      </ddeItem>
      <ddeItem name="3665.TW-PreClose" advise="1">
        <values>
          <value>
            <val>181.5</val>
          </value>
        </values>
      </ddeItem>
      <ddeItem name="3665.TW-Price" advise="1">
        <values>
          <value>
            <val>181</val>
          </value>
        </values>
      </ddeItem>
      <ddeItem name="3665.TW-SimulatePrice" advise="1">
        <values>
          <value>
            <val>181</val>
          </value>
        </values>
      </ddeItem>
      <ddeItem name="3665.TW-SimulateTime" advise="1">
        <values>
          <value t="str">
            <val>13:29:59</val>
          </value>
        </values>
      </ddeItem>
      <ddeItem name="3669.TW-ID" advise="1">
        <values>
          <value t="str">
            <val>3669</val>
          </value>
        </values>
      </ddeItem>
      <ddeItem name="3669.TW-Name" advise="1">
        <values>
          <value t="str">
            <val>圓展</val>
          </value>
        </values>
      </ddeItem>
      <ddeItem name="3669.TW-PreClose" advise="1">
        <values>
          <value>
            <val>31.85</val>
          </value>
        </values>
      </ddeItem>
      <ddeItem name="3669.TW-Price" advise="1">
        <values>
          <value>
            <val>30.5</val>
          </value>
        </values>
      </ddeItem>
      <ddeItem name="3669.TW-SimulatePrice" advise="1">
        <values>
          <value>
            <val>30.5</val>
          </value>
        </values>
      </ddeItem>
      <ddeItem name="3669.TW-SimulateTime" advise="1">
        <values>
          <value t="str">
            <val>13:29:59</val>
          </value>
        </values>
      </ddeItem>
      <ddeItem name="3673.TW-ID" advise="1">
        <values>
          <value t="str">
            <val>3673</val>
          </value>
        </values>
      </ddeItem>
      <ddeItem name="3673.TW-Name" advise="1">
        <values>
          <value t="str">
            <val>TPK-KY</val>
          </value>
        </values>
      </ddeItem>
      <ddeItem name="3673.TW-PreClose" advise="1">
        <values>
          <value>
            <val>40.6</val>
          </value>
        </values>
      </ddeItem>
      <ddeItem name="3673.TW-Price" advise="1">
        <values>
          <value>
            <val>40</val>
          </value>
        </values>
      </ddeItem>
      <ddeItem name="3673.TW-SimulatePrice" advise="1">
        <values>
          <value>
            <val>40</val>
          </value>
        </values>
      </ddeItem>
      <ddeItem name="3673.TW-SimulateTime" advise="1">
        <values>
          <value t="str">
            <val>13:29:59</val>
          </value>
        </values>
      </ddeItem>
      <ddeItem name="3679.TW-ID" advise="1">
        <values>
          <value t="str">
            <val>3679</val>
          </value>
        </values>
      </ddeItem>
      <ddeItem name="3679.TW-Name" advise="1">
        <values>
          <value t="str">
            <val>新至陞</val>
          </value>
        </values>
      </ddeItem>
      <ddeItem name="3679.TW-PreClose" advise="1">
        <values>
          <value>
            <val>62.3</val>
          </value>
        </values>
      </ddeItem>
      <ddeItem name="3679.TW-Price" advise="1">
        <values>
          <value>
            <val>61.6</val>
          </value>
        </values>
      </ddeItem>
      <ddeItem name="3679.TW-SimulatePrice" advise="1">
        <values>
          <value>
            <val>61.6</val>
          </value>
        </values>
      </ddeItem>
      <ddeItem name="3679.TW-SimulateTime" advise="1">
        <values>
          <value t="str">
            <val>13:29:54</val>
          </value>
        </values>
      </ddeItem>
      <ddeItem name="3682.TW-ID" advise="1">
        <values>
          <value t="str">
            <val>3682</val>
          </value>
        </values>
      </ddeItem>
      <ddeItem name="3682.TW-Name" advise="1">
        <values>
          <value t="str">
            <val>亞太電</val>
          </value>
        </values>
      </ddeItem>
      <ddeItem name="3682.TW-PreClose" advise="1">
        <values>
          <value>
            <val>6.61</val>
          </value>
        </values>
      </ddeItem>
      <ddeItem name="3682.TW-Price" advise="1">
        <values>
          <value>
            <val>6.56</val>
          </value>
        </values>
      </ddeItem>
      <ddeItem name="3682.TW-SimulatePrice" advise="1">
        <values>
          <value>
            <val>6.56</val>
          </value>
        </values>
      </ddeItem>
      <ddeItem name="3682.TW-SimulateTime" advise="1">
        <values>
          <value t="str">
            <val>13:29:55</val>
          </value>
        </values>
      </ddeItem>
      <ddeItem name="3686.TW-ID" advise="1">
        <values>
          <value t="str">
            <val>3686</val>
          </value>
        </values>
      </ddeItem>
      <ddeItem name="3686.TW-Name" advise="1">
        <values>
          <value t="str">
            <val>達能</val>
          </value>
        </values>
      </ddeItem>
      <ddeItem name="3686.TW-PreClose" advise="1">
        <values>
          <value>
            <val>3.95</val>
          </value>
        </values>
      </ddeItem>
      <ddeItem name="3686.TW-Price" advise="1">
        <values>
          <value>
            <val>3.94</val>
          </value>
        </values>
      </ddeItem>
      <ddeItem name="3686.TW-SimulatePrice" advise="1">
        <values>
          <value>
            <val>3.94</val>
          </value>
        </values>
      </ddeItem>
      <ddeItem name="3686.TW-SimulateTime" advise="1">
        <values>
          <value t="str">
            <val>13:28:05</val>
          </value>
        </values>
      </ddeItem>
      <ddeItem name="3694.TW-ID" advise="1">
        <values>
          <value t="str">
            <val>3694</val>
          </value>
        </values>
      </ddeItem>
      <ddeItem name="3694.TW-Name" advise="1">
        <values>
          <value t="str">
            <val>海華</val>
          </value>
        </values>
      </ddeItem>
      <ddeItem name="3694.TW-PreClose" advise="1">
        <values>
          <value>
            <val>17.3</val>
          </value>
        </values>
      </ddeItem>
      <ddeItem name="3694.TW-Price" advise="1">
        <values>
          <value>
            <val>17.100000000000001</val>
          </value>
        </values>
      </ddeItem>
      <ddeItem name="3694.TW-SimulatePrice" advise="1">
        <values>
          <value>
            <val>17.100000000000001</val>
          </value>
        </values>
      </ddeItem>
      <ddeItem name="3694.TW-SimulateTime" advise="1">
        <values>
          <value t="str">
            <val>13:29:03</val>
          </value>
        </values>
      </ddeItem>
      <ddeItem name="3698.TW-ID" advise="1">
        <values>
          <value t="str">
            <val>3698</val>
          </value>
        </values>
      </ddeItem>
      <ddeItem name="3698.TW-Name" advise="1">
        <values>
          <value t="str">
            <val>隆達</val>
          </value>
        </values>
      </ddeItem>
      <ddeItem name="3698.TW-PreClose" advise="1">
        <values>
          <value>
            <val>17.95</val>
          </value>
        </values>
      </ddeItem>
      <ddeItem name="3698.TW-Price" advise="1">
        <values>
          <value>
            <val>18</val>
          </value>
        </values>
      </ddeItem>
      <ddeItem name="3698.TW-SimulatePrice" advise="1">
        <values>
          <value>
            <val>18</val>
          </value>
        </values>
      </ddeItem>
      <ddeItem name="3698.TW-SimulateTime" advise="1">
        <values>
          <value t="str">
            <val>13:29:57</val>
          </value>
        </values>
      </ddeItem>
      <ddeItem name="3701.TW-ID" advise="1">
        <values>
          <value t="str">
            <val>3701</val>
          </value>
        </values>
      </ddeItem>
      <ddeItem name="3701.TW-Name" advise="1">
        <values>
          <value t="str">
            <val>大眾控</val>
          </value>
        </values>
      </ddeItem>
      <ddeItem name="3701.TW-PreClose" advise="1">
        <values>
          <value>
            <val>13.75</val>
          </value>
        </values>
      </ddeItem>
      <ddeItem name="3701.TW-Price" advise="1">
        <values>
          <value>
            <val>13.55</val>
          </value>
        </values>
      </ddeItem>
      <ddeItem name="3701.TW-SimulatePrice" advise="1">
        <values>
          <value t="str">
            <val>--</val>
          </value>
        </values>
      </ddeItem>
      <ddeItem name="3701.TW-SimulateTime" advise="1">
        <values>
          <value t="str">
            <val>--</val>
          </value>
        </values>
      </ddeItem>
      <ddeItem name="3702.TW-ID" advise="1">
        <values>
          <value t="str">
            <val>3702</val>
          </value>
        </values>
      </ddeItem>
      <ddeItem name="3702.TW-Name" advise="1">
        <values>
          <value t="str">
            <val>大聯大</val>
          </value>
        </values>
      </ddeItem>
      <ddeItem name="3702.TW-PreClose" advise="1">
        <values>
          <value>
            <val>39.049999999999997</val>
          </value>
        </values>
      </ddeItem>
      <ddeItem name="3702.TW-Price" advise="1">
        <values>
          <value>
            <val>38.950000000000003</val>
          </value>
        </values>
      </ddeItem>
      <ddeItem name="3702.TW-SimulatePrice" advise="1">
        <values>
          <value>
            <val>38.950000000000003</val>
          </value>
        </values>
      </ddeItem>
      <ddeItem name="3702.TW-SimulateTime" advise="1">
        <values>
          <value t="str">
            <val>13:29:58</val>
          </value>
        </values>
      </ddeItem>
      <ddeItem name="3703.TW-ID" advise="1">
        <values>
          <value t="str">
            <val>3703</val>
          </value>
        </values>
      </ddeItem>
      <ddeItem name="3703.TW-Name" advise="1">
        <values>
          <value t="str">
            <val>欣陸</val>
          </value>
        </values>
      </ddeItem>
      <ddeItem name="3703.TW-PreClose" advise="1">
        <values>
          <value>
            <val>11.35</val>
          </value>
        </values>
      </ddeItem>
      <ddeItem name="3703.TW-Price" advise="1">
        <values>
          <value>
            <val>11.55</val>
          </value>
        </values>
      </ddeItem>
      <ddeItem name="3703.TW-SimulatePrice" advise="1">
        <values>
          <value>
            <val>11.55</val>
          </value>
        </values>
      </ddeItem>
      <ddeItem name="3703.TW-SimulateTime" advise="1">
        <values>
          <value t="str">
            <val>13:29:41</val>
          </value>
        </values>
      </ddeItem>
      <ddeItem name="3704.TW-ID" advise="1">
        <values>
          <value t="str">
            <val>3704</val>
          </value>
        </values>
      </ddeItem>
      <ddeItem name="3704.TW-Name" advise="1">
        <values>
          <value t="str">
            <val>合勤控</val>
          </value>
        </values>
      </ddeItem>
      <ddeItem name="3704.TW-PreClose" advise="1">
        <values>
          <value>
            <val>15.1</val>
          </value>
        </values>
      </ddeItem>
      <ddeItem name="3704.TW-Price" advise="1">
        <values>
          <value>
            <val>14.85</val>
          </value>
        </values>
      </ddeItem>
      <ddeItem name="3704.TW-SimulatePrice" advise="1">
        <values>
          <value>
            <val>14.85</val>
          </value>
        </values>
      </ddeItem>
      <ddeItem name="3704.TW-SimulateTime" advise="1">
        <values>
          <value t="str">
            <val>13:29:47</val>
          </value>
        </values>
      </ddeItem>
      <ddeItem name="3705.TW-ID" advise="1">
        <values>
          <value t="str">
            <val>3705</val>
          </value>
        </values>
      </ddeItem>
      <ddeItem name="3705.TW-Name" advise="1">
        <values>
          <value t="str">
            <val>永信</val>
          </value>
        </values>
      </ddeItem>
      <ddeItem name="3705.TW-PreClose" advise="1">
        <values>
          <value>
            <val>47.5</val>
          </value>
        </values>
      </ddeItem>
      <ddeItem name="3705.TW-Price" advise="1">
        <values>
          <value>
            <val>47.5</val>
          </value>
        </values>
      </ddeItem>
      <ddeItem name="3705.TW-SimulatePrice" advise="1">
        <values>
          <value>
            <val>47.5</val>
          </value>
        </values>
      </ddeItem>
      <ddeItem name="3705.TW-SimulateTime" advise="1">
        <values>
          <value t="str">
            <val>13:29:44</val>
          </value>
        </values>
      </ddeItem>
      <ddeItem name="3706.TW-ID" advise="1">
        <values>
          <value t="str">
            <val>3706</val>
          </value>
        </values>
      </ddeItem>
      <ddeItem name="3706.TW-Name" advise="1">
        <values>
          <value t="str">
            <val>神達</val>
          </value>
        </values>
      </ddeItem>
      <ddeItem name="3706.TW-PreClose" advise="1">
        <values>
          <value>
            <val>30.1</val>
          </value>
        </values>
      </ddeItem>
      <ddeItem name="3706.TW-Price" advise="1">
        <values>
          <value>
            <val>29.75</val>
          </value>
        </values>
      </ddeItem>
      <ddeItem name="3706.TW-SimulatePrice" advise="1">
        <values>
          <value>
            <val>29.8</val>
          </value>
        </values>
      </ddeItem>
      <ddeItem name="3706.TW-SimulateTime" advise="1">
        <values>
          <value t="str">
            <val>13:29:56</val>
          </value>
        </values>
      </ddeItem>
      <ddeItem name="3708.TW-ID" advise="1">
        <values>
          <value t="str">
            <val>3708</val>
          </value>
        </values>
      </ddeItem>
      <ddeItem name="3708.TW-Name" advise="1">
        <values>
          <value t="str">
            <val>上緯投控</val>
          </value>
        </values>
      </ddeItem>
      <ddeItem name="3708.TW-PreClose" advise="1">
        <values>
          <value>
            <val>81.3</val>
          </value>
        </values>
      </ddeItem>
      <ddeItem name="3708.TW-Price" advise="1">
        <values>
          <value>
            <val>84</val>
          </value>
        </values>
      </ddeItem>
      <ddeItem name="3708.TW-SimulatePrice" advise="1">
        <values>
          <value>
            <val>84</val>
          </value>
        </values>
      </ddeItem>
      <ddeItem name="3708.TW-SimulateTime" advise="1">
        <values>
          <value t="str">
            <val>13:29:55</val>
          </value>
        </values>
      </ddeItem>
      <ddeItem name="3711.TW-ID" advise="1">
        <values>
          <value t="str">
            <val>3711</val>
          </value>
        </values>
      </ddeItem>
      <ddeItem name="3711.TW-Name" advise="1">
        <values>
          <value t="str">
            <val>日月光投控</val>
          </value>
        </values>
      </ddeItem>
      <ddeItem name="3711.TW-PreClose" advise="1">
        <values>
          <value>
            <val>66.5</val>
          </value>
        </values>
      </ddeItem>
      <ddeItem name="3711.TW-Price" advise="1">
        <values>
          <value>
            <val>66.400000000000006</val>
          </value>
        </values>
      </ddeItem>
      <ddeItem name="3711.TW-SimulatePrice" advise="1">
        <values>
          <value>
            <val>66.400000000000006</val>
          </value>
        </values>
      </ddeItem>
      <ddeItem name="3711.TW-SimulateTime" advise="1">
        <values>
          <value t="str">
            <val>13:29:59</val>
          </value>
        </values>
      </ddeItem>
      <ddeItem name="3712.TW-ID" advise="1">
        <values>
          <value t="str">
            <val>3712</val>
          </value>
        </values>
      </ddeItem>
      <ddeItem name="3712.TW-Name" advise="1">
        <values>
          <value t="str">
            <val>永崴投控</val>
          </value>
        </values>
      </ddeItem>
      <ddeItem name="3712.TW-PreClose" advise="1">
        <values>
          <value>
            <val>13.6</val>
          </value>
        </values>
      </ddeItem>
      <ddeItem name="3712.TW-Price" advise="1">
        <values>
          <value>
            <val>13.65</val>
          </value>
        </values>
      </ddeItem>
      <ddeItem name="3712.TW-SimulatePrice" advise="1">
        <values>
          <value>
            <val>13.7</val>
          </value>
        </values>
      </ddeItem>
      <ddeItem name="3712.TW-SimulateTime" advise="1">
        <values>
          <value t="str">
            <val>13:28:36</val>
          </value>
        </values>
      </ddeItem>
      <ddeItem name="4104.TW-ID" advise="1">
        <values>
          <value t="str">
            <val>4104</val>
          </value>
        </values>
      </ddeItem>
      <ddeItem name="4104.TW-Name" advise="1">
        <values>
          <value t="str">
            <val>佳醫</val>
          </value>
        </values>
      </ddeItem>
      <ddeItem name="4104.TW-PreClose" advise="1">
        <values>
          <value>
            <val>54.9</val>
          </value>
        </values>
      </ddeItem>
      <ddeItem name="4104.TW-Price" advise="1">
        <values>
          <value>
            <val>54.9</val>
          </value>
        </values>
      </ddeItem>
      <ddeItem name="4104.TW-SimulatePrice" advise="1">
        <values>
          <value>
            <val>54.9</val>
          </value>
        </values>
      </ddeItem>
      <ddeItem name="4104.TW-SimulateTime" advise="1">
        <values>
          <value t="str">
            <val>13:29:56</val>
          </value>
        </values>
      </ddeItem>
      <ddeItem name="4106.TW-ID" advise="1">
        <values>
          <value t="str">
            <val>4106</val>
          </value>
        </values>
      </ddeItem>
      <ddeItem name="4106.TW-Name" advise="1">
        <values>
          <value t="str">
            <val>雃博</val>
          </value>
        </values>
      </ddeItem>
      <ddeItem name="4106.TW-PreClose" advise="1">
        <values>
          <value>
            <val>29.05</val>
          </value>
        </values>
      </ddeItem>
      <ddeItem name="4106.TW-Price" advise="1">
        <values>
          <value>
            <val>31.95</val>
          </value>
        </values>
      </ddeItem>
      <ddeItem name="4106.TW-SimulatePrice" advise="1">
        <values>
          <value>
            <val>31.95</val>
          </value>
        </values>
      </ddeItem>
      <ddeItem name="4106.TW-SimulateTime" advise="1">
        <values>
          <value t="str">
            <val>13:29:56</val>
          </value>
        </values>
      </ddeItem>
      <ddeItem name="4108.TW-ID" advise="1">
        <values>
          <value t="str">
            <val>4108</val>
          </value>
        </values>
      </ddeItem>
      <ddeItem name="4108.TW-Name" advise="1">
        <values>
          <value t="str">
            <val>懷特</val>
          </value>
        </values>
      </ddeItem>
      <ddeItem name="4108.TW-PreClose" advise="1">
        <values>
          <value>
            <val>18.850000000000001</val>
          </value>
        </values>
      </ddeItem>
      <ddeItem name="4108.TW-Price" advise="1">
        <values>
          <value>
            <val>18.850000000000001</val>
          </value>
        </values>
      </ddeItem>
      <ddeItem name="4108.TW-SimulatePrice" advise="1">
        <values>
          <value>
            <val>18.850000000000001</val>
          </value>
        </values>
      </ddeItem>
      <ddeItem name="4108.TW-SimulateTime" advise="1">
        <values>
          <value t="str">
            <val>13:29:59</val>
          </value>
        </values>
      </ddeItem>
      <ddeItem name="4119.TW-ID" advise="1">
        <values>
          <value t="str">
            <val>4119</val>
          </value>
        </values>
      </ddeItem>
      <ddeItem name="4119.TW-Name" advise="1">
        <values>
          <value t="str">
            <val>旭富</val>
          </value>
        </values>
      </ddeItem>
      <ddeItem name="4119.TW-PreClose" advise="1">
        <values>
          <value>
            <val>135</val>
          </value>
        </values>
      </ddeItem>
      <ddeItem name="4119.TW-Price" advise="1">
        <values>
          <value>
            <val>139</val>
          </value>
        </values>
      </ddeItem>
      <ddeItem name="4119.TW-SimulatePrice" advise="1">
        <values>
          <value>
            <val>139</val>
          </value>
        </values>
      </ddeItem>
      <ddeItem name="4119.TW-SimulateTime" advise="1">
        <values>
          <value t="str">
            <val>13:29:55</val>
          </value>
        </values>
      </ddeItem>
      <ddeItem name="4133.TW-ID" advise="1">
        <values>
          <value t="str">
            <val>4133</val>
          </value>
        </values>
      </ddeItem>
      <ddeItem name="4133.TW-Name" advise="1">
        <values>
          <value t="str">
            <val>亞諾法</val>
          </value>
        </values>
      </ddeItem>
      <ddeItem name="4133.TW-PreClose" advise="1">
        <values>
          <value>
            <val>56.5</val>
          </value>
        </values>
      </ddeItem>
      <ddeItem name="4133.TW-Price" advise="1">
        <values>
          <value>
            <val>53.7</val>
          </value>
        </values>
      </ddeItem>
      <ddeItem name="4133.TW-SimulatePrice" advise="1">
        <values>
          <value>
            <val>53.6</val>
          </value>
        </values>
      </ddeItem>
      <ddeItem name="4133.TW-SimulateTime" advise="1">
        <values>
          <value t="str">
            <val>13:29:57</val>
          </value>
        </values>
      </ddeItem>
      <ddeItem name="4137.TW-ID" advise="1">
        <values>
          <value t="str">
            <val>4137</val>
          </value>
        </values>
      </ddeItem>
      <ddeItem name="4137.TW-Name" advise="1">
        <values>
          <value t="str">
            <val>麗豐-KY</val>
          </value>
        </values>
      </ddeItem>
      <ddeItem name="4137.TW-PreClose" advise="1">
        <values>
          <value>
            <val>188</val>
          </value>
        </values>
      </ddeItem>
      <ddeItem name="4137.TW-Price" advise="1">
        <values>
          <value>
            <val>186</val>
          </value>
        </values>
      </ddeItem>
      <ddeItem name="4137.TW-SimulatePrice" advise="1">
        <values>
          <value>
            <val>186</val>
          </value>
        </values>
      </ddeItem>
      <ddeItem name="4137.TW-SimulateTime" advise="1">
        <values>
          <value t="str">
            <val>13:29:51</val>
          </value>
        </values>
      </ddeItem>
      <ddeItem name="4141.TW-ID" advise="1">
        <values>
          <value t="str">
            <val>4141</val>
          </value>
        </values>
      </ddeItem>
      <ddeItem name="4141.TW-Name" advise="1">
        <values>
          <value t="str">
            <val>龍燈-KY</val>
          </value>
        </values>
      </ddeItem>
      <ddeItem name="4141.TW-PreClose" advise="1">
        <values>
          <value>
            <val>14.1</val>
          </value>
        </values>
      </ddeItem>
      <ddeItem name="4141.TW-Price" advise="1">
        <values>
          <value>
            <val>14.1</val>
          </value>
        </values>
      </ddeItem>
      <ddeItem name="4141.TW-SimulatePrice" advise="1">
        <values>
          <value>
            <val>14.1</val>
          </value>
        </values>
      </ddeItem>
      <ddeItem name="4141.TW-SimulateTime" advise="1">
        <values>
          <value t="str">
            <val>13:28:40</val>
          </value>
        </values>
      </ddeItem>
      <ddeItem name="4142.TW-ID" advise="1">
        <values>
          <value t="str">
            <val>4142</val>
          </value>
        </values>
      </ddeItem>
      <ddeItem name="4142.TW-Name" advise="1">
        <values>
          <value t="str">
            <val>國光生</val>
          </value>
        </values>
      </ddeItem>
      <ddeItem name="4142.TW-PreClose" advise="1">
        <values>
          <value>
            <val>42.05</val>
          </value>
        </values>
      </ddeItem>
      <ddeItem name="4142.TW-Price" advise="1">
        <values>
          <value>
            <val>43.35</val>
          </value>
        </values>
      </ddeItem>
      <ddeItem name="4142.TW-SimulatePrice" advise="1">
        <values>
          <value>
            <val>43.3</val>
          </value>
        </values>
      </ddeItem>
      <ddeItem name="4142.TW-SimulateTime" advise="1">
        <values>
          <value t="str">
            <val>13:29:56</val>
          </value>
        </values>
      </ddeItem>
      <ddeItem name="4144.TW-ID" advise="1">
        <values>
          <value t="str">
            <val>4144</val>
          </value>
        </values>
      </ddeItem>
      <ddeItem name="4144.TW-Name" advise="1">
        <values>
          <value t="str">
            <val>康聯-KY</val>
          </value>
        </values>
      </ddeItem>
      <ddeItem name="4144.TW-PreClose" advise="1">
        <values>
          <value>
            <val>21.5</val>
          </value>
        </values>
      </ddeItem>
      <ddeItem name="4144.TW-Price" advise="1">
        <values>
          <value>
            <val>20.95</val>
          </value>
        </values>
      </ddeItem>
      <ddeItem name="4144.TW-SimulatePrice" advise="1">
        <values>
          <value>
            <val>20.95</val>
          </value>
        </values>
      </ddeItem>
      <ddeItem name="4144.TW-SimulateTime" advise="1">
        <values>
          <value t="str">
            <val>13:29:56</val>
          </value>
        </values>
      </ddeItem>
      <ddeItem name="4148.TW-ID" advise="1">
        <values>
          <value t="str">
            <val>4148</val>
          </value>
        </values>
      </ddeItem>
      <ddeItem name="4148.TW-Name" advise="1">
        <values>
          <value t="str">
            <val>全宇生技-KY</val>
          </value>
        </values>
      </ddeItem>
      <ddeItem name="4148.TW-PreClose" advise="1">
        <values>
          <value>
            <val>36.5</val>
          </value>
        </values>
      </ddeItem>
      <ddeItem name="4148.TW-Price" advise="1">
        <values>
          <value>
            <val>35.5</val>
          </value>
        </values>
      </ddeItem>
      <ddeItem name="4148.TW-SimulatePrice" advise="1">
        <values>
          <value t="str">
            <val>--</val>
          </value>
        </values>
      </ddeItem>
      <ddeItem name="4148.TW-SimulateTime" advise="1">
        <values>
          <value t="str">
            <val>--</val>
          </value>
        </values>
      </ddeItem>
      <ddeItem name="4155.TW-ID" advise="1">
        <values>
          <value t="str">
            <val>4155</val>
          </value>
        </values>
      </ddeItem>
      <ddeItem name="4155.TW-Name" advise="1">
        <values>
          <value t="str">
            <val>訊映</val>
          </value>
        </values>
      </ddeItem>
      <ddeItem name="4155.TW-PreClose" advise="1">
        <values>
          <value>
            <val>29.7</val>
          </value>
        </values>
      </ddeItem>
      <ddeItem name="4155.TW-Price" advise="1">
        <values>
          <value>
            <val>29.6</val>
          </value>
        </values>
      </ddeItem>
      <ddeItem name="4155.TW-SimulatePrice" advise="1">
        <values>
          <value>
            <val>29.6</val>
          </value>
        </values>
      </ddeItem>
      <ddeItem name="4155.TW-SimulateTime" advise="1">
        <values>
          <value t="str">
            <val>13:29:58</val>
          </value>
        </values>
      </ddeItem>
      <ddeItem name="4164.TW-ID" advise="1">
        <values>
          <value t="str">
            <val>4164</val>
          </value>
        </values>
      </ddeItem>
      <ddeItem name="4164.TW-Name" advise="1">
        <values>
          <value t="str">
            <val>承業醫</val>
          </value>
        </values>
      </ddeItem>
      <ddeItem name="4164.TW-PreClose" advise="1">
        <values>
          <value>
            <val>37.85</val>
          </value>
        </values>
      </ddeItem>
      <ddeItem name="4164.TW-Price" advise="1">
        <values>
          <value>
            <val>37.799999999999997</val>
          </value>
        </values>
      </ddeItem>
      <ddeItem name="4164.TW-SimulatePrice" advise="1">
        <values>
          <value>
            <val>37.799999999999997</val>
          </value>
        </values>
      </ddeItem>
      <ddeItem name="4164.TW-SimulateTime" advise="1">
        <values>
          <value t="str">
            <val>13:28:56</val>
          </value>
        </values>
      </ddeItem>
      <ddeItem name="4190.TW-ID" advise="1">
        <values>
          <value t="str">
            <val>4190</val>
          </value>
        </values>
      </ddeItem>
      <ddeItem name="4190.TW-Name" advise="1">
        <values>
          <value t="str">
            <val>佐登-KY</val>
          </value>
        </values>
      </ddeItem>
      <ddeItem name="4190.TW-PreClose" advise="1">
        <values>
          <value>
            <val>82.5</val>
          </value>
        </values>
      </ddeItem>
      <ddeItem name="4190.TW-Price" advise="1">
        <values>
          <value>
            <val>81.099999999999994</val>
          </value>
        </values>
      </ddeItem>
      <ddeItem name="4190.TW-SimulatePrice" advise="1">
        <values>
          <value>
            <val>81.099999999999994</val>
          </value>
        </values>
      </ddeItem>
      <ddeItem name="4190.TW-SimulateTime" advise="1">
        <values>
          <value t="str">
            <val>13:29:59</val>
          </value>
        </values>
      </ddeItem>
      <ddeItem name="4306.TW-ID" advise="1">
        <values>
          <value t="str">
            <val>4306</val>
          </value>
        </values>
      </ddeItem>
      <ddeItem name="4306.TW-Name" advise="1">
        <values>
          <value t="str">
            <val>炎洲</val>
          </value>
        </values>
      </ddeItem>
      <ddeItem name="4306.TW-PreClose" advise="1">
        <values>
          <value>
            <val>10.65</val>
          </value>
        </values>
      </ddeItem>
      <ddeItem name="4306.TW-Price" advise="1">
        <values>
          <value>
            <val>10.65</val>
          </value>
        </values>
      </ddeItem>
      <ddeItem name="4306.TW-SimulatePrice" advise="1">
        <values>
          <value>
            <val>10.65</val>
          </value>
        </values>
      </ddeItem>
      <ddeItem name="4306.TW-SimulateTime" advise="1">
        <values>
          <value t="str">
            <val>13:29:57</val>
          </value>
        </values>
      </ddeItem>
      <ddeItem name="4414.TW-ID" advise="1">
        <values>
          <value t="str">
            <val>4414</val>
          </value>
        </values>
      </ddeItem>
      <ddeItem name="4414.TW-Name" advise="1">
        <values>
          <value t="str">
            <val>如興</val>
          </value>
        </values>
      </ddeItem>
      <ddeItem name="4414.TW-PreClose" advise="1">
        <values>
          <value>
            <val>8.51</val>
          </value>
        </values>
      </ddeItem>
      <ddeItem name="4414.TW-Price" advise="1">
        <values>
          <value>
            <val>8.51</val>
          </value>
        </values>
      </ddeItem>
      <ddeItem name="4414.TW-SimulatePrice" advise="1">
        <values>
          <value>
            <val>8.51</val>
          </value>
        </values>
      </ddeItem>
      <ddeItem name="4414.TW-SimulateTime" advise="1">
        <values>
          <value t="str">
            <val>13:29:37</val>
          </value>
        </values>
      </ddeItem>
      <ddeItem name="4426.TW-ID" advise="1">
        <values>
          <value t="str">
            <val>4426</val>
          </value>
        </values>
      </ddeItem>
      <ddeItem name="4426.TW-Name" advise="1">
        <values>
          <value t="str">
            <val>利勤</val>
          </value>
        </values>
      </ddeItem>
      <ddeItem name="4426.TW-PreClose" advise="1">
        <values>
          <value>
            <val>30.15</val>
          </value>
        </values>
      </ddeItem>
      <ddeItem name="4426.TW-Price" advise="1">
        <values>
          <value>
            <val>29.55</val>
          </value>
        </values>
      </ddeItem>
      <ddeItem name="4426.TW-SimulatePrice" advise="1">
        <values>
          <value>
            <val>29.6</val>
          </value>
        </values>
      </ddeItem>
      <ddeItem name="4426.TW-SimulateTime" advise="1">
        <values>
          <value t="str">
            <val>13:29:50</val>
          </value>
        </values>
      </ddeItem>
      <ddeItem name="4438.TW-ID" advise="1">
        <values>
          <value t="str">
            <val>4438</val>
          </value>
        </values>
      </ddeItem>
      <ddeItem name="4438.TW-Name" advise="1">
        <values>
          <value t="str">
            <val>廣越</val>
          </value>
        </values>
      </ddeItem>
      <ddeItem name="4438.TW-PreClose" advise="1">
        <values>
          <value>
            <val>116</val>
          </value>
        </values>
      </ddeItem>
      <ddeItem name="4438.TW-Price" advise="1">
        <values>
          <value>
            <val>116.5</val>
          </value>
        </values>
      </ddeItem>
      <ddeItem name="4438.TW-SimulatePrice" advise="1">
        <values>
          <value>
            <val>116.5</val>
          </value>
        </values>
      </ddeItem>
      <ddeItem name="4438.TW-SimulateTime" advise="1">
        <values>
          <value t="str">
            <val>13:29:58</val>
          </value>
        </values>
      </ddeItem>
      <ddeItem name="4439.TW-ID" advise="1">
        <values>
          <value t="str">
            <val>4439</val>
          </value>
        </values>
      </ddeItem>
      <ddeItem name="4439.TW-Name" advise="1">
        <values>
          <value t="str">
            <val>冠星-KY</val>
          </value>
        </values>
      </ddeItem>
      <ddeItem name="4439.TW-PreClose" advise="1">
        <values>
          <value>
            <val>135.5</val>
          </value>
        </values>
      </ddeItem>
      <ddeItem name="4439.TW-Price" advise="1">
        <values>
          <value>
            <val>139</val>
          </value>
        </values>
      </ddeItem>
      <ddeItem name="4439.TW-SimulatePrice" advise="1">
        <values>
          <value>
            <val>139</val>
          </value>
        </values>
      </ddeItem>
      <ddeItem name="4439.TW-SimulateTime" advise="1">
        <values>
          <value t="str">
            <val>13:29:53</val>
          </value>
        </values>
      </ddeItem>
      <ddeItem name="4526.TW-ID" advise="1">
        <values>
          <value t="str">
            <val>4526</val>
          </value>
        </values>
      </ddeItem>
      <ddeItem name="4526.TW-Name" advise="1">
        <values>
          <value t="str">
            <val>東台</val>
          </value>
        </values>
      </ddeItem>
      <ddeItem name="4526.TW-PreClose" advise="1">
        <values>
          <value>
            <val>12.65</val>
          </value>
        </values>
      </ddeItem>
      <ddeItem name="4526.TW-Price" advise="1">
        <values>
          <value>
            <val>12.65</val>
          </value>
        </values>
      </ddeItem>
      <ddeItem name="4526.TW-SimulatePrice" advise="1">
        <values>
          <value>
            <val>12.65</val>
          </value>
        </values>
      </ddeItem>
      <ddeItem name="4526.TW-SimulateTime" advise="1">
        <values>
          <value t="str">
            <val>13:28:38</val>
          </value>
        </values>
      </ddeItem>
      <ddeItem name="4532.TW-ID" advise="1">
        <values>
          <value t="str">
            <val>4532</val>
          </value>
        </values>
      </ddeItem>
      <ddeItem name="4532.TW-Name" advise="1">
        <values>
          <value t="str">
            <val>瑞智</val>
          </value>
        </values>
      </ddeItem>
      <ddeItem name="4532.TW-PreClose" advise="1">
        <values>
          <value>
            <val>17.149999999999999</val>
          </value>
        </values>
      </ddeItem>
      <ddeItem name="4532.TW-Price" advise="1">
        <values>
          <value>
            <val>17.05</val>
          </value>
        </values>
      </ddeItem>
      <ddeItem name="4532.TW-SimulatePrice" advise="1">
        <values>
          <value>
            <val>17.05</val>
          </value>
        </values>
      </ddeItem>
      <ddeItem name="4532.TW-SimulateTime" advise="1">
        <values>
          <value t="str">
            <val>13:29:13</val>
          </value>
        </values>
      </ddeItem>
      <ddeItem name="4536.TW-ID" advise="1">
        <values>
          <value t="str">
            <val>4536</val>
          </value>
        </values>
      </ddeItem>
      <ddeItem name="4536.TW-Name" advise="1">
        <values>
          <value t="str">
            <val>拓凱</val>
          </value>
        </values>
      </ddeItem>
      <ddeItem name="4536.TW-PreClose" advise="1">
        <values>
          <value>
            <val>110</val>
          </value>
        </values>
      </ddeItem>
      <ddeItem name="4536.TW-Price" advise="1">
        <values>
          <value>
            <val>106</val>
          </value>
        </values>
      </ddeItem>
      <ddeItem name="4536.TW-SimulatePrice" advise="1">
        <values>
          <value>
            <val>106</val>
          </value>
        </values>
      </ddeItem>
      <ddeItem name="4536.TW-SimulateTime" advise="1">
        <values>
          <value t="str">
            <val>13:29:59</val>
          </value>
        </values>
      </ddeItem>
      <ddeItem name="4540.TW-ID" advise="1">
        <values>
          <value t="str">
            <val>4540</val>
          </value>
        </values>
      </ddeItem>
      <ddeItem name="4540.TW-Name" advise="1">
        <values>
          <value t="str">
            <val>全球傳動</val>
          </value>
        </values>
      </ddeItem>
      <ddeItem name="4540.TW-PreClose" advise="1">
        <values>
          <value>
            <val>50.6</val>
          </value>
        </values>
      </ddeItem>
      <ddeItem name="4540.TW-Price" advise="1">
        <values>
          <value>
            <val>50.9</val>
          </value>
        </values>
      </ddeItem>
      <ddeItem name="4540.TW-SimulatePrice" advise="1">
        <values>
          <value>
            <val>50.9</val>
          </value>
        </values>
      </ddeItem>
      <ddeItem name="4540.TW-SimulateTime" advise="1">
        <values>
          <value t="str">
            <val>13:29:47</val>
          </value>
        </values>
      </ddeItem>
      <ddeItem name="4545.TW-ID" advise="1">
        <values>
          <value t="str">
            <val>4545</val>
          </value>
        </values>
      </ddeItem>
      <ddeItem name="4545.TW-Name" advise="1">
        <values>
          <value t="str">
            <val>銘鈺</val>
          </value>
        </values>
      </ddeItem>
      <ddeItem name="4545.TW-PreClose" advise="1">
        <values>
          <value>
            <val>27.35</val>
          </value>
        </values>
      </ddeItem>
      <ddeItem name="4545.TW-Price" advise="1">
        <values>
          <value>
            <val>27.8</val>
          </value>
        </values>
      </ddeItem>
      <ddeItem name="4545.TW-SimulatePrice" advise="1">
        <values>
          <value>
            <val>27.8</val>
          </value>
        </values>
      </ddeItem>
      <ddeItem name="4545.TW-SimulateTime" advise="1">
        <values>
          <value t="str">
            <val>13:29:31</val>
          </value>
        </values>
      </ddeItem>
      <ddeItem name="4551.TW-ID" advise="1">
        <values>
          <value t="str">
            <val>4551</val>
          </value>
        </values>
      </ddeItem>
      <ddeItem name="4551.TW-Name" advise="1">
        <values>
          <value t="str">
            <val>智伸科</val>
          </value>
        </values>
      </ddeItem>
      <ddeItem name="4551.TW-PreClose" advise="1">
        <values>
          <value>
            <val>122.5</val>
          </value>
        </values>
      </ddeItem>
      <ddeItem name="4551.TW-Price" advise="1">
        <values>
          <value>
            <val>120.5</val>
          </value>
        </values>
      </ddeItem>
      <ddeItem name="4551.TW-SimulatePrice" advise="1">
        <values>
          <value>
            <val>120.5</val>
          </value>
        </values>
      </ddeItem>
      <ddeItem name="4551.TW-SimulateTime" advise="1">
        <values>
          <value t="str">
            <val>13:29:50</val>
          </value>
        </values>
      </ddeItem>
      <ddeItem name="4552.TW-ID" advise="1">
        <values>
          <value t="str">
            <val>4552</val>
          </value>
        </values>
      </ddeItem>
      <ddeItem name="4552.TW-Name" advise="1">
        <values>
          <value t="str">
            <val>力達-KY</val>
          </value>
        </values>
      </ddeItem>
      <ddeItem name="4552.TW-PreClose" advise="1">
        <values>
          <value>
            <val>29.55</val>
          </value>
        </values>
      </ddeItem>
      <ddeItem name="4552.TW-Price" advise="1">
        <values>
          <value>
            <val>29.65</val>
          </value>
        </values>
      </ddeItem>
      <ddeItem name="4552.TW-SimulatePrice" advise="1">
        <values>
          <value>
            <val>29.65</val>
          </value>
        </values>
      </ddeItem>
      <ddeItem name="4552.TW-SimulateTime" advise="1">
        <values>
          <value t="str">
            <val>13:29:58</val>
          </value>
        </values>
      </ddeItem>
      <ddeItem name="4555.TW-ID" advise="1">
        <values>
          <value t="str">
            <val>4555</val>
          </value>
        </values>
      </ddeItem>
      <ddeItem name="4555.TW-Name" advise="1">
        <values>
          <value t="str">
            <val>氣立</val>
          </value>
        </values>
      </ddeItem>
      <ddeItem name="4555.TW-PreClose" advise="1">
        <values>
          <value>
            <val>51.9</val>
          </value>
        </values>
      </ddeItem>
      <ddeItem name="4555.TW-Price" advise="1">
        <values>
          <value>
            <val>51.5</val>
          </value>
        </values>
      </ddeItem>
      <ddeItem name="4555.TW-SimulatePrice" advise="1">
        <values>
          <value>
            <val>51.5</val>
          </value>
        </values>
      </ddeItem>
      <ddeItem name="4555.TW-SimulateTime" advise="1">
        <values>
          <value t="str">
            <val>13:29:48</val>
          </value>
        </values>
      </ddeItem>
      <ddeItem name="4557.TW-ID" advise="1">
        <values>
          <value t="str">
            <val>4557</val>
          </value>
        </values>
      </ddeItem>
      <ddeItem name="4557.TW-Name" advise="1">
        <values>
          <value t="str">
            <val>永新-KY</val>
          </value>
        </values>
      </ddeItem>
      <ddeItem name="4557.TW-PreClose" advise="1">
        <values>
          <value>
            <val>67.599999999999994</val>
          </value>
        </values>
      </ddeItem>
      <ddeItem name="4557.TW-Price" advise="1">
        <values>
          <value>
            <val>67.7</val>
          </value>
        </values>
      </ddeItem>
      <ddeItem name="4557.TW-SimulatePrice" advise="1">
        <values>
          <value>
            <val>67.7</val>
          </value>
        </values>
      </ddeItem>
      <ddeItem name="4557.TW-SimulateTime" advise="1">
        <values>
          <value t="str">
            <val>13:28:22</val>
          </value>
        </values>
      </ddeItem>
      <ddeItem name="4560.TW-ID" advise="1">
        <values>
          <value t="str">
            <val>4560</val>
          </value>
        </values>
      </ddeItem>
      <ddeItem name="4560.TW-Name" advise="1">
        <values>
          <value t="str">
            <val>強信-KY</val>
          </value>
        </values>
      </ddeItem>
      <ddeItem name="4560.TW-PreClose" advise="1">
        <values>
          <value>
            <val>47.6</val>
          </value>
        </values>
      </ddeItem>
      <ddeItem name="4560.TW-Price" advise="1">
        <values>
          <value>
            <val>47.8</val>
          </value>
        </values>
      </ddeItem>
      <ddeItem name="4560.TW-SimulatePrice" advise="1">
        <values>
          <value>
            <val>47.8</val>
          </value>
        </values>
      </ddeItem>
      <ddeItem name="4560.TW-SimulateTime" advise="1">
        <values>
          <value t="str">
            <val>13:29:58</val>
          </value>
        </values>
      </ddeItem>
      <ddeItem name="4562.TW-ID" advise="1">
        <values>
          <value t="str">
            <val>4562</val>
          </value>
        </values>
      </ddeItem>
      <ddeItem name="4562.TW-Name" advise="1">
        <values>
          <value t="str">
            <val>穎漢</val>
          </value>
        </values>
      </ddeItem>
      <ddeItem name="4562.TW-PreClose" advise="1">
        <values>
          <value>
            <val>17.05</val>
          </value>
        </values>
      </ddeItem>
      <ddeItem name="4562.TW-Price" advise="1">
        <values>
          <value>
            <val>17.100000000000001</val>
          </value>
        </values>
      </ddeItem>
      <ddeItem name="4562.TW-SimulatePrice" advise="1">
        <values>
          <value t="str">
            <val>--</val>
          </value>
        </values>
      </ddeItem>
      <ddeItem name="4562.TW-SimulateTime" advise="1">
        <values>
          <value t="str">
            <val>--</val>
          </value>
        </values>
      </ddeItem>
      <ddeItem name="4564.TW-ID" advise="1">
        <values>
          <value t="str">
            <val>4564</val>
          </value>
        </values>
      </ddeItem>
      <ddeItem name="4564.TW-Name" advise="1">
        <values>
          <value t="str">
            <val>元翎</val>
          </value>
        </values>
      </ddeItem>
      <ddeItem name="4564.TW-PreClose" advise="1">
        <values>
          <value>
            <val>30.4</val>
          </value>
        </values>
      </ddeItem>
      <ddeItem name="4564.TW-Price" advise="1">
        <values>
          <value>
            <val>30.05</val>
          </value>
        </values>
      </ddeItem>
      <ddeItem name="4564.TW-SimulatePrice" advise="1">
        <values>
          <value>
            <val>30.05</val>
          </value>
        </values>
      </ddeItem>
      <ddeItem name="4564.TW-SimulateTime" advise="1">
        <values>
          <value t="str">
            <val>13:29:25</val>
          </value>
        </values>
      </ddeItem>
      <ddeItem name="4566.TW-ID" advise="1">
        <values>
          <value t="str">
            <val>4566</val>
          </value>
        </values>
      </ddeItem>
      <ddeItem name="4566.TW-Name" advise="1">
        <values>
          <value t="str">
            <val>時碩工業</val>
          </value>
        </values>
      </ddeItem>
      <ddeItem name="4566.TW-PreClose" advise="1">
        <values>
          <value>
            <val>36</val>
          </value>
        </values>
      </ddeItem>
      <ddeItem name="4566.TW-Price" advise="1">
        <values>
          <value>
            <val>37</val>
          </value>
        </values>
      </ddeItem>
      <ddeItem name="4566.TW-SimulatePrice" advise="1">
        <values>
          <value>
            <val>37</val>
          </value>
        </values>
      </ddeItem>
      <ddeItem name="4566.TW-SimulateTime" advise="1">
        <values>
          <value t="str">
            <val>13:29:46</val>
          </value>
        </values>
      </ddeItem>
      <ddeItem name="4571.TW-ID" advise="1">
        <values>
          <value t="str">
            <val>4571</val>
          </value>
        </values>
      </ddeItem>
      <ddeItem name="4571.TW-Name" advise="1">
        <values>
          <value t="str">
            <val>鈞興-KY</val>
          </value>
        </values>
      </ddeItem>
      <ddeItem name="4571.TW-PreClose" advise="1">
        <values>
          <value>
            <val>62.3</val>
          </value>
        </values>
      </ddeItem>
      <ddeItem name="4571.TW-Price" advise="1">
        <values>
          <value>
            <val>60.6</val>
          </value>
        </values>
      </ddeItem>
      <ddeItem name="4571.TW-SimulatePrice" advise="1">
        <values>
          <value>
            <val>60.6</val>
          </value>
        </values>
      </ddeItem>
      <ddeItem name="4571.TW-SimulateTime" advise="1">
        <values>
          <value t="str">
            <val>13:29:40</val>
          </value>
        </values>
      </ddeItem>
      <ddeItem name="4572.TW-ID" advise="1">
        <values>
          <value t="str">
            <val>4572</val>
          </value>
        </values>
      </ddeItem>
      <ddeItem name="4572.TW-Name" advise="1">
        <values>
          <value t="str">
            <val>駐龍</val>
          </value>
        </values>
      </ddeItem>
      <ddeItem name="4572.TW-PreClose" advise="1">
        <values>
          <value>
            <val>80.400000000000006</val>
          </value>
        </values>
      </ddeItem>
      <ddeItem name="4572.TW-Price" advise="1">
        <values>
          <value>
            <val>79.599999999999994</val>
          </value>
        </values>
      </ddeItem>
      <ddeItem name="4572.TW-SimulatePrice" advise="1">
        <values>
          <value>
            <val>79.599999999999994</val>
          </value>
        </values>
      </ddeItem>
      <ddeItem name="4572.TW-SimulateTime" advise="1">
        <values>
          <value t="str">
            <val>13:28:07</val>
          </value>
        </values>
      </ddeItem>
      <ddeItem name="4576.TW-ID" advise="1">
        <values>
          <value t="str">
            <val>4576</val>
          </value>
        </values>
      </ddeItem>
      <ddeItem name="4576.TW-Name" advise="1">
        <values>
          <value t="str">
            <val>大銀微系統</val>
          </value>
        </values>
      </ddeItem>
      <ddeItem name="4576.TW-PreClose" advise="1">
        <values>
          <value>
            <val>69</val>
          </value>
        </values>
      </ddeItem>
      <ddeItem name="4576.TW-Price" advise="1">
        <values>
          <value>
            <val>70.2</val>
          </value>
        </values>
      </ddeItem>
      <ddeItem name="4576.TW-SimulatePrice" advise="1">
        <values>
          <value>
            <val>70.2</val>
          </value>
        </values>
      </ddeItem>
      <ddeItem name="4576.TW-SimulateTime" advise="1">
        <values>
          <value t="str">
            <val>13:29:58</val>
          </value>
        </values>
      </ddeItem>
      <ddeItem name="4581.TW-ID" advise="1">
        <values>
          <value t="str">
            <val>4581</val>
          </value>
        </values>
      </ddeItem>
      <ddeItem name="4581.TW-Name" advise="1">
        <values>
          <value t="str">
            <val>光隆精密-KY</val>
          </value>
        </values>
      </ddeItem>
      <ddeItem name="4581.TW-PreClose" advise="1">
        <values>
          <value>
            <val>38.5</val>
          </value>
        </values>
      </ddeItem>
      <ddeItem name="4581.TW-Price" advise="1">
        <values>
          <value>
            <val>38.85</val>
          </value>
        </values>
      </ddeItem>
      <ddeItem name="4581.TW-SimulatePrice" advise="1">
        <values>
          <value>
            <val>38.85</val>
          </value>
        </values>
      </ddeItem>
      <ddeItem name="4581.TW-SimulateTime" advise="1">
        <values>
          <value t="str">
            <val>13:29:52</val>
          </value>
        </values>
      </ddeItem>
      <ddeItem name="4720.TW-ID" advise="1">
        <values>
          <value t="str">
            <val>4720</val>
          </value>
        </values>
      </ddeItem>
      <ddeItem name="4720.TW-Name" advise="1">
        <values>
          <value t="str">
            <val>德淵</val>
          </value>
        </values>
      </ddeItem>
      <ddeItem name="4720.TW-PreClose" advise="1">
        <values>
          <value>
            <val>16.7</val>
          </value>
        </values>
      </ddeItem>
      <ddeItem name="4720.TW-Price" advise="1">
        <values>
          <value>
            <val>16.25</val>
          </value>
        </values>
      </ddeItem>
      <ddeItem name="4720.TW-SimulatePrice" advise="1">
        <values>
          <value>
            <val>16.2</val>
          </value>
        </values>
      </ddeItem>
      <ddeItem name="4720.TW-SimulateTime" advise="1">
        <values>
          <value t="str">
            <val>13:29:55</val>
          </value>
        </values>
      </ddeItem>
      <ddeItem name="4722.TW-ID" advise="1">
        <values>
          <value t="str">
            <val>4722</val>
          </value>
        </values>
      </ddeItem>
      <ddeItem name="4722.TW-Name" advise="1">
        <values>
          <value t="str">
            <val>國精化</val>
          </value>
        </values>
      </ddeItem>
      <ddeItem name="4722.TW-PreClose" advise="1">
        <values>
          <value>
            <val>26.95</val>
          </value>
        </values>
      </ddeItem>
      <ddeItem name="4722.TW-Price" advise="1">
        <values>
          <value>
            <val>27.15</val>
          </value>
        </values>
      </ddeItem>
      <ddeItem name="4722.TW-SimulatePrice" advise="1">
        <values>
          <value>
            <val>27.15</val>
          </value>
        </values>
      </ddeItem>
      <ddeItem name="4722.TW-SimulateTime" advise="1">
        <values>
          <value t="str">
            <val>13:28:51</val>
          </value>
        </values>
      </ddeItem>
      <ddeItem name="4725.TW-ID" advise="1">
        <values>
          <value t="str">
            <val>4725</val>
          </value>
        </values>
      </ddeItem>
      <ddeItem name="4725.TW-Name" advise="1">
        <values>
          <value t="str">
            <val>信昌化</val>
          </value>
        </values>
      </ddeItem>
      <ddeItem name="4725.TW-PreClose" advise="1">
        <values>
          <value>
            <val>8.77</val>
          </value>
        </values>
      </ddeItem>
      <ddeItem name="4725.TW-Price" advise="1">
        <values>
          <value>
            <val>8.49</val>
          </value>
        </values>
      </ddeItem>
      <ddeItem name="4725.TW-SimulatePrice" advise="1">
        <values>
          <value>
            <val>8.49</val>
          </value>
        </values>
      </ddeItem>
      <ddeItem name="4725.TW-SimulateTime" advise="1">
        <values>
          <value t="str">
            <val>13:29:31</val>
          </value>
        </values>
      </ddeItem>
      <ddeItem name="4737.TW-ID" advise="1">
        <values>
          <value t="str">
            <val>4737</val>
          </value>
        </values>
      </ddeItem>
      <ddeItem name="4737.TW-Name" advise="1">
        <values>
          <value t="str">
            <val>華廣</val>
          </value>
        </values>
      </ddeItem>
      <ddeItem name="4737.TW-PreClose" advise="1">
        <values>
          <value>
            <val>65.599999999999994</val>
          </value>
        </values>
      </ddeItem>
      <ddeItem name="4737.TW-Price" advise="1">
        <values>
          <value>
            <val>65.599999999999994</val>
          </value>
        </values>
      </ddeItem>
      <ddeItem name="4737.TW-SimulatePrice" advise="1">
        <values>
          <value>
            <val>65.599999999999994</val>
          </value>
        </values>
      </ddeItem>
      <ddeItem name="4737.TW-SimulateTime" advise="1">
        <values>
          <value t="str">
            <val>13:28:08</val>
          </value>
        </values>
      </ddeItem>
      <ddeItem name="4739.TW-ID" advise="1">
        <values>
          <value t="str">
            <val>4739</val>
          </value>
        </values>
      </ddeItem>
      <ddeItem name="4739.TW-Name" advise="1">
        <values>
          <value t="str">
            <val>康普</val>
          </value>
        </values>
      </ddeItem>
      <ddeItem name="4739.TW-PreClose" advise="1">
        <values>
          <value>
            <val>60.8</val>
          </value>
        </values>
      </ddeItem>
      <ddeItem name="4739.TW-Price" advise="1">
        <values>
          <value>
            <val>58.3</val>
          </value>
        </values>
      </ddeItem>
      <ddeItem name="4739.TW-SimulatePrice" advise="1">
        <values>
          <value>
            <val>58.3</val>
          </value>
        </values>
      </ddeItem>
      <ddeItem name="4739.TW-SimulateTime" advise="1">
        <values>
          <value t="str">
            <val>13:29:53</val>
          </value>
        </values>
      </ddeItem>
      <ddeItem name="4746.TW-ID" advise="1">
        <values>
          <value t="str">
            <val>4746</val>
          </value>
        </values>
      </ddeItem>
      <ddeItem name="4746.TW-Name" advise="1">
        <values>
          <value t="str">
            <val>台耀</val>
          </value>
        </values>
      </ddeItem>
      <ddeItem name="4746.TW-PreClose" advise="1">
        <values>
          <value>
            <val>52.6</val>
          </value>
        </values>
      </ddeItem>
      <ddeItem name="4746.TW-Price" advise="1">
        <values>
          <value>
            <val>51.2</val>
          </value>
        </values>
      </ddeItem>
      <ddeItem name="4746.TW-SimulatePrice" advise="1">
        <values>
          <value>
            <val>51.2</val>
          </value>
        </values>
      </ddeItem>
      <ddeItem name="4746.TW-SimulateTime" advise="1">
        <values>
          <value t="str">
            <val>13:29:58</val>
          </value>
        </values>
      </ddeItem>
      <ddeItem name="4755.TW-ID" advise="1">
        <values>
          <value t="str">
            <val>4755</val>
          </value>
        </values>
      </ddeItem>
      <ddeItem name="4755.TW-Name" advise="1">
        <values>
          <value t="str">
            <val>三福化</val>
          </value>
        </values>
      </ddeItem>
      <ddeItem name="4755.TW-PreClose" advise="1">
        <values>
          <value>
            <val>45.45</val>
          </value>
        </values>
      </ddeItem>
      <ddeItem name="4755.TW-Price" advise="1">
        <values>
          <value>
            <val>45.4</val>
          </value>
        </values>
      </ddeItem>
      <ddeItem name="4755.TW-SimulatePrice" advise="1">
        <values>
          <value>
            <val>45.4</val>
          </value>
        </values>
      </ddeItem>
      <ddeItem name="4755.TW-SimulateTime" advise="1">
        <values>
          <value t="str">
            <val>13:26:14</val>
          </value>
        </values>
      </ddeItem>
      <ddeItem name="4763.TW-ID" advise="1">
        <values>
          <value t="str">
            <val>4763</val>
          </value>
        </values>
      </ddeItem>
      <ddeItem name="4763.TW-Name" advise="1">
        <values>
          <value t="str">
            <val>材料-KY</val>
          </value>
        </values>
      </ddeItem>
      <ddeItem name="4763.TW-PreClose" advise="1">
        <values>
          <value>
            <val>123.5</val>
          </value>
        </values>
      </ddeItem>
      <ddeItem name="4763.TW-Price" advise="1">
        <values>
          <value>
            <val>124.5</val>
          </value>
        </values>
      </ddeItem>
      <ddeItem name="4763.TW-SimulatePrice" advise="1">
        <values>
          <value>
            <val>124.5</val>
          </value>
        </values>
      </ddeItem>
      <ddeItem name="4763.TW-SimulateTime" advise="1">
        <values>
          <value t="str">
            <val>13:29:55</val>
          </value>
        </values>
      </ddeItem>
      <ddeItem name="4764.TW-ID" advise="1">
        <values>
          <value t="str">
            <val>4764</val>
          </value>
        </values>
      </ddeItem>
      <ddeItem name="4764.TW-Name" advise="1">
        <values>
          <value t="str">
            <val>雙鍵</val>
          </value>
        </values>
      </ddeItem>
      <ddeItem name="4764.TW-PreClose" advise="1">
        <values>
          <value>
            <val>65.900000000000006</val>
          </value>
        </values>
      </ddeItem>
      <ddeItem name="4764.TW-Price" advise="1">
        <values>
          <value>
            <val>66.599999999999994</val>
          </value>
        </values>
      </ddeItem>
      <ddeItem name="4764.TW-SimulatePrice" advise="1">
        <values>
          <value>
            <val>66.599999999999994</val>
          </value>
        </values>
      </ddeItem>
      <ddeItem name="4764.TW-SimulateTime" advise="1">
        <values>
          <value t="str">
            <val>13:28:28</val>
          </value>
        </values>
      </ddeItem>
      <ddeItem name="4766.TW-ID" advise="1">
        <values>
          <value t="str">
            <val>4766</val>
          </value>
        </values>
      </ddeItem>
      <ddeItem name="4766.TW-Name" advise="1">
        <values>
          <value t="str">
            <val>南寶</val>
          </value>
        </values>
      </ddeItem>
      <ddeItem name="4766.TW-PreClose" advise="1">
        <values>
          <value>
            <val>121.5</val>
          </value>
        </values>
      </ddeItem>
      <ddeItem name="4766.TW-Price" advise="1">
        <values>
          <value>
            <val>120.5</val>
          </value>
        </values>
      </ddeItem>
      <ddeItem name="4766.TW-SimulatePrice" advise="1">
        <values>
          <value>
            <val>120.5</val>
          </value>
        </values>
      </ddeItem>
      <ddeItem name="4766.TW-SimulateTime" advise="1">
        <values>
          <value t="str">
            <val>13:29:58</val>
          </value>
        </values>
      </ddeItem>
      <ddeItem name="4807.TW-ID" advise="1">
        <values>
          <value t="str">
            <val>4807</val>
          </value>
        </values>
      </ddeItem>
      <ddeItem name="4807.TW-Name" advise="1">
        <values>
          <value t="str">
            <val>日成-KY</val>
          </value>
        </values>
      </ddeItem>
      <ddeItem name="4807.TW-PreClose" advise="1">
        <values>
          <value>
            <val>29.5</val>
          </value>
        </values>
      </ddeItem>
      <ddeItem name="4807.TW-Price" advise="1">
        <values>
          <value>
            <val>32.450000000000003</val>
          </value>
        </values>
      </ddeItem>
      <ddeItem name="4807.TW-SimulatePrice" advise="1">
        <values>
          <value>
            <val>32.450000000000003</val>
          </value>
        </values>
      </ddeItem>
      <ddeItem name="4807.TW-SimulateTime" advise="1">
        <values>
          <value t="str">
            <val>13:29:58</val>
          </value>
        </values>
      </ddeItem>
      <ddeItem name="4904.TW-ID" advise="1">
        <values>
          <value t="str">
            <val>4904</val>
          </value>
        </values>
      </ddeItem>
      <ddeItem name="4904.TW-Name" advise="1">
        <values>
          <value t="str">
            <val>遠傳</val>
          </value>
        </values>
      </ddeItem>
      <ddeItem name="4904.TW-PreClose" advise="1">
        <values>
          <value>
            <val>65.900000000000006</val>
          </value>
        </values>
      </ddeItem>
      <ddeItem name="4904.TW-Price" advise="1">
        <values>
          <value>
            <val>65.8</val>
          </value>
        </values>
      </ddeItem>
      <ddeItem name="4904.TW-SimulatePrice" advise="1">
        <values>
          <value>
            <val>65.8</val>
          </value>
        </values>
      </ddeItem>
      <ddeItem name="4904.TW-SimulateTime" advise="1">
        <values>
          <value t="str">
            <val>13:29:57</val>
          </value>
        </values>
      </ddeItem>
      <ddeItem name="4906.TW-ID" advise="1">
        <values>
          <value t="str">
            <val>4906</val>
          </value>
        </values>
      </ddeItem>
      <ddeItem name="4906.TW-Name" advise="1">
        <values>
          <value t="str">
            <val>正文</val>
          </value>
        </values>
      </ddeItem>
      <ddeItem name="4906.TW-PreClose" advise="1">
        <values>
          <value>
            <val>21.65</val>
          </value>
        </values>
      </ddeItem>
      <ddeItem name="4906.TW-Price" advise="1">
        <values>
          <value>
            <val>21.1</val>
          </value>
        </values>
      </ddeItem>
      <ddeItem name="4906.TW-SimulatePrice" advise="1">
        <values>
          <value>
            <val>21.05</val>
          </value>
        </values>
      </ddeItem>
      <ddeItem name="4906.TW-SimulateTime" advise="1">
        <values>
          <value t="str">
            <val>13:29:50</val>
          </value>
        </values>
      </ddeItem>
      <ddeItem name="4912.TW-ID" advise="1">
        <values>
          <value t="str">
            <val>4912</val>
          </value>
        </values>
      </ddeItem>
      <ddeItem name="4912.TW-Name" advise="1">
        <values>
          <value t="str">
            <val>聯德控股-KY</val>
          </value>
        </values>
      </ddeItem>
      <ddeItem name="4912.TW-PreClose" advise="1">
        <values>
          <value>
            <val>80.5</val>
          </value>
        </values>
      </ddeItem>
      <ddeItem name="4912.TW-Price" advise="1">
        <values>
          <value>
            <val>79.3</val>
          </value>
        </values>
      </ddeItem>
      <ddeItem name="4912.TW-SimulatePrice" advise="1">
        <values>
          <value>
            <val>79.3</val>
          </value>
        </values>
      </ddeItem>
      <ddeItem name="4912.TW-SimulateTime" advise="1">
        <values>
          <value t="str">
            <val>13:29:08</val>
          </value>
        </values>
      </ddeItem>
      <ddeItem name="4915.TW-ID" advise="1">
        <values>
          <value t="str">
            <val>4915</val>
          </value>
        </values>
      </ddeItem>
      <ddeItem name="4915.TW-Name" advise="1">
        <values>
          <value t="str">
            <val>致伸</val>
          </value>
        </values>
      </ddeItem>
      <ddeItem name="4915.TW-PreClose" advise="1">
        <values>
          <value>
            <val>47.8</val>
          </value>
        </values>
      </ddeItem>
      <ddeItem name="4915.TW-Price" advise="1">
        <values>
          <value>
            <val>47.95</val>
          </value>
        </values>
      </ddeItem>
      <ddeItem name="4915.TW-SimulatePrice" advise="1">
        <values>
          <value>
            <val>47.9</val>
          </value>
        </values>
      </ddeItem>
      <ddeItem name="4915.TW-SimulateTime" advise="1">
        <values>
          <value t="str">
            <val>13:29:55</val>
          </value>
        </values>
      </ddeItem>
      <ddeItem name="4916.TW-ID" advise="1">
        <values>
          <value t="str">
            <val>4916</val>
          </value>
        </values>
      </ddeItem>
      <ddeItem name="4916.TW-Name" advise="1">
        <values>
          <value t="str">
            <val>事欣科</val>
          </value>
        </values>
      </ddeItem>
      <ddeItem name="4916.TW-PreClose" advise="1">
        <values>
          <value>
            <val>26.5</val>
          </value>
        </values>
      </ddeItem>
      <ddeItem name="4916.TW-Price" advise="1">
        <values>
          <value>
            <val>26.3</val>
          </value>
        </values>
      </ddeItem>
      <ddeItem name="4916.TW-SimulatePrice" advise="1">
        <values>
          <value>
            <val>26.3</val>
          </value>
        </values>
      </ddeItem>
      <ddeItem name="4916.TW-SimulateTime" advise="1">
        <values>
          <value t="str">
            <val>13:29:37</val>
          </value>
        </values>
      </ddeItem>
      <ddeItem name="4919.TW-ID" advise="1">
        <values>
          <value t="str">
            <val>4919</val>
          </value>
        </values>
      </ddeItem>
      <ddeItem name="4919.TW-Name" advise="1">
        <values>
          <value t="str">
            <val>新唐</val>
          </value>
        </values>
      </ddeItem>
      <ddeItem name="4919.TW-PreClose" advise="1">
        <values>
          <value>
            <val>36.85</val>
          </value>
        </values>
      </ddeItem>
      <ddeItem name="4919.TW-Price" advise="1">
        <values>
          <value>
            <val>36</val>
          </value>
        </values>
      </ddeItem>
      <ddeItem name="4919.TW-SimulatePrice" advise="1">
        <values>
          <value>
            <val>36</val>
          </value>
        </values>
      </ddeItem>
      <ddeItem name="4919.TW-SimulateTime" advise="1">
        <values>
          <value t="str">
            <val>13:29:46</val>
          </value>
        </values>
      </ddeItem>
      <ddeItem name="4927.TW-ID" advise="1">
        <values>
          <value t="str">
            <val>4927</val>
          </value>
        </values>
      </ddeItem>
      <ddeItem name="4927.TW-Name" advise="1">
        <values>
          <value t="str">
            <val>泰鼎-KY</val>
          </value>
        </values>
      </ddeItem>
      <ddeItem name="4927.TW-PreClose" advise="1">
        <values>
          <value>
            <val>60.6</val>
          </value>
        </values>
      </ddeItem>
      <ddeItem name="4927.TW-Price" advise="1">
        <values>
          <value>
            <val>60.8</val>
          </value>
        </values>
      </ddeItem>
      <ddeItem name="4927.TW-SimulatePrice" advise="1">
        <values>
          <value>
            <val>60.9</val>
          </value>
        </values>
      </ddeItem>
      <ddeItem name="4927.TW-SimulateTime" advise="1">
        <values>
          <value t="str">
            <val>13:29:58</val>
          </value>
        </values>
      </ddeItem>
      <ddeItem name="4930.TW-ID" advise="1">
        <values>
          <value t="str">
            <val>4930</val>
          </value>
        </values>
      </ddeItem>
      <ddeItem name="4930.TW-Name" advise="1">
        <values>
          <value t="str">
            <val>燦星網</val>
          </value>
        </values>
      </ddeItem>
      <ddeItem name="4930.TW-PreClose" advise="1">
        <values>
          <value>
            <val>9.56</val>
          </value>
        </values>
      </ddeItem>
      <ddeItem name="4930.TW-Price" advise="1">
        <values>
          <value>
            <val>9.5399999999999991</val>
          </value>
        </values>
      </ddeItem>
      <ddeItem name="4930.TW-SimulatePrice" advise="1">
        <values>
          <value>
            <val>9.56</val>
          </value>
        </values>
      </ddeItem>
      <ddeItem name="4930.TW-SimulateTime" advise="1">
        <values>
          <value t="str">
            <val>13:27:41</val>
          </value>
        </values>
      </ddeItem>
      <ddeItem name="4934.TW-ID" advise="1">
        <values>
          <value t="str">
            <val>4934</val>
          </value>
        </values>
      </ddeItem>
      <ddeItem name="4934.TW-Name" advise="1">
        <values>
          <value t="str">
            <val>太極</val>
          </value>
        </values>
      </ddeItem>
      <ddeItem name="4934.TW-PreClose" advise="1">
        <values>
          <value>
            <val>16.55</val>
          </value>
        </values>
      </ddeItem>
      <ddeItem name="4934.TW-Price" advise="1">
        <values>
          <value>
            <val>16.45</val>
          </value>
        </values>
      </ddeItem>
      <ddeItem name="4934.TW-SimulatePrice" advise="1">
        <values>
          <value>
            <val>16.45</val>
          </value>
        </values>
      </ddeItem>
      <ddeItem name="4934.TW-SimulateTime" advise="1">
        <values>
          <value t="str">
            <val>13:29:54</val>
          </value>
        </values>
      </ddeItem>
      <ddeItem name="4935.TW-ID" advise="1">
        <values>
          <value t="str">
            <val>4935</val>
          </value>
        </values>
      </ddeItem>
      <ddeItem name="4935.TW-Name" advise="1">
        <values>
          <value t="str">
            <val>茂林-KY</val>
          </value>
        </values>
      </ddeItem>
      <ddeItem name="4935.TW-PreClose" advise="1">
        <values>
          <value>
            <val>125.5</val>
          </value>
        </values>
      </ddeItem>
      <ddeItem name="4935.TW-Price" advise="1">
        <values>
          <value>
            <val>128.5</val>
          </value>
        </values>
      </ddeItem>
      <ddeItem name="4935.TW-SimulatePrice" advise="1">
        <values>
          <value>
            <val>128.5</val>
          </value>
        </values>
      </ddeItem>
      <ddeItem name="4935.TW-SimulateTime" advise="1">
        <values>
          <value t="str">
            <val>13:29:57</val>
          </value>
        </values>
      </ddeItem>
      <ddeItem name="4938.TW-ID" advise="1">
        <values>
          <value t="str">
            <val>4938</val>
          </value>
        </values>
      </ddeItem>
      <ddeItem name="4938.TW-Name" advise="1">
        <values>
          <value t="str">
            <val>和碩</val>
          </value>
        </values>
      </ddeItem>
      <ddeItem name="4938.TW-PreClose" advise="1">
        <values>
          <value>
            <val>66</val>
          </value>
        </values>
      </ddeItem>
      <ddeItem name="4938.TW-Price" advise="1">
        <values>
          <value>
            <val>62.6</val>
          </value>
        </values>
      </ddeItem>
      <ddeItem name="4938.TW-SimulatePrice" advise="1">
        <values>
          <value>
            <val>62.6</val>
          </value>
        </values>
      </ddeItem>
      <ddeItem name="4938.TW-SimulateTime" advise="1">
        <values>
          <value t="str">
            <val>13:29:58</val>
          </value>
        </values>
      </ddeItem>
      <ddeItem name="4942.TW-ID" advise="1">
        <values>
          <value t="str">
            <val>4942</val>
          </value>
        </values>
      </ddeItem>
      <ddeItem name="4942.TW-Name" advise="1">
        <values>
          <value t="str">
            <val>嘉彰</val>
          </value>
        </values>
      </ddeItem>
      <ddeItem name="4942.TW-PreClose" advise="1">
        <values>
          <value>
            <val>33.299999999999997</val>
          </value>
        </values>
      </ddeItem>
      <ddeItem name="4942.TW-Price" advise="1">
        <values>
          <value>
            <val>33.1</val>
          </value>
        </values>
      </ddeItem>
      <ddeItem name="4942.TW-SimulatePrice" advise="1">
        <values>
          <value>
            <val>33.1</val>
          </value>
        </values>
      </ddeItem>
      <ddeItem name="4942.TW-SimulateTime" advise="1">
        <values>
          <value t="str">
            <val>13:29:16</val>
          </value>
        </values>
      </ddeItem>
      <ddeItem name="4943.TW-ID" advise="1">
        <values>
          <value t="str">
            <val>4943</val>
          </value>
        </values>
      </ddeItem>
      <ddeItem name="4943.TW-Name" advise="1">
        <values>
          <value t="str">
            <val>康控-KY</val>
          </value>
        </values>
      </ddeItem>
      <ddeItem name="4943.TW-PreClose" advise="1">
        <values>
          <value>
            <val>118</val>
          </value>
        </values>
      </ddeItem>
      <ddeItem name="4943.TW-Price" advise="1">
        <values>
          <value>
            <val>115.5</val>
          </value>
        </values>
      </ddeItem>
      <ddeItem name="4943.TW-SimulatePrice" advise="1">
        <values>
          <value>
            <val>115.5</val>
          </value>
        </values>
      </ddeItem>
      <ddeItem name="4943.TW-SimulateTime" advise="1">
        <values>
          <value t="str">
            <val>13:29:57</val>
          </value>
        </values>
      </ddeItem>
      <ddeItem name="4952.TW-ID" advise="1">
        <values>
          <value t="str">
            <val>4952</val>
          </value>
        </values>
      </ddeItem>
      <ddeItem name="4952.TW-Name" advise="1">
        <values>
          <value t="str">
            <val>凌通</val>
          </value>
        </values>
      </ddeItem>
      <ddeItem name="4952.TW-PreClose" advise="1">
        <values>
          <value>
            <val>28.8</val>
          </value>
        </values>
      </ddeItem>
      <ddeItem name="4952.TW-Price" advise="1">
        <values>
          <value>
            <val>28.75</val>
          </value>
        </values>
      </ddeItem>
      <ddeItem name="4952.TW-SimulatePrice" advise="1">
        <values>
          <value>
            <val>28.75</val>
          </value>
        </values>
      </ddeItem>
      <ddeItem name="4952.TW-SimulateTime" advise="1">
        <values>
          <value t="str">
            <val>13:28:29</val>
          </value>
        </values>
      </ddeItem>
      <ddeItem name="4956.TW-ID" advise="1">
        <values>
          <value t="str">
            <val>4956</val>
          </value>
        </values>
      </ddeItem>
      <ddeItem name="4956.TW-Name" advise="1">
        <values>
          <value t="str">
            <val>光鋐</val>
          </value>
        </values>
      </ddeItem>
      <ddeItem name="4956.TW-PreClose" advise="1">
        <values>
          <value>
            <val>15.9</val>
          </value>
        </values>
      </ddeItem>
      <ddeItem name="4956.TW-Price" advise="1">
        <values>
          <value>
            <val>16.55</val>
          </value>
        </values>
      </ddeItem>
      <ddeItem name="4956.TW-SimulatePrice" advise="1">
        <values>
          <value t="str">
            <val>--</val>
          </value>
        </values>
      </ddeItem>
      <ddeItem name="4956.TW-SimulateTime" advise="1">
        <values>
          <value t="str">
            <val>--</val>
          </value>
        </values>
      </ddeItem>
      <ddeItem name="4958.TW-ID" advise="1">
        <values>
          <value t="str">
            <val>4958</val>
          </value>
        </values>
      </ddeItem>
      <ddeItem name="4958.TW-Name" advise="1">
        <values>
          <value t="str">
            <val>臻鼎-KY</val>
          </value>
        </values>
      </ddeItem>
      <ddeItem name="4958.TW-PreClose" advise="1">
        <values>
          <value>
            <val>113.5</val>
          </value>
        </values>
      </ddeItem>
      <ddeItem name="4958.TW-Price" advise="1">
        <values>
          <value>
            <val>113.5</val>
          </value>
        </values>
      </ddeItem>
      <ddeItem name="4958.TW-SimulatePrice" advise="1">
        <values>
          <value>
            <val>113.5</val>
          </value>
        </values>
      </ddeItem>
      <ddeItem name="4958.TW-SimulateTime" advise="1">
        <values>
          <value t="str">
            <val>13:29:57</val>
          </value>
        </values>
      </ddeItem>
      <ddeItem name="4960.TW-ID" advise="1">
        <values>
          <value t="str">
            <val>4960</val>
          </value>
        </values>
      </ddeItem>
      <ddeItem name="4960.TW-Name" advise="1">
        <values>
          <value t="str">
            <val>誠美材</val>
          </value>
        </values>
      </ddeItem>
      <ddeItem name="4960.TW-PreClose" advise="1">
        <values>
          <value>
            <val>6.66</val>
          </value>
        </values>
      </ddeItem>
      <ddeItem name="4960.TW-Price" advise="1">
        <values>
          <value>
            <val>6.49</val>
          </value>
        </values>
      </ddeItem>
      <ddeItem name="4960.TW-SimulatePrice" advise="1">
        <values>
          <value>
            <val>6.49</val>
          </value>
        </values>
      </ddeItem>
      <ddeItem name="4960.TW-SimulateTime" advise="1">
        <values>
          <value t="str">
            <val>13:29:39</val>
          </value>
        </values>
      </ddeItem>
      <ddeItem name="4961.TW-ID" advise="1">
        <values>
          <value t="str">
            <val>4961</val>
          </value>
        </values>
      </ddeItem>
      <ddeItem name="4961.TW-Name" advise="1">
        <values>
          <value t="str">
            <val>天鈺</val>
          </value>
        </values>
      </ddeItem>
      <ddeItem name="4961.TW-PreClose" advise="1">
        <values>
          <value>
            <val>26.95</val>
          </value>
        </values>
      </ddeItem>
      <ddeItem name="4961.TW-Price" advise="1">
        <values>
          <value>
            <val>26.3</val>
          </value>
        </values>
      </ddeItem>
      <ddeItem name="4961.TW-SimulatePrice" advise="1">
        <values>
          <value>
            <val>26.3</val>
          </value>
        </values>
      </ddeItem>
      <ddeItem name="4961.TW-SimulateTime" advise="1">
        <values>
          <value t="str">
            <val>13:29:28</val>
          </value>
        </values>
      </ddeItem>
      <ddeItem name="4967.TW-ID" advise="1">
        <values>
          <value t="str">
            <val>4967</val>
          </value>
        </values>
      </ddeItem>
      <ddeItem name="4967.TW-Name" advise="1">
        <values>
          <value t="str">
            <val>十銓</val>
          </value>
        </values>
      </ddeItem>
      <ddeItem name="4967.TW-PreClose" advise="1">
        <values>
          <value>
            <val>38.5</val>
          </value>
        </values>
      </ddeItem>
      <ddeItem name="4967.TW-Price" advise="1">
        <values>
          <value>
            <val>37.85</val>
          </value>
        </values>
      </ddeItem>
      <ddeItem name="4967.TW-SimulatePrice" advise="1">
        <values>
          <value>
            <val>37.85</val>
          </value>
        </values>
      </ddeItem>
      <ddeItem name="4967.TW-SimulateTime" advise="1">
        <values>
          <value t="str">
            <val>13:29:54</val>
          </value>
        </values>
      </ddeItem>
      <ddeItem name="4968.TW-ID" advise="1">
        <values>
          <value t="str">
            <val>4968</val>
          </value>
        </values>
      </ddeItem>
      <ddeItem name="4968.TW-Name" advise="1">
        <values>
          <value t="str">
            <val>立積</val>
          </value>
        </values>
      </ddeItem>
      <ddeItem name="4968.TW-PreClose" advise="1">
        <values>
          <value>
            <val>166</val>
          </value>
        </values>
      </ddeItem>
      <ddeItem name="4968.TW-Price" advise="1">
        <values>
          <value>
            <val>165</val>
          </value>
        </values>
      </ddeItem>
      <ddeItem name="4968.TW-SimulatePrice" advise="1">
        <values>
          <value>
            <val>165</val>
          </value>
        </values>
      </ddeItem>
      <ddeItem name="4968.TW-SimulateTime" advise="1">
        <values>
          <value t="str">
            <val>13:29:59</val>
          </value>
        </values>
      </ddeItem>
      <ddeItem name="4976.TW-ID" advise="1">
        <values>
          <value t="str">
            <val>4976</val>
          </value>
        </values>
      </ddeItem>
      <ddeItem name="4976.TW-Name" advise="1">
        <values>
          <value t="str">
            <val>佳凌</val>
          </value>
        </values>
      </ddeItem>
      <ddeItem name="4976.TW-PreClose" advise="1">
        <values>
          <value>
            <val>17.5</val>
          </value>
        </values>
      </ddeItem>
      <ddeItem name="4976.TW-Price" advise="1">
        <values>
          <value>
            <val>17.100000000000001</val>
          </value>
        </values>
      </ddeItem>
      <ddeItem name="4976.TW-SimulatePrice" advise="1">
        <values>
          <value>
            <val>17.100000000000001</val>
          </value>
        </values>
      </ddeItem>
      <ddeItem name="4976.TW-SimulateTime" advise="1">
        <values>
          <value t="str">
            <val>13:29:10</val>
          </value>
        </values>
      </ddeItem>
      <ddeItem name="4977.TW-ID" advise="1">
        <values>
          <value t="str">
            <val>4977</val>
          </value>
        </values>
      </ddeItem>
      <ddeItem name="4977.TW-Name" advise="1">
        <values>
          <value t="str">
            <val>眾達-KY</val>
          </value>
        </values>
      </ddeItem>
      <ddeItem name="4977.TW-PreClose" advise="1">
        <values>
          <value>
            <val>120</val>
          </value>
        </values>
      </ddeItem>
      <ddeItem name="4977.TW-Price" advise="1">
        <values>
          <value>
            <val>124</val>
          </value>
        </values>
      </ddeItem>
      <ddeItem name="4977.TW-SimulatePrice" advise="1">
        <values>
          <value>
            <val>124</val>
          </value>
        </values>
      </ddeItem>
      <ddeItem name="4977.TW-SimulateTime" advise="1">
        <values>
          <value t="str">
            <val>13:29:57</val>
          </value>
        </values>
      </ddeItem>
      <ddeItem name="4989.TW-ID" advise="1">
        <values>
          <value t="str">
            <val>4989</val>
          </value>
        </values>
      </ddeItem>
      <ddeItem name="4989.TW-Name" advise="1">
        <values>
          <value t="str">
            <val>榮科</val>
          </value>
        </values>
      </ddeItem>
      <ddeItem name="4989.TW-PreClose" advise="1">
        <values>
          <value>
            <val>19.2</val>
          </value>
        </values>
      </ddeItem>
      <ddeItem name="4989.TW-Price" advise="1">
        <values>
          <value>
            <val>19.2</val>
          </value>
        </values>
      </ddeItem>
      <ddeItem name="4989.TW-SimulatePrice" advise="1">
        <values>
          <value>
            <val>19.2</val>
          </value>
        </values>
      </ddeItem>
      <ddeItem name="4989.TW-SimulateTime" advise="1">
        <values>
          <value t="str">
            <val>13:28:52</val>
          </value>
        </values>
      </ddeItem>
      <ddeItem name="4994.TW-ID" advise="1">
        <values>
          <value t="str">
            <val>4994</val>
          </value>
        </values>
      </ddeItem>
      <ddeItem name="4994.TW-Name" advise="1">
        <values>
          <value t="str">
            <val>傳奇</val>
          </value>
        </values>
      </ddeItem>
      <ddeItem name="4994.TW-PreClose" advise="1">
        <values>
          <value>
            <val>64.900000000000006</val>
          </value>
        </values>
      </ddeItem>
      <ddeItem name="4994.TW-Price" advise="1">
        <values>
          <value>
            <val>64.900000000000006</val>
          </value>
        </values>
      </ddeItem>
      <ddeItem name="4994.TW-SimulatePrice" advise="1">
        <values>
          <value>
            <val>64.900000000000006</val>
          </value>
        </values>
      </ddeItem>
      <ddeItem name="4994.TW-SimulateTime" advise="1">
        <values>
          <value t="str">
            <val>13:28:58</val>
          </value>
        </values>
      </ddeItem>
      <ddeItem name="4999.TW-ID" advise="1">
        <values>
          <value t="str">
            <val>4999</val>
          </value>
        </values>
      </ddeItem>
      <ddeItem name="4999.TW-Name" advise="1">
        <values>
          <value t="str">
            <val>鑫禾</val>
          </value>
        </values>
      </ddeItem>
      <ddeItem name="4999.TW-PreClose" advise="1">
        <values>
          <value>
            <val>39.85</val>
          </value>
        </values>
      </ddeItem>
      <ddeItem name="4999.TW-Price" advise="1">
        <values>
          <value>
            <val>40.200000000000003</val>
          </value>
        </values>
      </ddeItem>
      <ddeItem name="4999.TW-SimulatePrice" advise="1">
        <values>
          <value>
            <val>40.200000000000003</val>
          </value>
        </values>
      </ddeItem>
      <ddeItem name="4999.TW-SimulateTime" advise="1">
        <values>
          <value t="str">
            <val>13:29:34</val>
          </value>
        </values>
      </ddeItem>
      <ddeItem name="5007.TW-ID" advise="1">
        <values>
          <value t="str">
            <val>5007</val>
          </value>
        </values>
      </ddeItem>
      <ddeItem name="5007.TW-Name" advise="1">
        <values>
          <value t="str">
            <val>三星</val>
          </value>
        </values>
      </ddeItem>
      <ddeItem name="5007.TW-PreClose" advise="1">
        <values>
          <value>
            <val>45</val>
          </value>
        </values>
      </ddeItem>
      <ddeItem name="5007.TW-Price" advise="1">
        <values>
          <value>
            <val>45</val>
          </value>
        </values>
      </ddeItem>
      <ddeItem name="5007.TW-SimulatePrice" advise="1">
        <values>
          <value>
            <val>45</val>
          </value>
        </values>
      </ddeItem>
      <ddeItem name="5007.TW-SimulateTime" advise="1">
        <values>
          <value t="str">
            <val>13:29:54</val>
          </value>
        </values>
      </ddeItem>
      <ddeItem name="5203.TW-ID" advise="1">
        <values>
          <value t="str">
            <val>5203</val>
          </value>
        </values>
      </ddeItem>
      <ddeItem name="5203.TW-Name" advise="1">
        <values>
          <value t="str">
            <val>訊連</val>
          </value>
        </values>
      </ddeItem>
      <ddeItem name="5203.TW-PreClose" advise="1">
        <values>
          <value>
            <val>112</val>
          </value>
        </values>
      </ddeItem>
      <ddeItem name="5203.TW-Price" advise="1">
        <values>
          <value>
            <val>115</val>
          </value>
        </values>
      </ddeItem>
      <ddeItem name="5203.TW-SimulatePrice" advise="1">
        <values>
          <value>
            <val>115</val>
          </value>
        </values>
      </ddeItem>
      <ddeItem name="5203.TW-SimulateTime" advise="1">
        <values>
          <value t="str">
            <val>13:29:51</val>
          </value>
        </values>
      </ddeItem>
      <ddeItem name="5215.TW-ID" advise="1">
        <values>
          <value t="str">
            <val>5215</val>
          </value>
        </values>
      </ddeItem>
      <ddeItem name="5215.TW-Name" advise="1">
        <values>
          <value t="str">
            <val>科嘉-KY</val>
          </value>
        </values>
      </ddeItem>
      <ddeItem name="5215.TW-PreClose" advise="1">
        <values>
          <value>
            <val>69.8</val>
          </value>
        </values>
      </ddeItem>
      <ddeItem name="5215.TW-Price" advise="1">
        <values>
          <value>
            <val>72</val>
          </value>
        </values>
      </ddeItem>
      <ddeItem name="5215.TW-SimulatePrice" advise="1">
        <values>
          <value>
            <val>72</val>
          </value>
        </values>
      </ddeItem>
      <ddeItem name="5215.TW-SimulateTime" advise="1">
        <values>
          <value t="str">
            <val>13:29:53</val>
          </value>
        </values>
      </ddeItem>
      <ddeItem name="5225.TW-ID" advise="1">
        <values>
          <value t="str">
            <val>5225</val>
          </value>
        </values>
      </ddeItem>
      <ddeItem name="5225.TW-Name" advise="1">
        <values>
          <value t="str">
            <val>東科-KY</val>
          </value>
        </values>
      </ddeItem>
      <ddeItem name="5225.TW-PreClose" advise="1">
        <values>
          <value>
            <val>25.55</val>
          </value>
        </values>
      </ddeItem>
      <ddeItem name="5225.TW-Price" advise="1">
        <values>
          <value>
            <val>25.2</val>
          </value>
        </values>
      </ddeItem>
      <ddeItem name="5225.TW-SimulatePrice" advise="1">
        <values>
          <value>
            <val>25.2</val>
          </value>
        </values>
      </ddeItem>
      <ddeItem name="5225.TW-SimulateTime" advise="1">
        <values>
          <value t="str">
            <val>13:29:28</val>
          </value>
        </values>
      </ddeItem>
      <ddeItem name="5234.TW-ID" advise="1">
        <values>
          <value t="str">
            <val>5234</val>
          </value>
        </values>
      </ddeItem>
      <ddeItem name="5234.TW-Name" advise="1">
        <values>
          <value t="str">
            <val>達興材料</val>
          </value>
        </values>
      </ddeItem>
      <ddeItem name="5234.TW-PreClose" advise="1">
        <values>
          <value>
            <val>85.5</val>
          </value>
        </values>
      </ddeItem>
      <ddeItem name="5234.TW-Price" advise="1">
        <values>
          <value>
            <val>85.7</val>
          </value>
        </values>
      </ddeItem>
      <ddeItem name="5234.TW-SimulatePrice" advise="1">
        <values>
          <value>
            <val>85.7</val>
          </value>
        </values>
      </ddeItem>
      <ddeItem name="5234.TW-SimulateTime" advise="1">
        <values>
          <value t="str">
            <val>13:29:57</val>
          </value>
        </values>
      </ddeItem>
      <ddeItem name="5243.TW-ID" advise="1">
        <values>
          <value t="str">
            <val>5243</val>
          </value>
        </values>
      </ddeItem>
      <ddeItem name="5243.TW-Name" advise="1">
        <values>
          <value t="str">
            <val>乙盛-KY</val>
          </value>
        </values>
      </ddeItem>
      <ddeItem name="5243.TW-PreClose" advise="1">
        <values>
          <value>
            <val>31</val>
          </value>
        </values>
      </ddeItem>
      <ddeItem name="5243.TW-Price" advise="1">
        <values>
          <value>
            <val>30.4</val>
          </value>
        </values>
      </ddeItem>
      <ddeItem name="5243.TW-SimulatePrice" advise="1">
        <values>
          <value>
            <val>30.4</val>
          </value>
        </values>
      </ddeItem>
      <ddeItem name="5243.TW-SimulateTime" advise="1">
        <values>
          <value t="str">
            <val>13:29:58</val>
          </value>
        </values>
      </ddeItem>
      <ddeItem name="5258.TW-ID" advise="1">
        <values>
          <value t="str">
            <val>5258</val>
          </value>
        </values>
      </ddeItem>
      <ddeItem name="5258.TW-Name" advise="1">
        <values>
          <value t="str">
            <val>虹堡</val>
          </value>
        </values>
      </ddeItem>
      <ddeItem name="5258.TW-PreClose" advise="1">
        <values>
          <value>
            <val>24.55</val>
          </value>
        </values>
      </ddeItem>
      <ddeItem name="5258.TW-Price" advise="1">
        <values>
          <value>
            <val>23.8</val>
          </value>
        </values>
      </ddeItem>
      <ddeItem name="5258.TW-SimulatePrice" advise="1">
        <values>
          <value>
            <val>23.8</val>
          </value>
        </values>
      </ddeItem>
      <ddeItem name="5258.TW-SimulateTime" advise="1">
        <values>
          <value t="str">
            <val>13:29:43</val>
          </value>
        </values>
      </ddeItem>
      <ddeItem name="5264.TW-ID" advise="1">
        <values>
          <value t="str">
            <val>5264</val>
          </value>
        </values>
      </ddeItem>
      <ddeItem name="5264.TW-Name" advise="1">
        <values>
          <value t="str">
            <val>鎧勝-KY</val>
          </value>
        </values>
      </ddeItem>
      <ddeItem name="5264.TW-PreClose" advise="1">
        <values>
          <value>
            <val>42.6</val>
          </value>
        </values>
      </ddeItem>
      <ddeItem name="5264.TW-Price" advise="1">
        <values>
          <value>
            <val>42.4</val>
          </value>
        </values>
      </ddeItem>
      <ddeItem name="5264.TW-SimulatePrice" advise="1">
        <values>
          <value>
            <val>42.4</val>
          </value>
        </values>
      </ddeItem>
      <ddeItem name="5264.TW-SimulateTime" advise="1">
        <values>
          <value t="str">
            <val>13:29:30</val>
          </value>
        </values>
      </ddeItem>
      <ddeItem name="5269.TW-ID" advise="1">
        <values>
          <value t="str">
            <val>5269</val>
          </value>
        </values>
      </ddeItem>
      <ddeItem name="5269.TW-Name" advise="1">
        <values>
          <value t="str">
            <val>祥碩</val>
          </value>
        </values>
      </ddeItem>
      <ddeItem name="5269.TW-PreClose" advise="1">
        <values>
          <value>
            <val>956</val>
          </value>
        </values>
      </ddeItem>
      <ddeItem name="5269.TW-Price" advise="1">
        <values>
          <value>
            <val>1050</val>
          </value>
        </values>
      </ddeItem>
      <ddeItem name="5269.TW-SimulatePrice" advise="1">
        <values>
          <value>
            <val>1050</val>
          </value>
        </values>
      </ddeItem>
      <ddeItem name="5269.TW-SimulateTime" advise="1">
        <values>
          <value t="str">
            <val>13:29:55</val>
          </value>
        </values>
      </ddeItem>
      <ddeItem name="5283.TW-ID" advise="1">
        <values>
          <value t="str">
            <val>5283</val>
          </value>
        </values>
      </ddeItem>
      <ddeItem name="5283.TW-Name" advise="1">
        <values>
          <value t="str">
            <val>禾聯碩</val>
          </value>
        </values>
      </ddeItem>
      <ddeItem name="5283.TW-PreClose" advise="1">
        <values>
          <value>
            <val>99.2</val>
          </value>
        </values>
      </ddeItem>
      <ddeItem name="5283.TW-Price" advise="1">
        <values>
          <value>
            <val>99</val>
          </value>
        </values>
      </ddeItem>
      <ddeItem name="5283.TW-SimulatePrice" advise="1">
        <values>
          <value>
            <val>99</val>
          </value>
        </values>
      </ddeItem>
      <ddeItem name="5283.TW-SimulateTime" advise="1">
        <values>
          <value t="str">
            <val>13:28:57</val>
          </value>
        </values>
      </ddeItem>
      <ddeItem name="5284.TW-ID" advise="1">
        <values>
          <value t="str">
            <val>5284</val>
          </value>
        </values>
      </ddeItem>
      <ddeItem name="5284.TW-Name" advise="1">
        <values>
          <value t="str">
            <val>jpp-KY</val>
          </value>
        </values>
      </ddeItem>
      <ddeItem name="5284.TW-PreClose" advise="1">
        <values>
          <value>
            <val>39.9</val>
          </value>
        </values>
      </ddeItem>
      <ddeItem name="5284.TW-Price" advise="1">
        <values>
          <value>
            <val>40.049999999999997</val>
          </value>
        </values>
      </ddeItem>
      <ddeItem name="5284.TW-SimulatePrice" advise="1">
        <values>
          <value>
            <val>40.049999999999997</val>
          </value>
        </values>
      </ddeItem>
      <ddeItem name="5284.TW-SimulateTime" advise="1">
        <values>
          <value t="str">
            <val>13:29:58</val>
          </value>
        </values>
      </ddeItem>
      <ddeItem name="5285.TW-ID" advise="1">
        <values>
          <value t="str">
            <val>5285</val>
          </value>
        </values>
      </ddeItem>
      <ddeItem name="5285.TW-Name" advise="1">
        <values>
          <value t="str">
            <val>界霖</val>
          </value>
        </values>
      </ddeItem>
      <ddeItem name="5285.TW-PreClose" advise="1">
        <values>
          <value>
            <val>41.9</val>
          </value>
        </values>
      </ddeItem>
      <ddeItem name="5285.TW-Price" advise="1">
        <values>
          <value>
            <val>40.85</val>
          </value>
        </values>
      </ddeItem>
      <ddeItem name="5285.TW-SimulatePrice" advise="1">
        <values>
          <value>
            <val>40.85</val>
          </value>
        </values>
      </ddeItem>
      <ddeItem name="5285.TW-SimulateTime" advise="1">
        <values>
          <value t="str">
            <val>13:29:58</val>
          </value>
        </values>
      </ddeItem>
      <ddeItem name="5288.TW-ID" advise="1">
        <values>
          <value t="str">
            <val>5288</val>
          </value>
        </values>
      </ddeItem>
      <ddeItem name="5288.TW-Name" advise="1">
        <values>
          <value t="str">
            <val>豐祥-KY</val>
          </value>
        </values>
      </ddeItem>
      <ddeItem name="5288.TW-PreClose" advise="1">
        <values>
          <value>
            <val>92.3</val>
          </value>
        </values>
      </ddeItem>
      <ddeItem name="5288.TW-Price" advise="1">
        <values>
          <value>
            <val>92.7</val>
          </value>
        </values>
      </ddeItem>
      <ddeItem name="5288.TW-SimulatePrice" advise="1">
        <values>
          <value>
            <val>92.7</val>
          </value>
        </values>
      </ddeItem>
      <ddeItem name="5288.TW-SimulateTime" advise="1">
        <values>
          <value t="str">
            <val>13:29:56</val>
          </value>
        </values>
      </ddeItem>
      <ddeItem name="5305.TW-ID" advise="1">
        <values>
          <value t="str">
            <val>5305</val>
          </value>
        </values>
      </ddeItem>
      <ddeItem name="5305.TW-Name" advise="1">
        <values>
          <value t="str">
            <val>敦南</val>
          </value>
        </values>
      </ddeItem>
      <ddeItem name="5305.TW-PreClose" advise="1">
        <values>
          <value>
            <val>41.35</val>
          </value>
        </values>
      </ddeItem>
      <ddeItem name="5305.TW-Price" advise="1">
        <values>
          <value>
            <val>41.45</val>
          </value>
        </values>
      </ddeItem>
      <ddeItem name="5305.TW-SimulatePrice" advise="1">
        <values>
          <value>
            <val>41.45</val>
          </value>
        </values>
      </ddeItem>
      <ddeItem name="5305.TW-SimulateTime" advise="1">
        <values>
          <value t="str">
            <val>13:29:44</val>
          </value>
        </values>
      </ddeItem>
      <ddeItem name="5388.TW-ID" advise="1">
        <values>
          <value t="str">
            <val>5388</val>
          </value>
        </values>
      </ddeItem>
      <ddeItem name="5388.TW-Name" advise="1">
        <values>
          <value t="str">
            <val>中磊</val>
          </value>
        </values>
      </ddeItem>
      <ddeItem name="5388.TW-PreClose" advise="1">
        <values>
          <value>
            <val>72.2</val>
          </value>
        </values>
      </ddeItem>
      <ddeItem name="5388.TW-Price" advise="1">
        <values>
          <value>
            <val>72.099999999999994</val>
          </value>
        </values>
      </ddeItem>
      <ddeItem name="5388.TW-SimulatePrice" advise="1">
        <values>
          <value>
            <val>72.099999999999994</val>
          </value>
        </values>
      </ddeItem>
      <ddeItem name="5388.TW-SimulateTime" advise="1">
        <values>
          <value t="str">
            <val>13:29:50</val>
          </value>
        </values>
      </ddeItem>
      <ddeItem name="5434.TW-ID" advise="1">
        <values>
          <value t="str">
            <val>5434</val>
          </value>
        </values>
      </ddeItem>
      <ddeItem name="5434.TW-Name" advise="1">
        <values>
          <value t="str">
            <val>崇越</val>
          </value>
        </values>
      </ddeItem>
      <ddeItem name="5434.TW-PreClose" advise="1">
        <values>
          <value>
            <val>101</val>
          </value>
        </values>
      </ddeItem>
      <ddeItem name="5434.TW-Price" advise="1">
        <values>
          <value>
            <val>102.5</val>
          </value>
        </values>
      </ddeItem>
      <ddeItem name="5434.TW-SimulatePrice" advise="1">
        <values>
          <value>
            <val>102.5</val>
          </value>
        </values>
      </ddeItem>
      <ddeItem name="5434.TW-SimulateTime" advise="1">
        <values>
          <value t="str">
            <val>13:29:59</val>
          </value>
        </values>
      </ddeItem>
      <ddeItem name="5469.TW-ID" advise="1">
        <values>
          <value t="str">
            <val>5469</val>
          </value>
        </values>
      </ddeItem>
      <ddeItem name="5469.TW-Name" advise="1">
        <values>
          <value t="str">
            <val>瀚宇博</val>
          </value>
        </values>
      </ddeItem>
      <ddeItem name="5469.TW-PreClose" advise="1">
        <values>
          <value>
            <val>37.65</val>
          </value>
        </values>
      </ddeItem>
      <ddeItem name="5469.TW-Price" advise="1">
        <values>
          <value>
            <val>37.6</val>
          </value>
        </values>
      </ddeItem>
      <ddeItem name="5469.TW-SimulatePrice" advise="1">
        <values>
          <value>
            <val>37.6</val>
          </value>
        </values>
      </ddeItem>
      <ddeItem name="5469.TW-SimulateTime" advise="1">
        <values>
          <value t="str">
            <val>13:29:55</val>
          </value>
        </values>
      </ddeItem>
      <ddeItem name="5471.TW-ID" advise="1">
        <values>
          <value t="str">
            <val>5471</val>
          </value>
        </values>
      </ddeItem>
      <ddeItem name="5471.TW-Name" advise="1">
        <values>
          <value t="str">
            <val>松翰</val>
          </value>
        </values>
      </ddeItem>
      <ddeItem name="5471.TW-PreClose" advise="1">
        <values>
          <value>
            <val>59.8</val>
          </value>
        </values>
      </ddeItem>
      <ddeItem name="5471.TW-Price" advise="1">
        <values>
          <value>
            <val>57.5</val>
          </value>
        </values>
      </ddeItem>
      <ddeItem name="5471.TW-SimulatePrice" advise="1">
        <values>
          <value>
            <val>57.5</val>
          </value>
        </values>
      </ddeItem>
      <ddeItem name="5471.TW-SimulateTime" advise="1">
        <values>
          <value t="str">
            <val>13:29:57</val>
          </value>
        </values>
      </ddeItem>
      <ddeItem name="5484.TW-ID" advise="1">
        <values>
          <value t="str">
            <val>5484</val>
          </value>
        </values>
      </ddeItem>
      <ddeItem name="5484.TW-Name" advise="1">
        <values>
          <value t="str">
            <val>慧友</val>
          </value>
        </values>
      </ddeItem>
      <ddeItem name="5484.TW-PreClose" advise="1">
        <values>
          <value>
            <val>8.4</val>
          </value>
        </values>
      </ddeItem>
      <ddeItem name="5484.TW-Price" advise="1">
        <values>
          <value>
            <val>8.16</val>
          </value>
        </values>
      </ddeItem>
      <ddeItem name="5484.TW-SimulatePrice" advise="1">
        <values>
          <value>
            <val>8.16</val>
          </value>
        </values>
      </ddeItem>
      <ddeItem name="5484.TW-SimulateTime" advise="1">
        <values>
          <value t="str">
            <val>13:29:02</val>
          </value>
        </values>
      </ddeItem>
      <ddeItem name="5515.TW-ID" advise="1">
        <values>
          <value t="str">
            <val>5515</val>
          </value>
        </values>
      </ddeItem>
      <ddeItem name="5515.TW-Name" advise="1">
        <values>
          <value t="str">
            <val>建國</val>
          </value>
        </values>
      </ddeItem>
      <ddeItem name="5515.TW-PreClose" advise="1">
        <values>
          <value>
            <val>9.9</val>
          </value>
        </values>
      </ddeItem>
      <ddeItem name="5515.TW-Price" advise="1">
        <values>
          <value>
            <val>9.7799999999999994</val>
          </value>
        </values>
      </ddeItem>
      <ddeItem name="5515.TW-SimulatePrice" advise="1">
        <values>
          <value>
            <val>9.7799999999999994</val>
          </value>
        </values>
      </ddeItem>
      <ddeItem name="5515.TW-SimulateTime" advise="1">
        <values>
          <value t="str">
            <val>13:28:40</val>
          </value>
        </values>
      </ddeItem>
      <ddeItem name="5519.TW-ID" advise="1">
        <values>
          <value t="str">
            <val>5519</val>
          </value>
        </values>
      </ddeItem>
      <ddeItem name="5519.TW-Name" advise="1">
        <values>
          <value t="str">
            <val>隆大</val>
          </value>
        </values>
      </ddeItem>
      <ddeItem name="5519.TW-PreClose" advise="1">
        <values>
          <value>
            <val>14.65</val>
          </value>
        </values>
      </ddeItem>
      <ddeItem name="5519.TW-Price" advise="1">
        <values>
          <value>
            <val>14.6</val>
          </value>
        </values>
      </ddeItem>
      <ddeItem name="5519.TW-SimulatePrice" advise="1">
        <values>
          <value>
            <val>14.6</val>
          </value>
        </values>
      </ddeItem>
      <ddeItem name="5519.TW-SimulateTime" advise="1">
        <values>
          <value t="str">
            <val>13:29:55</val>
          </value>
        </values>
      </ddeItem>
      <ddeItem name="5521.TW-ID" advise="1">
        <values>
          <value t="str">
            <val>5521</val>
          </value>
        </values>
      </ddeItem>
      <ddeItem name="5521.TW-Name" advise="1">
        <values>
          <value t="str">
            <val>工信</val>
          </value>
        </values>
      </ddeItem>
      <ddeItem name="5521.TW-PreClose" advise="1">
        <values>
          <value>
            <val>8.0399999999999991</val>
          </value>
        </values>
      </ddeItem>
      <ddeItem name="5521.TW-Price" advise="1">
        <values>
          <value>
            <val>8.07</val>
          </value>
        </values>
      </ddeItem>
      <ddeItem name="5521.TW-SimulatePrice" advise="1">
        <values>
          <value>
            <val>8.07</val>
          </value>
        </values>
      </ddeItem>
      <ddeItem name="5521.TW-SimulateTime" advise="1">
        <values>
          <value t="str">
            <val>13:29:49</val>
          </value>
        </values>
      </ddeItem>
      <ddeItem name="5522.TW-ID" advise="1">
        <values>
          <value t="str">
            <val>5522</val>
          </value>
        </values>
      </ddeItem>
      <ddeItem name="5522.TW-Name" advise="1">
        <values>
          <value t="str">
            <val>遠雄</val>
          </value>
        </values>
      </ddeItem>
      <ddeItem name="5522.TW-PreClose" advise="1">
        <values>
          <value>
            <val>44</val>
          </value>
        </values>
      </ddeItem>
      <ddeItem name="5522.TW-Price" advise="1">
        <values>
          <value>
            <val>44</val>
          </value>
        </values>
      </ddeItem>
      <ddeItem name="5522.TW-SimulatePrice" advise="1">
        <values>
          <value>
            <val>44</val>
          </value>
        </values>
      </ddeItem>
      <ddeItem name="5522.TW-SimulateTime" advise="1">
        <values>
          <value t="str">
            <val>13:29:55</val>
          </value>
        </values>
      </ddeItem>
      <ddeItem name="5525.TW-ID" advise="1">
        <values>
          <value t="str">
            <val>5525</val>
          </value>
        </values>
      </ddeItem>
      <ddeItem name="5525.TW-Name" advise="1">
        <values>
          <value t="str">
            <val>順天</val>
          </value>
        </values>
      </ddeItem>
      <ddeItem name="5525.TW-PreClose" advise="1">
        <values>
          <value>
            <val>20</val>
          </value>
        </values>
      </ddeItem>
      <ddeItem name="5525.TW-Price" advise="1">
        <values>
          <value>
            <val>20</val>
          </value>
        </values>
      </ddeItem>
      <ddeItem name="5525.TW-SimulatePrice" advise="1">
        <values>
          <value>
            <val>20</val>
          </value>
        </values>
      </ddeItem>
      <ddeItem name="5525.TW-SimulateTime" advise="1">
        <values>
          <value t="str">
            <val>13:26:25</val>
          </value>
        </values>
      </ddeItem>
      <ddeItem name="5531.TW-ID" advise="1">
        <values>
          <value t="str">
            <val>5531</val>
          </value>
        </values>
      </ddeItem>
      <ddeItem name="5531.TW-Name" advise="1">
        <values>
          <value t="str">
            <val>鄉林</val>
          </value>
        </values>
      </ddeItem>
      <ddeItem name="5531.TW-PreClose" advise="1">
        <values>
          <value>
            <val>8.66</val>
          </value>
        </values>
      </ddeItem>
      <ddeItem name="5531.TW-Price" advise="1">
        <values>
          <value>
            <val>8.58</val>
          </value>
        </values>
      </ddeItem>
      <ddeItem name="5531.TW-SimulatePrice" advise="1">
        <values>
          <value>
            <val>8.58</val>
          </value>
        </values>
      </ddeItem>
      <ddeItem name="5531.TW-SimulateTime" advise="1">
        <values>
          <value t="str">
            <val>13:29:58</val>
          </value>
        </values>
      </ddeItem>
      <ddeItem name="5533.TW-ID" advise="1">
        <values>
          <value t="str">
            <val>5533</val>
          </value>
        </values>
      </ddeItem>
      <ddeItem name="5533.TW-Name" advise="1">
        <values>
          <value t="str">
            <val>皇鼎</val>
          </value>
        </values>
      </ddeItem>
      <ddeItem name="5533.TW-PreClose" advise="1">
        <values>
          <value>
            <val>15.4</val>
          </value>
        </values>
      </ddeItem>
      <ddeItem name="5533.TW-Price" advise="1">
        <values>
          <value>
            <val>15.4</val>
          </value>
        </values>
      </ddeItem>
      <ddeItem name="5533.TW-SimulatePrice" advise="1">
        <values>
          <value t="str">
            <val>--</val>
          </value>
        </values>
      </ddeItem>
      <ddeItem name="5533.TW-SimulateTime" advise="1">
        <values>
          <value t="str">
            <val>--</val>
          </value>
        </values>
      </ddeItem>
      <ddeItem name="5534.TW-ID" advise="1">
        <values>
          <value t="str">
            <val>5534</val>
          </value>
        </values>
      </ddeItem>
      <ddeItem name="5534.TW-Name" advise="1">
        <values>
          <value t="str">
            <val>長虹</val>
          </value>
        </values>
      </ddeItem>
      <ddeItem name="5534.TW-PreClose" advise="1">
        <values>
          <value>
            <val>82</val>
          </value>
        </values>
      </ddeItem>
      <ddeItem name="5534.TW-Price" advise="1">
        <values>
          <value>
            <val>81.900000000000006</val>
          </value>
        </values>
      </ddeItem>
      <ddeItem name="5534.TW-SimulatePrice" advise="1">
        <values>
          <value>
            <val>81.900000000000006</val>
          </value>
        </values>
      </ddeItem>
      <ddeItem name="5534.TW-SimulateTime" advise="1">
        <values>
          <value t="str">
            <val>13:29:53</val>
          </value>
        </values>
      </ddeItem>
      <ddeItem name="5538.TW-ID" advise="1">
        <values>
          <value t="str">
            <val>5538</val>
          </value>
        </values>
      </ddeItem>
      <ddeItem name="5538.TW-Name" advise="1">
        <values>
          <value t="str">
            <val>東明-KY</val>
          </value>
        </values>
      </ddeItem>
      <ddeItem name="5538.TW-PreClose" advise="1">
        <values>
          <value>
            <val>30.7</val>
          </value>
        </values>
      </ddeItem>
      <ddeItem name="5538.TW-Price" advise="1">
        <values>
          <value t="str">
            <val>--</val>
          </value>
        </values>
      </ddeItem>
      <ddeItem name="5538.TW-SimulatePrice" advise="1">
        <values>
          <value t="str">
            <val>--</val>
          </value>
        </values>
      </ddeItem>
      <ddeItem name="5538.TW-SimulateTime" advise="1">
        <values>
          <value t="str">
            <val>--</val>
          </value>
        </values>
      </ddeItem>
      <ddeItem name="5607.TW-ID" advise="1">
        <values>
          <value t="str">
            <val>5607</val>
          </value>
        </values>
      </ddeItem>
      <ddeItem name="5607.TW-Name" advise="1">
        <values>
          <value t="str">
            <val>遠雄港</val>
          </value>
        </values>
      </ddeItem>
      <ddeItem name="5607.TW-PreClose" advise="1">
        <values>
          <value>
            <val>21.8</val>
          </value>
        </values>
      </ddeItem>
      <ddeItem name="5607.TW-Price" advise="1">
        <values>
          <value>
            <val>21.65</val>
          </value>
        </values>
      </ddeItem>
      <ddeItem name="5607.TW-SimulatePrice" advise="1">
        <values>
          <value>
            <val>21.65</val>
          </value>
        </values>
      </ddeItem>
      <ddeItem name="5607.TW-SimulateTime" advise="1">
        <values>
          <value t="str">
            <val>13:29:53</val>
          </value>
        </values>
      </ddeItem>
      <ddeItem name="5608.TW-ID" advise="1">
        <values>
          <value t="str">
            <val>5608</val>
          </value>
        </values>
      </ddeItem>
      <ddeItem name="5608.TW-Name" advise="1">
        <values>
          <value t="str">
            <val>四維航</val>
          </value>
        </values>
      </ddeItem>
      <ddeItem name="5608.TW-PreClose" advise="1">
        <values>
          <value>
            <val>5.49</val>
          </value>
        </values>
      </ddeItem>
      <ddeItem name="5608.TW-Price" advise="1">
        <values>
          <value>
            <val>5.2</val>
          </value>
        </values>
      </ddeItem>
      <ddeItem name="5608.TW-SimulatePrice" advise="1">
        <values>
          <value>
            <val>5.2</val>
          </value>
        </values>
      </ddeItem>
      <ddeItem name="5608.TW-SimulateTime" advise="1">
        <values>
          <value t="str">
            <val>13:29:45</val>
          </value>
        </values>
      </ddeItem>
      <ddeItem name="5706.TW-ID" advise="1">
        <values>
          <value t="str">
            <val>5706</val>
          </value>
        </values>
      </ddeItem>
      <ddeItem name="5706.TW-Name" advise="1">
        <values>
          <value t="str">
            <val>鳳凰</val>
          </value>
        </values>
      </ddeItem>
      <ddeItem name="5706.TW-PreClose" advise="1">
        <values>
          <value>
            <val>31.3</val>
          </value>
        </values>
      </ddeItem>
      <ddeItem name="5706.TW-Price" advise="1">
        <values>
          <value>
            <val>30.8</val>
          </value>
        </values>
      </ddeItem>
      <ddeItem name="5706.TW-SimulatePrice" advise="1">
        <values>
          <value t="str">
            <val>--</val>
          </value>
        </values>
      </ddeItem>
      <ddeItem name="5706.TW-SimulateTime" advise="1">
        <values>
          <value t="str">
            <val>--</val>
          </value>
        </values>
      </ddeItem>
      <ddeItem name="5871.TW-ID" advise="1">
        <values>
          <value t="str">
            <val>5871</val>
          </value>
        </values>
      </ddeItem>
      <ddeItem name="5871.TW-Name" advise="1">
        <values>
          <value t="str">
            <val>中租-KY</val>
          </value>
        </values>
      </ddeItem>
      <ddeItem name="5871.TW-PreClose" advise="1">
        <values>
          <value>
            <val>113</val>
          </value>
        </values>
      </ddeItem>
      <ddeItem name="5871.TW-Price" advise="1">
        <values>
          <value>
            <val>112.5</val>
          </value>
        </values>
      </ddeItem>
      <ddeItem name="5871.TW-SimulatePrice" advise="1">
        <values>
          <value>
            <val>112.5</val>
          </value>
        </values>
      </ddeItem>
      <ddeItem name="5871.TW-SimulateTime" advise="1">
        <values>
          <value t="str">
            <val>13:29:55</val>
          </value>
        </values>
      </ddeItem>
      <ddeItem name="5876.TW-ID" advise="1">
        <values>
          <value t="str">
            <val>5876</val>
          </value>
        </values>
      </ddeItem>
      <ddeItem name="5876.TW-Name" advise="1">
        <values>
          <value t="str">
            <val>上海商銀</val>
          </value>
        </values>
      </ddeItem>
      <ddeItem name="5876.TW-PreClose" advise="1">
        <values>
          <value>
            <val>42.55</val>
          </value>
        </values>
      </ddeItem>
      <ddeItem name="5876.TW-Price" advise="1">
        <values>
          <value>
            <val>42.25</val>
          </value>
        </values>
      </ddeItem>
      <ddeItem name="5876.TW-SimulatePrice" advise="1">
        <values>
          <value>
            <val>42.25</val>
          </value>
        </values>
      </ddeItem>
      <ddeItem name="5876.TW-SimulateTime" advise="1">
        <values>
          <value t="str">
            <val>13:29:56</val>
          </value>
        </values>
      </ddeItem>
      <ddeItem name="5880.TW-ID" advise="1">
        <values>
          <value t="str">
            <val>5880</val>
          </value>
        </values>
      </ddeItem>
      <ddeItem name="5880.TW-Name" advise="1">
        <values>
          <value t="str">
            <val>合庫金</val>
          </value>
        </values>
      </ddeItem>
      <ddeItem name="5880.TW-PreClose" advise="1">
        <values>
          <value>
            <val>20.05</val>
          </value>
        </values>
      </ddeItem>
      <ddeItem name="5880.TW-Price" advise="1">
        <values>
          <value>
            <val>19.95</val>
          </value>
        </values>
      </ddeItem>
      <ddeItem name="5880.TW-SimulatePrice" advise="1">
        <values>
          <value>
            <val>19.95</val>
          </value>
        </values>
      </ddeItem>
      <ddeItem name="5880.TW-SimulateTime" advise="1">
        <values>
          <value t="str">
            <val>13:29:57</val>
          </value>
        </values>
      </ddeItem>
      <ddeItem name="5906.TW-ID" advise="1">
        <values>
          <value t="str">
            <val>5906</val>
          </value>
        </values>
      </ddeItem>
      <ddeItem name="5906.TW-Name" advise="1">
        <values>
          <value t="str">
            <val>台南-KY</val>
          </value>
        </values>
      </ddeItem>
      <ddeItem name="5906.TW-PreClose" advise="1">
        <values>
          <value>
            <val>16.7</val>
          </value>
        </values>
      </ddeItem>
      <ddeItem name="5906.TW-Price" advise="1">
        <values>
          <value>
            <val>16.8</val>
          </value>
        </values>
      </ddeItem>
      <ddeItem name="5906.TW-SimulatePrice" advise="1">
        <values>
          <value>
            <val>16.8</val>
          </value>
        </values>
      </ddeItem>
      <ddeItem name="5906.TW-SimulateTime" advise="1">
        <values>
          <value t="str">
            <val>13:29:58</val>
          </value>
        </values>
      </ddeItem>
      <ddeItem name="5907.TW-ID" advise="1">
        <values>
          <value t="str">
            <val>5907</val>
          </value>
        </values>
      </ddeItem>
      <ddeItem name="5907.TW-Name" advise="1">
        <values>
          <value t="str">
            <val>大洋-KY</val>
          </value>
        </values>
      </ddeItem>
      <ddeItem name="5907.TW-PreClose" advise="1">
        <values>
          <value>
            <val>23.6</val>
          </value>
        </values>
      </ddeItem>
      <ddeItem name="5907.TW-Price" advise="1">
        <values>
          <value>
            <val>23.25</val>
          </value>
        </values>
      </ddeItem>
      <ddeItem name="5907.TW-SimulatePrice" advise="1">
        <values>
          <value>
            <val>23.25</val>
          </value>
        </values>
      </ddeItem>
      <ddeItem name="5907.TW-SimulateTime" advise="1">
        <values>
          <value t="str">
            <val>13:29:28</val>
          </value>
        </values>
      </ddeItem>
      <ddeItem name="6005.TW-ID" advise="1">
        <values>
          <value t="str">
            <val>6005</val>
          </value>
        </values>
      </ddeItem>
      <ddeItem name="6005.TW-Name" advise="1">
        <values>
          <value t="str">
            <val>群益證</val>
          </value>
        </values>
      </ddeItem>
      <ddeItem name="6005.TW-PreClose" advise="1">
        <values>
          <value>
            <val>9.93</val>
          </value>
        </values>
      </ddeItem>
      <ddeItem name="6005.TW-Price" advise="1">
        <values>
          <value>
            <val>9.9600000000000009</val>
          </value>
        </values>
      </ddeItem>
      <ddeItem name="6005.TW-SimulatePrice" advise="1">
        <values>
          <value>
            <val>9.9600000000000009</val>
          </value>
        </values>
      </ddeItem>
      <ddeItem name="6005.TW-SimulateTime" advise="1">
        <values>
          <value t="str">
            <val>13:29:26</val>
          </value>
        </values>
      </ddeItem>
      <ddeItem name="6024.TW-ID" advise="1">
        <values>
          <value t="str">
            <val>6024</val>
          </value>
        </values>
      </ddeItem>
      <ddeItem name="6024.TW-Name" advise="1">
        <values>
          <value t="str">
            <val>群益期</val>
          </value>
        </values>
      </ddeItem>
      <ddeItem name="6024.TW-PreClose" advise="1">
        <values>
          <value>
            <val>38</val>
          </value>
        </values>
      </ddeItem>
      <ddeItem name="6024.TW-Price" advise="1">
        <values>
          <value>
            <val>38.200000000000003</val>
          </value>
        </values>
      </ddeItem>
      <ddeItem name="6024.TW-SimulatePrice" advise="1">
        <values>
          <value>
            <val>38.200000000000003</val>
          </value>
        </values>
      </ddeItem>
      <ddeItem name="6024.TW-SimulateTime" advise="1">
        <values>
          <value t="str">
            <val>13:29:42</val>
          </value>
        </values>
      </ddeItem>
      <ddeItem name="6108.TW-ID" advise="1">
        <values>
          <value t="str">
            <val>6108</val>
          </value>
        </values>
      </ddeItem>
      <ddeItem name="6108.TW-Name" advise="1">
        <values>
          <value t="str">
            <val>競國</val>
          </value>
        </values>
      </ddeItem>
      <ddeItem name="6108.TW-PreClose" advise="1">
        <values>
          <value>
            <val>22.8</val>
          </value>
        </values>
      </ddeItem>
      <ddeItem name="6108.TW-Price" advise="1">
        <values>
          <value>
            <val>22.65</val>
          </value>
        </values>
      </ddeItem>
      <ddeItem name="6108.TW-SimulatePrice" advise="1">
        <values>
          <value>
            <val>22.65</val>
          </value>
        </values>
      </ddeItem>
      <ddeItem name="6108.TW-SimulateTime" advise="1">
        <values>
          <value t="str">
            <val>13:29:49</val>
          </value>
        </values>
      </ddeItem>
      <ddeItem name="6112.TW-ID" advise="1">
        <values>
          <value t="str">
            <val>6112</val>
          </value>
        </values>
      </ddeItem>
      <ddeItem name="6112.TW-Name" advise="1">
        <values>
          <value t="str">
            <val>聚碩</val>
          </value>
        </values>
      </ddeItem>
      <ddeItem name="6112.TW-PreClose" advise="1">
        <values>
          <value>
            <val>38.6</val>
          </value>
        </values>
      </ddeItem>
      <ddeItem name="6112.TW-Price" advise="1">
        <values>
          <value>
            <val>39.25</val>
          </value>
        </values>
      </ddeItem>
      <ddeItem name="6112.TW-SimulatePrice" advise="1">
        <values>
          <value>
            <val>39.25</val>
          </value>
        </values>
      </ddeItem>
      <ddeItem name="6112.TW-SimulateTime" advise="1">
        <values>
          <value t="str">
            <val>13:29:55</val>
          </value>
        </values>
      </ddeItem>
      <ddeItem name="6115.TW-ID" advise="1">
        <values>
          <value t="str">
            <val>6115</val>
          </value>
        </values>
      </ddeItem>
      <ddeItem name="6115.TW-Name" advise="1">
        <values>
          <value t="str">
            <val>鎰勝</val>
          </value>
        </values>
      </ddeItem>
      <ddeItem name="6115.TW-PreClose" advise="1">
        <values>
          <value>
            <val>43.35</val>
          </value>
        </values>
      </ddeItem>
      <ddeItem name="6115.TW-Price" advise="1">
        <values>
          <value>
            <val>43.3</val>
          </value>
        </values>
      </ddeItem>
      <ddeItem name="6115.TW-SimulatePrice" advise="1">
        <values>
          <value>
            <val>43.3</val>
          </value>
        </values>
      </ddeItem>
      <ddeItem name="6115.TW-SimulateTime" advise="1">
        <values>
          <value t="str">
            <val>13:27:58</val>
          </value>
        </values>
      </ddeItem>
      <ddeItem name="6116.TW-ID" advise="1">
        <values>
          <value t="str">
            <val>6116</val>
          </value>
        </values>
      </ddeItem>
      <ddeItem name="6116.TW-Name" advise="1">
        <values>
          <value t="str">
            <val>彩晶</val>
          </value>
        </values>
      </ddeItem>
      <ddeItem name="6116.TW-PreClose" advise="1">
        <values>
          <value>
            <val>6.02</val>
          </value>
        </values>
      </ddeItem>
      <ddeItem name="6116.TW-Price" advise="1">
        <values>
          <value>
            <val>6</val>
          </value>
        </values>
      </ddeItem>
      <ddeItem name="6116.TW-SimulatePrice" advise="1">
        <values>
          <value>
            <val>6</val>
          </value>
        </values>
      </ddeItem>
      <ddeItem name="6116.TW-SimulateTime" advise="1">
        <values>
          <value t="str">
            <val>13:29:57</val>
          </value>
        </values>
      </ddeItem>
      <ddeItem name="6117.TW-ID" advise="1">
        <values>
          <value t="str">
            <val>6117</val>
          </value>
        </values>
      </ddeItem>
      <ddeItem name="6117.TW-Name" advise="1">
        <values>
          <value t="str">
            <val>迎廣</val>
          </value>
        </values>
      </ddeItem>
      <ddeItem name="6117.TW-PreClose" advise="1">
        <values>
          <value>
            <val>15.8</val>
          </value>
        </values>
      </ddeItem>
      <ddeItem name="6117.TW-Price" advise="1">
        <values>
          <value>
            <val>15.8</val>
          </value>
        </values>
      </ddeItem>
      <ddeItem name="6117.TW-SimulatePrice" advise="1">
        <values>
          <value t="str">
            <val>--</val>
          </value>
        </values>
      </ddeItem>
      <ddeItem name="6117.TW-SimulateTime" advise="1">
        <values>
          <value t="str">
            <val>--</val>
          </value>
        </values>
      </ddeItem>
      <ddeItem name="6120.TW-ID" advise="1">
        <values>
          <value t="str">
            <val>6120</val>
          </value>
        </values>
      </ddeItem>
      <ddeItem name="6120.TW-Name" advise="1">
        <values>
          <value t="str">
            <val>達運</val>
          </value>
        </values>
      </ddeItem>
      <ddeItem name="6120.TW-PreClose" advise="1">
        <values>
          <value>
            <val>10.85</val>
          </value>
        </values>
      </ddeItem>
      <ddeItem name="6120.TW-Price" advise="1">
        <values>
          <value>
            <val>10.7</val>
          </value>
        </values>
      </ddeItem>
      <ddeItem name="6120.TW-SimulatePrice" advise="1">
        <values>
          <value>
            <val>10.7</val>
          </value>
        </values>
      </ddeItem>
      <ddeItem name="6120.TW-SimulateTime" advise="1">
        <values>
          <value t="str">
            <val>13:29:57</val>
          </value>
        </values>
      </ddeItem>
      <ddeItem name="6128.TW-ID" advise="1">
        <values>
          <value t="str">
            <val>6128</val>
          </value>
        </values>
      </ddeItem>
      <ddeItem name="6128.TW-Name" advise="1">
        <values>
          <value t="str">
            <val>上福</val>
          </value>
        </values>
      </ddeItem>
      <ddeItem name="6128.TW-PreClose" advise="1">
        <values>
          <value>
            <val>28.6</val>
          </value>
        </values>
      </ddeItem>
      <ddeItem name="6128.TW-Price" advise="1">
        <values>
          <value>
            <val>28.6</val>
          </value>
        </values>
      </ddeItem>
      <ddeItem name="6128.TW-SimulatePrice" advise="1">
        <values>
          <value>
            <val>28.5</val>
          </value>
        </values>
      </ddeItem>
      <ddeItem name="6128.TW-SimulateTime" advise="1">
        <values>
          <value t="str">
            <val>13:28:35</val>
          </value>
        </values>
      </ddeItem>
      <ddeItem name="6131.TW-ID" advise="1">
        <values>
          <value t="str">
            <val>6131</val>
          </value>
        </values>
      </ddeItem>
      <ddeItem name="6131.TW-Name" advise="1">
        <values>
          <value t="str">
            <val>鈞泰</val>
          </value>
        </values>
      </ddeItem>
      <ddeItem name="6131.TW-PreClose" advise="1">
        <values>
          <value>
            <val>2.88</val>
          </value>
        </values>
      </ddeItem>
      <ddeItem name="6131.TW-Price" advise="1">
        <values>
          <value>
            <val>2.9</val>
          </value>
        </values>
      </ddeItem>
      <ddeItem name="6131.TW-SimulatePrice" advise="1">
        <values>
          <value t="str">
            <val>--</val>
          </value>
        </values>
      </ddeItem>
      <ddeItem name="6131.TW-SimulateTime" advise="1">
        <values>
          <value t="str">
            <val>--</val>
          </value>
        </values>
      </ddeItem>
      <ddeItem name="6133.TW-ID" advise="1">
        <values>
          <value t="str">
            <val>6133</val>
          </value>
        </values>
      </ddeItem>
      <ddeItem name="6133.TW-Name" advise="1">
        <values>
          <value t="str">
            <val>金橋</val>
          </value>
        </values>
      </ddeItem>
      <ddeItem name="6133.TW-PreClose" advise="1">
        <values>
          <value>
            <val>7.18</val>
          </value>
        </values>
      </ddeItem>
      <ddeItem name="6133.TW-Price" advise="1">
        <values>
          <value>
            <val>7.05</val>
          </value>
        </values>
      </ddeItem>
      <ddeItem name="6133.TW-SimulatePrice" advise="1">
        <values>
          <value>
            <val>7.05</val>
          </value>
        </values>
      </ddeItem>
      <ddeItem name="6133.TW-SimulateTime" advise="1">
        <values>
          <value t="str">
            <val>13:29:57</val>
          </value>
        </values>
      </ddeItem>
      <ddeItem name="6136.TW-ID" advise="1">
        <values>
          <value t="str">
            <val>6136</val>
          </value>
        </values>
      </ddeItem>
      <ddeItem name="6136.TW-Name" advise="1">
        <values>
          <value t="str">
            <val>富爾特</val>
          </value>
        </values>
      </ddeItem>
      <ddeItem name="6136.TW-PreClose" advise="1">
        <values>
          <value>
            <val>18.600000000000001</val>
          </value>
        </values>
      </ddeItem>
      <ddeItem name="6136.TW-Price" advise="1">
        <values>
          <value>
            <val>18.600000000000001</val>
          </value>
        </values>
      </ddeItem>
      <ddeItem name="6136.TW-SimulatePrice" advise="1">
        <values>
          <value>
            <val>18.600000000000001</val>
          </value>
        </values>
      </ddeItem>
      <ddeItem name="6136.TW-SimulateTime" advise="1">
        <values>
          <value t="str">
            <val>13:27:45</val>
          </value>
        </values>
      </ddeItem>
      <ddeItem name="6139.TW-ID" advise="1">
        <values>
          <value t="str">
            <val>6139</val>
          </value>
        </values>
      </ddeItem>
      <ddeItem name="6139.TW-Name" advise="1">
        <values>
          <value t="str">
            <val>亞翔</val>
          </value>
        </values>
      </ddeItem>
      <ddeItem name="6139.TW-PreClose" advise="1">
        <values>
          <value>
            <val>25.3</val>
          </value>
        </values>
      </ddeItem>
      <ddeItem name="6139.TW-Price" advise="1">
        <values>
          <value>
            <val>25.05</val>
          </value>
        </values>
      </ddeItem>
      <ddeItem name="6139.TW-SimulatePrice" advise="1">
        <values>
          <value>
            <val>25.05</val>
          </value>
        </values>
      </ddeItem>
      <ddeItem name="6139.TW-SimulateTime" advise="1">
        <values>
          <value t="str">
            <val>13:29:49</val>
          </value>
        </values>
      </ddeItem>
      <ddeItem name="6141.TW-ID" advise="1">
        <values>
          <value t="str">
            <val>6141</val>
          </value>
        </values>
      </ddeItem>
      <ddeItem name="6141.TW-Name" advise="1">
        <values>
          <value t="str">
            <val>柏承</val>
          </value>
        </values>
      </ddeItem>
      <ddeItem name="6141.TW-PreClose" advise="1">
        <values>
          <value>
            <val>17.45</val>
          </value>
        </values>
      </ddeItem>
      <ddeItem name="6141.TW-Price" advise="1">
        <values>
          <value>
            <val>17.350000000000001</val>
          </value>
        </values>
      </ddeItem>
      <ddeItem name="6141.TW-SimulatePrice" advise="1">
        <values>
          <value>
            <val>17.350000000000001</val>
          </value>
        </values>
      </ddeItem>
      <ddeItem name="6141.TW-SimulateTime" advise="1">
        <values>
          <value t="str">
            <val>13:29:57</val>
          </value>
        </values>
      </ddeItem>
      <ddeItem name="6142.TW-ID" advise="1">
        <values>
          <value t="str">
            <val>6142</val>
          </value>
        </values>
      </ddeItem>
      <ddeItem name="6142.TW-Name" advise="1">
        <values>
          <value t="str">
            <val>友勁</val>
          </value>
        </values>
      </ddeItem>
      <ddeItem name="6142.TW-PreClose" advise="1">
        <values>
          <value>
            <val>7.09</val>
          </value>
        </values>
      </ddeItem>
      <ddeItem name="6142.TW-Price" advise="1">
        <values>
          <value>
            <val>7</val>
          </value>
        </values>
      </ddeItem>
      <ddeItem name="6142.TW-SimulatePrice" advise="1">
        <values>
          <value>
            <val>7</val>
          </value>
        </values>
      </ddeItem>
      <ddeItem name="6142.TW-SimulateTime" advise="1">
        <values>
          <value t="str">
            <val>13:26:07</val>
          </value>
        </values>
      </ddeItem>
      <ddeItem name="6152.TW-ID" advise="1">
        <values>
          <value t="str">
            <val>6152</val>
          </value>
        </values>
      </ddeItem>
      <ddeItem name="6152.TW-Name" advise="1">
        <values>
          <value t="str">
            <val>百一</val>
          </value>
        </values>
      </ddeItem>
      <ddeItem name="6152.TW-PreClose" advise="1">
        <values>
          <value>
            <val>6.05</val>
          </value>
        </values>
      </ddeItem>
      <ddeItem name="6152.TW-Price" advise="1">
        <values>
          <value>
            <val>6.06</val>
          </value>
        </values>
      </ddeItem>
      <ddeItem name="6152.TW-SimulatePrice" advise="1">
        <values>
          <value>
            <val>6.06</val>
          </value>
        </values>
      </ddeItem>
      <ddeItem name="6152.TW-SimulateTime" advise="1">
        <values>
          <value t="str">
            <val>13:29:48</val>
          </value>
        </values>
      </ddeItem>
      <ddeItem name="6153.TW-ID" advise="1">
        <values>
          <value t="str">
            <val>6153</val>
          </value>
        </values>
      </ddeItem>
      <ddeItem name="6153.TW-Name" advise="1">
        <values>
          <value t="str">
            <val>嘉聯益</val>
          </value>
        </values>
      </ddeItem>
      <ddeItem name="6153.TW-PreClose" advise="1">
        <values>
          <value>
            <val>26.95</val>
          </value>
        </values>
      </ddeItem>
      <ddeItem name="6153.TW-Price" advise="1">
        <values>
          <value>
            <val>26.6</val>
          </value>
        </values>
      </ddeItem>
      <ddeItem name="6153.TW-SimulatePrice" advise="1">
        <values>
          <value>
            <val>26.6</val>
          </value>
        </values>
      </ddeItem>
      <ddeItem name="6153.TW-SimulateTime" advise="1">
        <values>
          <value t="str">
            <val>13:29:56</val>
          </value>
        </values>
      </ddeItem>
      <ddeItem name="6155.TW-ID" advise="1">
        <values>
          <value t="str">
            <val>6155</val>
          </value>
        </values>
      </ddeItem>
      <ddeItem name="6155.TW-Name" advise="1">
        <values>
          <value t="str">
            <val>鈞寶</val>
          </value>
        </values>
      </ddeItem>
      <ddeItem name="6155.TW-PreClose" advise="1">
        <values>
          <value>
            <val>25.1</val>
          </value>
        </values>
      </ddeItem>
      <ddeItem name="6155.TW-Price" advise="1">
        <values>
          <value>
            <val>24.6</val>
          </value>
        </values>
      </ddeItem>
      <ddeItem name="6155.TW-SimulatePrice" advise="1">
        <values>
          <value>
            <val>24.6</val>
          </value>
        </values>
      </ddeItem>
      <ddeItem name="6155.TW-SimulateTime" advise="1">
        <values>
          <value t="str">
            <val>13:29:37</val>
          </value>
        </values>
      </ddeItem>
      <ddeItem name="6164.TW-ID" advise="1">
        <values>
          <value t="str">
            <val>6164</val>
          </value>
        </values>
      </ddeItem>
      <ddeItem name="6164.TW-Name" advise="1">
        <values>
          <value t="str">
            <val>華興</val>
          </value>
        </values>
      </ddeItem>
      <ddeItem name="6164.TW-PreClose" advise="1">
        <values>
          <value>
            <val>5.7</val>
          </value>
        </values>
      </ddeItem>
      <ddeItem name="6164.TW-Price" advise="1">
        <values>
          <value>
            <val>5.64</val>
          </value>
        </values>
      </ddeItem>
      <ddeItem name="6164.TW-SimulatePrice" advise="1">
        <values>
          <value>
            <val>5.64</val>
          </value>
        </values>
      </ddeItem>
      <ddeItem name="6164.TW-SimulateTime" advise="1">
        <values>
          <value t="str">
            <val>13:29:14</val>
          </value>
        </values>
      </ddeItem>
      <ddeItem name="6165.TW-ID" advise="1">
        <values>
          <value t="str">
            <val>6165</val>
          </value>
        </values>
      </ddeItem>
      <ddeItem name="6165.TW-Name" advise="1">
        <values>
          <value t="str">
            <val>捷泰</val>
          </value>
        </values>
      </ddeItem>
      <ddeItem name="6165.TW-PreClose" advise="1">
        <values>
          <value>
            <val>26.6</val>
          </value>
        </values>
      </ddeItem>
      <ddeItem name="6165.TW-Price" advise="1">
        <values>
          <value>
            <val>26.95</val>
          </value>
        </values>
      </ddeItem>
      <ddeItem name="6165.TW-SimulatePrice" advise="1">
        <values>
          <value>
            <val>26.95</val>
          </value>
        </values>
      </ddeItem>
      <ddeItem name="6165.TW-SimulateTime" advise="1">
        <values>
          <value t="str">
            <val>13:29:22</val>
          </value>
        </values>
      </ddeItem>
      <ddeItem name="6166.TW-ID" advise="1">
        <values>
          <value t="str">
            <val>6166</val>
          </value>
        </values>
      </ddeItem>
      <ddeItem name="6166.TW-Name" advise="1">
        <values>
          <value t="str">
            <val>凌華</val>
          </value>
        </values>
      </ddeItem>
      <ddeItem name="6166.TW-PreClose" advise="1">
        <values>
          <value>
            <val>65.5</val>
          </value>
        </values>
      </ddeItem>
      <ddeItem name="6166.TW-Price" advise="1">
        <values>
          <value>
            <val>65.5</val>
          </value>
        </values>
      </ddeItem>
      <ddeItem name="6166.TW-SimulatePrice" advise="1">
        <values>
          <value>
            <val>65.5</val>
          </value>
        </values>
      </ddeItem>
      <ddeItem name="6166.TW-SimulateTime" advise="1">
        <values>
          <value t="str">
            <val>13:29:46</val>
          </value>
        </values>
      </ddeItem>
      <ddeItem name="6168.TW-ID" advise="1">
        <values>
          <value t="str">
            <val>6168</val>
          </value>
        </values>
      </ddeItem>
      <ddeItem name="6168.TW-Name" advise="1">
        <values>
          <value t="str">
            <val>宏齊</val>
          </value>
        </values>
      </ddeItem>
      <ddeItem name="6168.TW-PreClose" advise="1">
        <values>
          <value>
            <val>11.9</val>
          </value>
        </values>
      </ddeItem>
      <ddeItem name="6168.TW-Price" advise="1">
        <values>
          <value>
            <val>12.3</val>
          </value>
        </values>
      </ddeItem>
      <ddeItem name="6168.TW-SimulatePrice" advise="1">
        <values>
          <value>
            <val>12.3</val>
          </value>
        </values>
      </ddeItem>
      <ddeItem name="6168.TW-SimulateTime" advise="1">
        <values>
          <value t="str">
            <val>13:29:33</val>
          </value>
        </values>
      </ddeItem>
      <ddeItem name="6172.TW-ID" advise="1">
        <values>
          <value t="str">
            <val>6172</val>
          </value>
        </values>
      </ddeItem>
      <ddeItem name="6172.TW-Name" advise="1">
        <values>
          <value t="str">
            <val>互億</val>
          </value>
        </values>
      </ddeItem>
      <ddeItem name="6172.TW-PreClose" advise="1">
        <values>
          <value>
            <val>23.55</val>
          </value>
        </values>
      </ddeItem>
      <ddeItem name="6172.TW-Price" advise="1">
        <values>
          <value>
            <val>23</val>
          </value>
        </values>
      </ddeItem>
      <ddeItem name="6172.TW-SimulatePrice" advise="1">
        <values>
          <value>
            <val>23</val>
          </value>
        </values>
      </ddeItem>
      <ddeItem name="6172.TW-SimulateTime" advise="1">
        <values>
          <value t="str">
            <val>13:29:14</val>
          </value>
        </values>
      </ddeItem>
      <ddeItem name="6176.TW-ID" advise="1">
        <values>
          <value t="str">
            <val>6176</val>
          </value>
        </values>
      </ddeItem>
      <ddeItem name="6176.TW-Name" advise="1">
        <values>
          <value t="str">
            <val>瑞儀</val>
          </value>
        </values>
      </ddeItem>
      <ddeItem name="6176.TW-PreClose" advise="1">
        <values>
          <value>
            <val>97.2</val>
          </value>
        </values>
      </ddeItem>
      <ddeItem name="6176.TW-Price" advise="1">
        <values>
          <value>
            <val>97.3</val>
          </value>
        </values>
      </ddeItem>
      <ddeItem name="6176.TW-SimulatePrice" advise="1">
        <values>
          <value>
            <val>97.4</val>
          </value>
        </values>
      </ddeItem>
      <ddeItem name="6176.TW-SimulateTime" advise="1">
        <values>
          <value t="str">
            <val>13:29:56</val>
          </value>
        </values>
      </ddeItem>
      <ddeItem name="6177.TW-ID" advise="1">
        <values>
          <value t="str">
            <val>6177</val>
          </value>
        </values>
      </ddeItem>
      <ddeItem name="6177.TW-Name" advise="1">
        <values>
          <value t="str">
            <val>達麗</val>
          </value>
        </values>
      </ddeItem>
      <ddeItem name="6177.TW-PreClose" advise="1">
        <values>
          <value>
            <val>28.3</val>
          </value>
        </values>
      </ddeItem>
      <ddeItem name="6177.TW-Price" advise="1">
        <values>
          <value>
            <val>28.35</val>
          </value>
        </values>
      </ddeItem>
      <ddeItem name="6177.TW-SimulatePrice" advise="1">
        <values>
          <value>
            <val>28.35</val>
          </value>
        </values>
      </ddeItem>
      <ddeItem name="6177.TW-SimulateTime" advise="1">
        <values>
          <value t="str">
            <val>13:29:57</val>
          </value>
        </values>
      </ddeItem>
      <ddeItem name="6183.TW-ID" advise="1">
        <values>
          <value t="str">
            <val>6183</val>
          </value>
        </values>
      </ddeItem>
      <ddeItem name="6183.TW-Name" advise="1">
        <values>
          <value t="str">
            <val>關貿</val>
          </value>
        </values>
      </ddeItem>
      <ddeItem name="6183.TW-PreClose" advise="1">
        <values>
          <value>
            <val>42.05</val>
          </value>
        </values>
      </ddeItem>
      <ddeItem name="6183.TW-Price" advise="1">
        <values>
          <value>
            <val>42</val>
          </value>
        </values>
      </ddeItem>
      <ddeItem name="6183.TW-SimulatePrice" advise="1">
        <values>
          <value>
            <val>42</val>
          </value>
        </values>
      </ddeItem>
      <ddeItem name="6183.TW-SimulateTime" advise="1">
        <values>
          <value t="str">
            <val>13:29:58</val>
          </value>
        </values>
      </ddeItem>
      <ddeItem name="6184.TW-ID" advise="1">
        <values>
          <value t="str">
            <val>6184</val>
          </value>
        </values>
      </ddeItem>
      <ddeItem name="6184.TW-Name" advise="1">
        <values>
          <value t="str">
            <val>大豐電</val>
          </value>
        </values>
      </ddeItem>
      <ddeItem name="6184.TW-PreClose" advise="1">
        <values>
          <value>
            <val>42.15</val>
          </value>
        </values>
      </ddeItem>
      <ddeItem name="6184.TW-Price" advise="1">
        <values>
          <value>
            <val>42.2</val>
          </value>
        </values>
      </ddeItem>
      <ddeItem name="6184.TW-SimulatePrice" advise="1">
        <values>
          <value>
            <val>42.2</val>
          </value>
        </values>
      </ddeItem>
      <ddeItem name="6184.TW-SimulateTime" advise="1">
        <values>
          <value t="str">
            <val>13:29:49</val>
          </value>
        </values>
      </ddeItem>
      <ddeItem name="6189.TW-ID" advise="1">
        <values>
          <value t="str">
            <val>6189</val>
          </value>
        </values>
      </ddeItem>
      <ddeItem name="6189.TW-Name" advise="1">
        <values>
          <value t="str">
            <val>豐藝</val>
          </value>
        </values>
      </ddeItem>
      <ddeItem name="6189.TW-PreClose" advise="1">
        <values>
          <value>
            <val>33.6</val>
          </value>
        </values>
      </ddeItem>
      <ddeItem name="6189.TW-Price" advise="1">
        <values>
          <value>
            <val>33.700000000000003</val>
          </value>
        </values>
      </ddeItem>
      <ddeItem name="6189.TW-SimulatePrice" advise="1">
        <values>
          <value>
            <val>33.700000000000003</val>
          </value>
        </values>
      </ddeItem>
      <ddeItem name="6189.TW-SimulateTime" advise="1">
        <values>
          <value t="str">
            <val>13:29:23</val>
          </value>
        </values>
      </ddeItem>
      <ddeItem name="6191.TW-ID" advise="1">
        <values>
          <value t="str">
            <val>6191</val>
          </value>
        </values>
      </ddeItem>
      <ddeItem name="6191.TW-Name" advise="1">
        <values>
          <value t="str">
            <val>精成科</val>
          </value>
        </values>
      </ddeItem>
      <ddeItem name="6191.TW-PreClose" advise="1">
        <values>
          <value>
            <val>13.4</val>
          </value>
        </values>
      </ddeItem>
      <ddeItem name="6191.TW-Price" advise="1">
        <values>
          <value>
            <val>13.35</val>
          </value>
        </values>
      </ddeItem>
      <ddeItem name="6191.TW-SimulatePrice" advise="1">
        <values>
          <value>
            <val>13.35</val>
          </value>
        </values>
      </ddeItem>
      <ddeItem name="6191.TW-SimulateTime" advise="1">
        <values>
          <value t="str">
            <val>13:29:58</val>
          </value>
        </values>
      </ddeItem>
      <ddeItem name="6192.TW-ID" advise="1">
        <values>
          <value t="str">
            <val>6192</val>
          </value>
        </values>
      </ddeItem>
      <ddeItem name="6192.TW-Name" advise="1">
        <values>
          <value t="str">
            <val>巨路</val>
          </value>
        </values>
      </ddeItem>
      <ddeItem name="6192.TW-PreClose" advise="1">
        <values>
          <value>
            <val>64.900000000000006</val>
          </value>
        </values>
      </ddeItem>
      <ddeItem name="6192.TW-Price" advise="1">
        <values>
          <value>
            <val>64.599999999999994</val>
          </value>
        </values>
      </ddeItem>
      <ddeItem name="6192.TW-SimulatePrice" advise="1">
        <values>
          <value>
            <val>64.599999999999994</val>
          </value>
        </values>
      </ddeItem>
      <ddeItem name="6192.TW-SimulateTime" advise="1">
        <values>
          <value t="str">
            <val>13:28:05</val>
          </value>
        </values>
      </ddeItem>
      <ddeItem name="6196.TW-ID" advise="1">
        <values>
          <value t="str">
            <val>6196</val>
          </value>
        </values>
      </ddeItem>
      <ddeItem name="6196.TW-Name" advise="1">
        <values>
          <value t="str">
            <val>帆宣</val>
          </value>
        </values>
      </ddeItem>
      <ddeItem name="6196.TW-PreClose" advise="1">
        <values>
          <value>
            <val>74.5</val>
          </value>
        </values>
      </ddeItem>
      <ddeItem name="6196.TW-Price" advise="1">
        <values>
          <value>
            <val>72.099999999999994</val>
          </value>
        </values>
      </ddeItem>
      <ddeItem name="6196.TW-SimulatePrice" advise="1">
        <values>
          <value>
            <val>72.099999999999994</val>
          </value>
        </values>
      </ddeItem>
      <ddeItem name="6196.TW-SimulateTime" advise="1">
        <values>
          <value t="str">
            <val>13:29:54</val>
          </value>
        </values>
      </ddeItem>
      <ddeItem name="6197.TW-ID" advise="1">
        <values>
          <value t="str">
            <val>6197</val>
          </value>
        </values>
      </ddeItem>
      <ddeItem name="6197.TW-Name" advise="1">
        <values>
          <value t="str">
            <val>佳必琪</val>
          </value>
        </values>
      </ddeItem>
      <ddeItem name="6197.TW-PreClose" advise="1">
        <values>
          <value>
            <val>31.6</val>
          </value>
        </values>
      </ddeItem>
      <ddeItem name="6197.TW-Price" advise="1">
        <values>
          <value>
            <val>31.6</val>
          </value>
        </values>
      </ddeItem>
      <ddeItem name="6197.TW-SimulatePrice" advise="1">
        <values>
          <value>
            <val>31.6</val>
          </value>
        </values>
      </ddeItem>
      <ddeItem name="6197.TW-SimulateTime" advise="1">
        <values>
          <value t="str">
            <val>13:29:54</val>
          </value>
        </values>
      </ddeItem>
      <ddeItem name="6201.TW-ID" advise="1">
        <values>
          <value t="str">
            <val>6201</val>
          </value>
        </values>
      </ddeItem>
      <ddeItem name="6201.TW-Name" advise="1">
        <values>
          <value t="str">
            <val>亞弘電</val>
          </value>
        </values>
      </ddeItem>
      <ddeItem name="6201.TW-PreClose" advise="1">
        <values>
          <value>
            <val>33.5</val>
          </value>
        </values>
      </ddeItem>
      <ddeItem name="6201.TW-Price" advise="1">
        <values>
          <value>
            <val>33.299999999999997</val>
          </value>
        </values>
      </ddeItem>
      <ddeItem name="6201.TW-SimulatePrice" advise="1">
        <values>
          <value>
            <val>33.299999999999997</val>
          </value>
        </values>
      </ddeItem>
      <ddeItem name="6201.TW-SimulateTime" advise="1">
        <values>
          <value t="str">
            <val>13:27:25</val>
          </value>
        </values>
      </ddeItem>
      <ddeItem name="6202.TW-ID" advise="1">
        <values>
          <value t="str">
            <val>6202</val>
          </value>
        </values>
      </ddeItem>
      <ddeItem name="6202.TW-Name" advise="1">
        <values>
          <value t="str">
            <val>盛群</val>
          </value>
        </values>
      </ddeItem>
      <ddeItem name="6202.TW-PreClose" advise="1">
        <values>
          <value>
            <val>65</val>
          </value>
        </values>
      </ddeItem>
      <ddeItem name="6202.TW-Price" advise="1">
        <values>
          <value>
            <val>64.2</val>
          </value>
        </values>
      </ddeItem>
      <ddeItem name="6202.TW-SimulatePrice" advise="1">
        <values>
          <value>
            <val>64.2</val>
          </value>
        </values>
      </ddeItem>
      <ddeItem name="6202.TW-SimulateTime" advise="1">
        <values>
          <value t="str">
            <val>13:29:59</val>
          </value>
        </values>
      </ddeItem>
      <ddeItem name="6205.TW-ID" advise="1">
        <values>
          <value t="str">
            <val>6205</val>
          </value>
        </values>
      </ddeItem>
      <ddeItem name="6205.TW-Name" advise="1">
        <values>
          <value t="str">
            <val>詮欣</val>
          </value>
        </values>
      </ddeItem>
      <ddeItem name="6205.TW-PreClose" advise="1">
        <values>
          <value>
            <val>24.8</val>
          </value>
        </values>
      </ddeItem>
      <ddeItem name="6205.TW-Price" advise="1">
        <values>
          <value>
            <val>24.9</val>
          </value>
        </values>
      </ddeItem>
      <ddeItem name="6205.TW-SimulatePrice" advise="1">
        <values>
          <value>
            <val>24.9</val>
          </value>
        </values>
      </ddeItem>
      <ddeItem name="6205.TW-SimulateTime" advise="1">
        <values>
          <value t="str">
            <val>13:28:26</val>
          </value>
        </values>
      </ddeItem>
      <ddeItem name="6206.TW-ID" advise="1">
        <values>
          <value t="str">
            <val>6206</val>
          </value>
        </values>
      </ddeItem>
      <ddeItem name="6206.TW-Name" advise="1">
        <values>
          <value t="str">
            <val>飛捷</val>
          </value>
        </values>
      </ddeItem>
      <ddeItem name="6206.TW-PreClose" advise="1">
        <values>
          <value>
            <val>67.400000000000006</val>
          </value>
        </values>
      </ddeItem>
      <ddeItem name="6206.TW-Price" advise="1">
        <values>
          <value>
            <val>67.5</val>
          </value>
        </values>
      </ddeItem>
      <ddeItem name="6206.TW-SimulatePrice" advise="1">
        <values>
          <value>
            <val>67.5</val>
          </value>
        </values>
      </ddeItem>
      <ddeItem name="6206.TW-SimulateTime" advise="1">
        <values>
          <value t="str">
            <val>13:28:06</val>
          </value>
        </values>
      </ddeItem>
      <ddeItem name="6209.TW-ID" advise="1">
        <values>
          <value t="str">
            <val>6209</val>
          </value>
        </values>
      </ddeItem>
      <ddeItem name="6209.TW-Name" advise="1">
        <values>
          <value t="str">
            <val>今國光</val>
          </value>
        </values>
      </ddeItem>
      <ddeItem name="6209.TW-PreClose" advise="1">
        <values>
          <value>
            <val>22.5</val>
          </value>
        </values>
      </ddeItem>
      <ddeItem name="6209.TW-Price" advise="1">
        <values>
          <value>
            <val>21.8</val>
          </value>
        </values>
      </ddeItem>
      <ddeItem name="6209.TW-SimulatePrice" advise="1">
        <values>
          <value>
            <val>21.8</val>
          </value>
        </values>
      </ddeItem>
      <ddeItem name="6209.TW-SimulateTime" advise="1">
        <values>
          <value t="str">
            <val>13:29:46</val>
          </value>
        </values>
      </ddeItem>
      <ddeItem name="6213.TW-ID" advise="1">
        <values>
          <value t="str">
            <val>6213</val>
          </value>
        </values>
      </ddeItem>
      <ddeItem name="6213.TW-Name" advise="1">
        <values>
          <value t="str">
            <val>聯茂</val>
          </value>
        </values>
      </ddeItem>
      <ddeItem name="6213.TW-PreClose" advise="1">
        <values>
          <value>
            <val>141</val>
          </value>
        </values>
      </ddeItem>
      <ddeItem name="6213.TW-Price" advise="1">
        <values>
          <value>
            <val>142</val>
          </value>
        </values>
      </ddeItem>
      <ddeItem name="6213.TW-SimulatePrice" advise="1">
        <values>
          <value>
            <val>141.5</val>
          </value>
        </values>
      </ddeItem>
      <ddeItem name="6213.TW-SimulateTime" advise="1">
        <values>
          <value t="str">
            <val>13:29:55</val>
          </value>
        </values>
      </ddeItem>
      <ddeItem name="6214.TW-ID" advise="1">
        <values>
          <value t="str">
            <val>6214</val>
          </value>
        </values>
      </ddeItem>
      <ddeItem name="6214.TW-Name" advise="1">
        <values>
          <value t="str">
            <val>精誠</val>
          </value>
        </values>
      </ddeItem>
      <ddeItem name="6214.TW-PreClose" advise="1">
        <values>
          <value>
            <val>78</val>
          </value>
        </values>
      </ddeItem>
      <ddeItem name="6214.TW-Price" advise="1">
        <values>
          <value>
            <val>77.599999999999994</val>
          </value>
        </values>
      </ddeItem>
      <ddeItem name="6214.TW-SimulatePrice" advise="1">
        <values>
          <value>
            <val>77.599999999999994</val>
          </value>
        </values>
      </ddeItem>
      <ddeItem name="6214.TW-SimulateTime" advise="1">
        <values>
          <value t="str">
            <val>13:29:53</val>
          </value>
        </values>
      </ddeItem>
      <ddeItem name="6215.TW-ID" advise="1">
        <values>
          <value t="str">
            <val>6215</val>
          </value>
        </values>
      </ddeItem>
      <ddeItem name="6215.TW-Name" advise="1">
        <values>
          <value t="str">
            <val>和椿</val>
          </value>
        </values>
      </ddeItem>
      <ddeItem name="6215.TW-PreClose" advise="1">
        <values>
          <value>
            <val>14.8</val>
          </value>
        </values>
      </ddeItem>
      <ddeItem name="6215.TW-Price" advise="1">
        <values>
          <value>
            <val>14.95</val>
          </value>
        </values>
      </ddeItem>
      <ddeItem name="6215.TW-SimulatePrice" advise="1">
        <values>
          <value>
            <val>14.95</val>
          </value>
        </values>
      </ddeItem>
      <ddeItem name="6215.TW-SimulateTime" advise="1">
        <values>
          <value t="str">
            <val>13:29:00</val>
          </value>
        </values>
      </ddeItem>
      <ddeItem name="6216.TW-ID" advise="1">
        <values>
          <value t="str">
            <val>6216</val>
          </value>
        </values>
      </ddeItem>
      <ddeItem name="6216.TW-Name" advise="1">
        <values>
          <value t="str">
            <val>居易</val>
          </value>
        </values>
      </ddeItem>
      <ddeItem name="6216.TW-PreClose" advise="1">
        <values>
          <value>
            <val>27.3</val>
          </value>
        </values>
      </ddeItem>
      <ddeItem name="6216.TW-Price" advise="1">
        <values>
          <value>
            <val>27.2</val>
          </value>
        </values>
      </ddeItem>
      <ddeItem name="6216.TW-SimulatePrice" advise="1">
        <values>
          <value t="str">
            <val>--</val>
          </value>
        </values>
      </ddeItem>
      <ddeItem name="6216.TW-SimulateTime" advise="1">
        <values>
          <value t="str">
            <val>--</val>
          </value>
        </values>
      </ddeItem>
      <ddeItem name="6224.TW-ID" advise="1">
        <values>
          <value t="str">
            <val>6224</val>
          </value>
        </values>
      </ddeItem>
      <ddeItem name="6224.TW-Name" advise="1">
        <values>
          <value t="str">
            <val>聚鼎</val>
          </value>
        </values>
      </ddeItem>
      <ddeItem name="6224.TW-PreClose" advise="1">
        <values>
          <value>
            <val>61.6</val>
          </value>
        </values>
      </ddeItem>
      <ddeItem name="6224.TW-Price" advise="1">
        <values>
          <value>
            <val>61</val>
          </value>
        </values>
      </ddeItem>
      <ddeItem name="6224.TW-SimulatePrice" advise="1">
        <values>
          <value>
            <val>61</val>
          </value>
        </values>
      </ddeItem>
      <ddeItem name="6224.TW-SimulateTime" advise="1">
        <values>
          <value t="str">
            <val>13:29:59</val>
          </value>
        </values>
      </ddeItem>
      <ddeItem name="6225.TW-ID" advise="1">
        <values>
          <value t="str">
            <val>6225</val>
          </value>
        </values>
      </ddeItem>
      <ddeItem name="6225.TW-Name" advise="1">
        <values>
          <value t="str">
            <val>天瀚</val>
          </value>
        </values>
      </ddeItem>
      <ddeItem name="6225.TW-PreClose" advise="1">
        <values>
          <value>
            <val>2.8</val>
          </value>
        </values>
      </ddeItem>
      <ddeItem name="6225.TW-Price" advise="1">
        <values>
          <value t="str">
            <val>--</val>
          </value>
        </values>
      </ddeItem>
      <ddeItem name="6225.TW-SimulatePrice" advise="1">
        <values>
          <value t="str">
            <val>--</val>
          </value>
        </values>
      </ddeItem>
      <ddeItem name="6225.TW-SimulateTime" advise="1">
        <values>
          <value t="str">
            <val>--</val>
          </value>
        </values>
      </ddeItem>
      <ddeItem name="6226.TW-ID" advise="1">
        <values>
          <value t="str">
            <val>6226</val>
          </value>
        </values>
      </ddeItem>
      <ddeItem name="6226.TW-Name" advise="1">
        <values>
          <value t="str">
            <val>光鼎</val>
          </value>
        </values>
      </ddeItem>
      <ddeItem name="6226.TW-PreClose" advise="1">
        <values>
          <value>
            <val>8.34</val>
          </value>
        </values>
      </ddeItem>
      <ddeItem name="6226.TW-Price" advise="1">
        <values>
          <value>
            <val>8.1199999999999992</val>
          </value>
        </values>
      </ddeItem>
      <ddeItem name="6226.TW-SimulatePrice" advise="1">
        <values>
          <value>
            <val>8.1199999999999992</val>
          </value>
        </values>
      </ddeItem>
      <ddeItem name="6226.TW-SimulateTime" advise="1">
        <values>
          <value t="str">
            <val>13:29:58</val>
          </value>
        </values>
      </ddeItem>
      <ddeItem name="6230.TW-ID" advise="1">
        <values>
          <value t="str">
            <val>6230</val>
          </value>
        </values>
      </ddeItem>
      <ddeItem name="6230.TW-Name" advise="1">
        <values>
          <value t="str">
            <val>超眾</val>
          </value>
        </values>
      </ddeItem>
      <ddeItem name="6230.TW-PreClose" advise="1">
        <values>
          <value>
            <val>238</val>
          </value>
        </values>
      </ddeItem>
      <ddeItem name="6230.TW-Price" advise="1">
        <values>
          <value>
            <val>238.5</val>
          </value>
        </values>
      </ddeItem>
      <ddeItem name="6230.TW-SimulatePrice" advise="1">
        <values>
          <value>
            <val>238</val>
          </value>
        </values>
      </ddeItem>
      <ddeItem name="6230.TW-SimulateTime" advise="1">
        <values>
          <value t="str">
            <val>13:29:47</val>
          </value>
        </values>
      </ddeItem>
      <ddeItem name="6235.TW-ID" advise="1">
        <values>
          <value t="str">
            <val>6235</val>
          </value>
        </values>
      </ddeItem>
      <ddeItem name="6235.TW-Name" advise="1">
        <values>
          <value t="str">
            <val>華孚</val>
          </value>
        </values>
      </ddeItem>
      <ddeItem name="6235.TW-PreClose" advise="1">
        <values>
          <value>
            <val>10.15</val>
          </value>
        </values>
      </ddeItem>
      <ddeItem name="6235.TW-Price" advise="1">
        <values>
          <value>
            <val>10.050000000000001</val>
          </value>
        </values>
      </ddeItem>
      <ddeItem name="6235.TW-SimulatePrice" advise="1">
        <values>
          <value>
            <val>10.050000000000001</val>
          </value>
        </values>
      </ddeItem>
      <ddeItem name="6235.TW-SimulateTime" advise="1">
        <values>
          <value t="str">
            <val>13:29:47</val>
          </value>
        </values>
      </ddeItem>
      <ddeItem name="6239.TW-ID" advise="1">
        <values>
          <value t="str">
            <val>6239</val>
          </value>
        </values>
      </ddeItem>
      <ddeItem name="6239.TW-Name" advise="1">
        <values>
          <value t="str">
            <val>力成</val>
          </value>
        </values>
      </ddeItem>
      <ddeItem name="6239.TW-PreClose" advise="1">
        <values>
          <value>
            <val>104</val>
          </value>
        </values>
      </ddeItem>
      <ddeItem name="6239.TW-Price" advise="1">
        <values>
          <value>
            <val>102.5</val>
          </value>
        </values>
      </ddeItem>
      <ddeItem name="6239.TW-SimulatePrice" advise="1">
        <values>
          <value>
            <val>102.5</val>
          </value>
        </values>
      </ddeItem>
      <ddeItem name="6239.TW-SimulateTime" advise="1">
        <values>
          <value t="str">
            <val>13:29:57</val>
          </value>
        </values>
      </ddeItem>
      <ddeItem name="6243.TW-ID" advise="1">
        <values>
          <value t="str">
            <val>6243</val>
          </value>
        </values>
      </ddeItem>
      <ddeItem name="6243.TW-Name" advise="1">
        <values>
          <value t="str">
            <val>迅杰</val>
          </value>
        </values>
      </ddeItem>
      <ddeItem name="6243.TW-PreClose" advise="1">
        <values>
          <value>
            <val>9.14</val>
          </value>
        </values>
      </ddeItem>
      <ddeItem name="6243.TW-Price" advise="1">
        <values>
          <value>
            <val>9.15</val>
          </value>
        </values>
      </ddeItem>
      <ddeItem name="6243.TW-SimulatePrice" advise="1">
        <values>
          <value>
            <val>9.18</val>
          </value>
        </values>
      </ddeItem>
      <ddeItem name="6243.TW-SimulateTime" advise="1">
        <values>
          <value t="str">
            <val>13:27:47</val>
          </value>
        </values>
      </ddeItem>
      <ddeItem name="6251.TW-ID" advise="1">
        <values>
          <value t="str">
            <val>6251</val>
          </value>
        </values>
      </ddeItem>
      <ddeItem name="6251.TW-Name" advise="1">
        <values>
          <value t="str">
            <val>定穎</val>
          </value>
        </values>
      </ddeItem>
      <ddeItem name="6251.TW-PreClose" advise="1">
        <values>
          <value>
            <val>17.75</val>
          </value>
        </values>
      </ddeItem>
      <ddeItem name="6251.TW-Price" advise="1">
        <values>
          <value>
            <val>18.05</val>
          </value>
        </values>
      </ddeItem>
      <ddeItem name="6251.TW-SimulatePrice" advise="1">
        <values>
          <value>
            <val>18</val>
          </value>
        </values>
      </ddeItem>
      <ddeItem name="6251.TW-SimulateTime" advise="1">
        <values>
          <value t="str">
            <val>13:29:54</val>
          </value>
        </values>
      </ddeItem>
      <ddeItem name="6257.TW-ID" advise="1">
        <values>
          <value t="str">
            <val>6257</val>
          </value>
        </values>
      </ddeItem>
      <ddeItem name="6257.TW-Name" advise="1">
        <values>
          <value t="str">
            <val>矽格</val>
          </value>
        </values>
      </ddeItem>
      <ddeItem name="6257.TW-PreClose" advise="1">
        <values>
          <value>
            <val>37.4</val>
          </value>
        </values>
      </ddeItem>
      <ddeItem name="6257.TW-Price" advise="1">
        <values>
          <value>
            <val>37.200000000000003</val>
          </value>
        </values>
      </ddeItem>
      <ddeItem name="6257.TW-SimulatePrice" advise="1">
        <values>
          <value>
            <val>37.200000000000003</val>
          </value>
        </values>
      </ddeItem>
      <ddeItem name="6257.TW-SimulateTime" advise="1">
        <values>
          <value t="str">
            <val>13:29:59</val>
          </value>
        </values>
      </ddeItem>
      <ddeItem name="6269.TW-ID" advise="1">
        <values>
          <value t="str">
            <val>6269</val>
          </value>
        </values>
      </ddeItem>
      <ddeItem name="6269.TW-Name" advise="1">
        <values>
          <value t="str">
            <val>台郡</val>
          </value>
        </values>
      </ddeItem>
      <ddeItem name="6269.TW-PreClose" advise="1">
        <values>
          <value>
            <val>104.5</val>
          </value>
        </values>
      </ddeItem>
      <ddeItem name="6269.TW-Price" advise="1">
        <values>
          <value>
            <val>103.5</val>
          </value>
        </values>
      </ddeItem>
      <ddeItem name="6269.TW-SimulatePrice" advise="1">
        <values>
          <value>
            <val>103.5</val>
          </value>
        </values>
      </ddeItem>
      <ddeItem name="6269.TW-SimulateTime" advise="1">
        <values>
          <value t="str">
            <val>13:29:59</val>
          </value>
        </values>
      </ddeItem>
      <ddeItem name="6271.TW-ID" advise="1">
        <values>
          <value t="str">
            <val>6271</val>
          </value>
        </values>
      </ddeItem>
      <ddeItem name="6271.TW-Name" advise="1">
        <values>
          <value t="str">
            <val>同欣電</val>
          </value>
        </values>
      </ddeItem>
      <ddeItem name="6271.TW-PreClose" advise="1">
        <values>
          <value>
            <val>131</val>
          </value>
        </values>
      </ddeItem>
      <ddeItem name="6271.TW-Price" advise="1">
        <values>
          <value>
            <val>136</val>
          </value>
        </values>
      </ddeItem>
      <ddeItem name="6271.TW-SimulatePrice" advise="1">
        <values>
          <value>
            <val>135.5</val>
          </value>
        </values>
      </ddeItem>
      <ddeItem name="6271.TW-SimulateTime" advise="1">
        <values>
          <value t="str">
            <val>13:29:56</val>
          </value>
        </values>
      </ddeItem>
      <ddeItem name="6277.TW-ID" advise="1">
        <values>
          <value t="str">
            <val>6277</val>
          </value>
        </values>
      </ddeItem>
      <ddeItem name="6277.TW-Name" advise="1">
        <values>
          <value t="str">
            <val>宏正</val>
          </value>
        </values>
      </ddeItem>
      <ddeItem name="6277.TW-PreClose" advise="1">
        <values>
          <value>
            <val>89.3</val>
          </value>
        </values>
      </ddeItem>
      <ddeItem name="6277.TW-Price" advise="1">
        <values>
          <value>
            <val>87.5</val>
          </value>
        </values>
      </ddeItem>
      <ddeItem name="6277.TW-SimulatePrice" advise="1">
        <values>
          <value>
            <val>87.5</val>
          </value>
        </values>
      </ddeItem>
      <ddeItem name="6277.TW-SimulateTime" advise="1">
        <values>
          <value t="str">
            <val>13:29:50</val>
          </value>
        </values>
      </ddeItem>
      <ddeItem name="6278.TW-ID" advise="1">
        <values>
          <value t="str">
            <val>6278</val>
          </value>
        </values>
      </ddeItem>
      <ddeItem name="6278.TW-Name" advise="1">
        <values>
          <value t="str">
            <val>台表科</val>
          </value>
        </values>
      </ddeItem>
      <ddeItem name="6278.TW-PreClose" advise="1">
        <values>
          <value>
            <val>96.5</val>
          </value>
        </values>
      </ddeItem>
      <ddeItem name="6278.TW-Price" advise="1">
        <values>
          <value>
            <val>105</val>
          </value>
        </values>
      </ddeItem>
      <ddeItem name="6278.TW-SimulatePrice" advise="1">
        <values>
          <value>
            <val>105.5</val>
          </value>
        </values>
      </ddeItem>
      <ddeItem name="6278.TW-SimulateTime" advise="1">
        <values>
          <value t="str">
            <val>13:29:55</val>
          </value>
        </values>
      </ddeItem>
      <ddeItem name="6281.TW-ID" advise="1">
        <values>
          <value t="str">
            <val>6281</val>
          </value>
        </values>
      </ddeItem>
      <ddeItem name="6281.TW-Name" advise="1">
        <values>
          <value t="str">
            <val>全國電</val>
          </value>
        </values>
      </ddeItem>
      <ddeItem name="6281.TW-PreClose" advise="1">
        <values>
          <value>
            <val>67.400000000000006</val>
          </value>
        </values>
      </ddeItem>
      <ddeItem name="6281.TW-Price" advise="1">
        <values>
          <value>
            <val>67.599999999999994</val>
          </value>
        </values>
      </ddeItem>
      <ddeItem name="6281.TW-SimulatePrice" advise="1">
        <values>
          <value>
            <val>67.599999999999994</val>
          </value>
        </values>
      </ddeItem>
      <ddeItem name="6281.TW-SimulateTime" advise="1">
        <values>
          <value t="str">
            <val>13:29:29</val>
          </value>
        </values>
      </ddeItem>
      <ddeItem name="6282.TW-ID" advise="1">
        <values>
          <value t="str">
            <val>6282</val>
          </value>
        </values>
      </ddeItem>
      <ddeItem name="6282.TW-Name" advise="1">
        <values>
          <value t="str">
            <val>康舒</val>
          </value>
        </values>
      </ddeItem>
      <ddeItem name="6282.TW-PreClose" advise="1">
        <values>
          <value>
            <val>20</val>
          </value>
        </values>
      </ddeItem>
      <ddeItem name="6282.TW-Price" advise="1">
        <values>
          <value>
            <val>19.95</val>
          </value>
        </values>
      </ddeItem>
      <ddeItem name="6282.TW-SimulatePrice" advise="1">
        <values>
          <value>
            <val>19.95</val>
          </value>
        </values>
      </ddeItem>
      <ddeItem name="6282.TW-SimulateTime" advise="1">
        <values>
          <value t="str">
            <val>13:29:57</val>
          </value>
        </values>
      </ddeItem>
      <ddeItem name="6283.TW-ID" advise="1">
        <values>
          <value t="str">
            <val>6283</val>
          </value>
        </values>
      </ddeItem>
      <ddeItem name="6283.TW-Name" advise="1">
        <values>
          <value t="str">
            <val>淳安</val>
          </value>
        </values>
      </ddeItem>
      <ddeItem name="6283.TW-PreClose" advise="1">
        <values>
          <value>
            <val>21.25</val>
          </value>
        </values>
      </ddeItem>
      <ddeItem name="6283.TW-Price" advise="1">
        <values>
          <value>
            <val>20.8</val>
          </value>
        </values>
      </ddeItem>
      <ddeItem name="6283.TW-SimulatePrice" advise="1">
        <values>
          <value>
            <val>20.8</val>
          </value>
        </values>
      </ddeItem>
      <ddeItem name="6283.TW-SimulateTime" advise="1">
        <values>
          <value t="str">
            <val>13:26:20</val>
          </value>
        </values>
      </ddeItem>
      <ddeItem name="6285.TW-ID" advise="1">
        <values>
          <value t="str">
            <val>6285</val>
          </value>
        </values>
      </ddeItem>
      <ddeItem name="6285.TW-Name" advise="1">
        <values>
          <value t="str">
            <val>啟碁</val>
          </value>
        </values>
      </ddeItem>
      <ddeItem name="6285.TW-PreClose" advise="1">
        <values>
          <value>
            <val>62.3</val>
          </value>
        </values>
      </ddeItem>
      <ddeItem name="6285.TW-Price" advise="1">
        <values>
          <value>
            <val>61.8</val>
          </value>
        </values>
      </ddeItem>
      <ddeItem name="6285.TW-SimulatePrice" advise="1">
        <values>
          <value>
            <val>61.8</val>
          </value>
        </values>
      </ddeItem>
      <ddeItem name="6285.TW-SimulateTime" advise="1">
        <values>
          <value t="str">
            <val>13:29:57</val>
          </value>
        </values>
      </ddeItem>
      <ddeItem name="6288.TW-ID" advise="1">
        <values>
          <value t="str">
            <val>6288</val>
          </value>
        </values>
      </ddeItem>
      <ddeItem name="6288.TW-Name" advise="1">
        <values>
          <value t="str">
            <val>聯嘉</val>
          </value>
        </values>
      </ddeItem>
      <ddeItem name="6288.TW-PreClose" advise="1">
        <values>
          <value>
            <val>18.7</val>
          </value>
        </values>
      </ddeItem>
      <ddeItem name="6288.TW-Price" advise="1">
        <values>
          <value>
            <val>18.649999999999999</val>
          </value>
        </values>
      </ddeItem>
      <ddeItem name="6288.TW-SimulatePrice" advise="1">
        <values>
          <value>
            <val>18.649999999999999</val>
          </value>
        </values>
      </ddeItem>
      <ddeItem name="6288.TW-SimulateTime" advise="1">
        <values>
          <value t="str">
            <val>13:29:33</val>
          </value>
        </values>
      </ddeItem>
      <ddeItem name="6289.TW-ID" advise="1">
        <values>
          <value t="str">
            <val>6289</val>
          </value>
        </values>
      </ddeItem>
      <ddeItem name="6289.TW-Name" advise="1">
        <values>
          <value t="str">
            <val>華上</val>
          </value>
        </values>
      </ddeItem>
      <ddeItem name="6289.TW-PreClose" advise="1">
        <values>
          <value>
            <val>1.77</val>
          </value>
        </values>
      </ddeItem>
      <ddeItem name="6289.TW-Price" advise="1">
        <values>
          <value>
            <val>1.78</val>
          </value>
        </values>
      </ddeItem>
      <ddeItem name="6289.TW-SimulatePrice" advise="1">
        <values>
          <value t="str">
            <val>--</val>
          </value>
        </values>
      </ddeItem>
      <ddeItem name="6289.TW-SimulateTime" advise="1">
        <values>
          <value t="str">
            <val>--</val>
          </value>
        </values>
      </ddeItem>
      <ddeItem name="6405.TW-ID" advise="1">
        <values>
          <value t="str">
            <val>6405</val>
          </value>
        </values>
      </ddeItem>
      <ddeItem name="6405.TW-Name" advise="1">
        <values>
          <value t="str">
            <val>悅城</val>
          </value>
        </values>
      </ddeItem>
      <ddeItem name="6405.TW-PreClose" advise="1">
        <values>
          <value>
            <val>14.85</val>
          </value>
        </values>
      </ddeItem>
      <ddeItem name="6405.TW-Price" advise="1">
        <values>
          <value>
            <val>14.8</val>
          </value>
        </values>
      </ddeItem>
      <ddeItem name="6405.TW-SimulatePrice" advise="1">
        <values>
          <value t="str">
            <val>--</val>
          </value>
        </values>
      </ddeItem>
      <ddeItem name="6405.TW-SimulateTime" advise="1">
        <values>
          <value t="str">
            <val>--</val>
          </value>
        </values>
      </ddeItem>
      <ddeItem name="6409.TW-ID" advise="1">
        <values>
          <value t="str">
            <val>6409</val>
          </value>
        </values>
      </ddeItem>
      <ddeItem name="6409.TW-Name" advise="1">
        <values>
          <value t="str">
            <val>旭隼</val>
          </value>
        </values>
      </ddeItem>
      <ddeItem name="6409.TW-PreClose" advise="1">
        <values>
          <value>
            <val>765</val>
          </value>
        </values>
      </ddeItem>
      <ddeItem name="6409.TW-Price" advise="1">
        <values>
          <value>
            <val>784</val>
          </value>
        </values>
      </ddeItem>
      <ddeItem name="6409.TW-SimulatePrice" advise="1">
        <values>
          <value>
            <val>784</val>
          </value>
        </values>
      </ddeItem>
      <ddeItem name="6409.TW-SimulateTime" advise="1">
        <values>
          <value t="str">
            <val>13:29:38</val>
          </value>
        </values>
      </ddeItem>
      <ddeItem name="6412.TW-ID" advise="1">
        <values>
          <value t="str">
            <val>6412</val>
          </value>
        </values>
      </ddeItem>
      <ddeItem name="6412.TW-Name" advise="1">
        <values>
          <value t="str">
            <val>群電</val>
          </value>
        </values>
      </ddeItem>
      <ddeItem name="6412.TW-PreClose" advise="1">
        <values>
          <value>
            <val>64.3</val>
          </value>
        </values>
      </ddeItem>
      <ddeItem name="6412.TW-Price" advise="1">
        <values>
          <value>
            <val>62.6</val>
          </value>
        </values>
      </ddeItem>
      <ddeItem name="6412.TW-SimulatePrice" advise="1">
        <values>
          <value>
            <val>62.6</val>
          </value>
        </values>
      </ddeItem>
      <ddeItem name="6412.TW-SimulateTime" advise="1">
        <values>
          <value t="str">
            <val>13:29:58</val>
          </value>
        </values>
      </ddeItem>
      <ddeItem name="6414.TW-ID" advise="1">
        <values>
          <value t="str">
            <val>6414</val>
          </value>
        </values>
      </ddeItem>
      <ddeItem name="6414.TW-Name" advise="1">
        <values>
          <value t="str">
            <val>樺漢</val>
          </value>
        </values>
      </ddeItem>
      <ddeItem name="6414.TW-PreClose" advise="1">
        <values>
          <value>
            <val>191</val>
          </value>
        </values>
      </ddeItem>
      <ddeItem name="6414.TW-Price" advise="1">
        <values>
          <value>
            <val>184</val>
          </value>
        </values>
      </ddeItem>
      <ddeItem name="6414.TW-SimulatePrice" advise="1">
        <values>
          <value>
            <val>184</val>
          </value>
        </values>
      </ddeItem>
      <ddeItem name="6414.TW-SimulateTime" advise="1">
        <values>
          <value t="str">
            <val>13:29:57</val>
          </value>
        </values>
      </ddeItem>
      <ddeItem name="6415.TW-ID" advise="1">
        <values>
          <value t="str">
            <val>6415</val>
          </value>
        </values>
      </ddeItem>
      <ddeItem name="6415.TW-Name" advise="1">
        <values>
          <value t="str">
            <val>矽力-KY</val>
          </value>
        </values>
      </ddeItem>
      <ddeItem name="6415.TW-PreClose" advise="1">
        <values>
          <value>
            <val>1370</val>
          </value>
        </values>
      </ddeItem>
      <ddeItem name="6415.TW-Price" advise="1">
        <values>
          <value>
            <val>1470</val>
          </value>
        </values>
      </ddeItem>
      <ddeItem name="6415.TW-SimulatePrice" advise="1">
        <values>
          <value>
            <val>1470</val>
          </value>
        </values>
      </ddeItem>
      <ddeItem name="6415.TW-SimulateTime" advise="1">
        <values>
          <value t="str">
            <val>13:29:56</val>
          </value>
        </values>
      </ddeItem>
      <ddeItem name="6416.TW-ID" advise="1">
        <values>
          <value t="str">
            <val>6416</val>
          </value>
        </values>
      </ddeItem>
      <ddeItem name="6416.TW-Name" advise="1">
        <values>
          <value t="str">
            <val>瑞祺電通</val>
          </value>
        </values>
      </ddeItem>
      <ddeItem name="6416.TW-PreClose" advise="1">
        <values>
          <value>
            <val>122.5</val>
          </value>
        </values>
      </ddeItem>
      <ddeItem name="6416.TW-Price" advise="1">
        <values>
          <value>
            <val>124</val>
          </value>
        </values>
      </ddeItem>
      <ddeItem name="6416.TW-SimulatePrice" advise="1">
        <values>
          <value>
            <val>124</val>
          </value>
        </values>
      </ddeItem>
      <ddeItem name="6416.TW-SimulateTime" advise="1">
        <values>
          <value t="str">
            <val>13:29:58</val>
          </value>
        </values>
      </ddeItem>
      <ddeItem name="6431.TW-ID" advise="1">
        <values>
          <value t="str">
            <val>6431</val>
          </value>
        </values>
      </ddeItem>
      <ddeItem name="6431.TW-Name" advise="1">
        <values>
          <value t="str">
            <val>光麗-KY</val>
          </value>
        </values>
      </ddeItem>
      <ddeItem name="6431.TW-PreClose" advise="1">
        <values>
          <value>
            <val>23</val>
          </value>
        </values>
      </ddeItem>
      <ddeItem name="6431.TW-Price" advise="1">
        <values>
          <value>
            <val>23.05</val>
          </value>
        </values>
      </ddeItem>
      <ddeItem name="6431.TW-SimulatePrice" advise="1">
        <values>
          <value>
            <val>23.05</val>
          </value>
        </values>
      </ddeItem>
      <ddeItem name="6431.TW-SimulateTime" advise="1">
        <values>
          <value t="str">
            <val>13:28:33</val>
          </value>
        </values>
      </ddeItem>
      <ddeItem name="6442.TW-ID" advise="1">
        <values>
          <value t="str">
            <val>6442</val>
          </value>
        </values>
      </ddeItem>
      <ddeItem name="6442.TW-Name" advise="1">
        <values>
          <value t="str">
            <val>光聖</val>
          </value>
        </values>
      </ddeItem>
      <ddeItem name="6442.TW-PreClose" advise="1">
        <values>
          <value>
            <val>36.6</val>
          </value>
        </values>
      </ddeItem>
      <ddeItem name="6442.TW-Price" advise="1">
        <values>
          <value>
            <val>35.700000000000003</val>
          </value>
        </values>
      </ddeItem>
      <ddeItem name="6442.TW-SimulatePrice" advise="1">
        <values>
          <value t="str">
            <val>--</val>
          </value>
        </values>
      </ddeItem>
      <ddeItem name="6442.TW-SimulateTime" advise="1">
        <values>
          <value t="str">
            <val>--</val>
          </value>
        </values>
      </ddeItem>
      <ddeItem name="6443.TW-ID" advise="1">
        <values>
          <value t="str">
            <val>6443</val>
          </value>
        </values>
      </ddeItem>
      <ddeItem name="6443.TW-Name" advise="1">
        <values>
          <value t="str">
            <val>元晶</val>
          </value>
        </values>
      </ddeItem>
      <ddeItem name="6443.TW-PreClose" advise="1">
        <values>
          <value>
            <val>6.3</val>
          </value>
        </values>
      </ddeItem>
      <ddeItem name="6443.TW-Price" advise="1">
        <values>
          <value>
            <val>6.2</val>
          </value>
        </values>
      </ddeItem>
      <ddeItem name="6443.TW-SimulatePrice" advise="1">
        <values>
          <value>
            <val>6.2</val>
          </value>
        </values>
      </ddeItem>
      <ddeItem name="6443.TW-SimulateTime" advise="1">
        <values>
          <value t="str">
            <val>13:29:48</val>
          </value>
        </values>
      </ddeItem>
      <ddeItem name="6449.TW-ID" advise="1">
        <values>
          <value t="str">
            <val>6449</val>
          </value>
        </values>
      </ddeItem>
      <ddeItem name="6449.TW-Name" advise="1">
        <values>
          <value t="str">
            <val>鈺邦</val>
          </value>
        </values>
      </ddeItem>
      <ddeItem name="6449.TW-PreClose" advise="1">
        <values>
          <value>
            <val>31</val>
          </value>
        </values>
      </ddeItem>
      <ddeItem name="6449.TW-Price" advise="1">
        <values>
          <value>
            <val>30.5</val>
          </value>
        </values>
      </ddeItem>
      <ddeItem name="6449.TW-SimulatePrice" advise="1">
        <values>
          <value>
            <val>30.5</val>
          </value>
        </values>
      </ddeItem>
      <ddeItem name="6449.TW-SimulateTime" advise="1">
        <values>
          <value t="str">
            <val>13:28:51</val>
          </value>
        </values>
      </ddeItem>
      <ddeItem name="6451.TW-ID" advise="1">
        <values>
          <value t="str">
            <val>6451</val>
          </value>
        </values>
      </ddeItem>
      <ddeItem name="6451.TW-Name" advise="1">
        <values>
          <value t="str">
            <val>訊芯-KY</val>
          </value>
        </values>
      </ddeItem>
      <ddeItem name="6451.TW-PreClose" advise="1">
        <values>
          <value>
            <val>103</val>
          </value>
        </values>
      </ddeItem>
      <ddeItem name="6451.TW-Price" advise="1">
        <values>
          <value>
            <val>104</val>
          </value>
        </values>
      </ddeItem>
      <ddeItem name="6451.TW-SimulatePrice" advise="1">
        <values>
          <value>
            <val>104</val>
          </value>
        </values>
      </ddeItem>
      <ddeItem name="6451.TW-SimulateTime" advise="1">
        <values>
          <value t="str">
            <val>13:29:53</val>
          </value>
        </values>
      </ddeItem>
      <ddeItem name="6452.TW-ID" advise="1">
        <values>
          <value t="str">
            <val>6452</val>
          </value>
        </values>
      </ddeItem>
      <ddeItem name="6452.TW-Name" advise="1">
        <values>
          <value t="str">
            <val>康友-KY</val>
          </value>
        </values>
      </ddeItem>
      <ddeItem name="6452.TW-PreClose" advise="1">
        <values>
          <value>
            <val>152</val>
          </value>
        </values>
      </ddeItem>
      <ddeItem name="6452.TW-Price" advise="1">
        <values>
          <value>
            <val>147.5</val>
          </value>
        </values>
      </ddeItem>
      <ddeItem name="6452.TW-SimulatePrice" advise="1">
        <values>
          <value>
            <val>147.5</val>
          </value>
        </values>
      </ddeItem>
      <ddeItem name="6452.TW-SimulateTime" advise="1">
        <values>
          <value t="str">
            <val>13:29:56</val>
          </value>
        </values>
      </ddeItem>
      <ddeItem name="6456.TW-ID" advise="1">
        <values>
          <value t="str">
            <val>6456</val>
          </value>
        </values>
      </ddeItem>
      <ddeItem name="6456.TW-Name" advise="1">
        <values>
          <value t="str">
            <val>GIS-KY</val>
          </value>
        </values>
      </ddeItem>
      <ddeItem name="6456.TW-PreClose" advise="1">
        <values>
          <value>
            <val>102</val>
          </value>
        </values>
      </ddeItem>
      <ddeItem name="6456.TW-Price" advise="1">
        <values>
          <value>
            <val>97.8</val>
          </value>
        </values>
      </ddeItem>
      <ddeItem name="6456.TW-SimulatePrice" advise="1">
        <values>
          <value>
            <val>97.8</val>
          </value>
        </values>
      </ddeItem>
      <ddeItem name="6456.TW-SimulateTime" advise="1">
        <values>
          <value t="str">
            <val>13:29:55</val>
          </value>
        </values>
      </ddeItem>
      <ddeItem name="6464.TW-ID" advise="1">
        <values>
          <value t="str">
            <val>6464</val>
          </value>
        </values>
      </ddeItem>
      <ddeItem name="6464.TW-Name" advise="1">
        <values>
          <value t="str">
            <val>台數科</val>
          </value>
        </values>
      </ddeItem>
      <ddeItem name="6464.TW-PreClose" advise="1">
        <values>
          <value>
            <val>116</val>
          </value>
        </values>
      </ddeItem>
      <ddeItem name="6464.TW-Price" advise="1">
        <values>
          <value>
            <val>115</val>
          </value>
        </values>
      </ddeItem>
      <ddeItem name="6464.TW-SimulatePrice" advise="1">
        <values>
          <value t="str">
            <val>--</val>
          </value>
        </values>
      </ddeItem>
      <ddeItem name="6464.TW-SimulateTime" advise="1">
        <values>
          <value t="str">
            <val>--</val>
          </value>
        </values>
      </ddeItem>
      <ddeItem name="6477.TW-ID" advise="1">
        <values>
          <value t="str">
            <val>6477</val>
          </value>
        </values>
      </ddeItem>
      <ddeItem name="6477.TW-Name" advise="1">
        <values>
          <value t="str">
            <val>安集</val>
          </value>
        </values>
      </ddeItem>
      <ddeItem name="6477.TW-PreClose" advise="1">
        <values>
          <value>
            <val>19.899999999999999</val>
          </value>
        </values>
      </ddeItem>
      <ddeItem name="6477.TW-Price" advise="1">
        <values>
          <value>
            <val>19.899999999999999</val>
          </value>
        </values>
      </ddeItem>
      <ddeItem name="6477.TW-SimulatePrice" advise="1">
        <values>
          <value>
            <val>19.899999999999999</val>
          </value>
        </values>
      </ddeItem>
      <ddeItem name="6477.TW-SimulateTime" advise="1">
        <values>
          <value t="str">
            <val>13:29:57</val>
          </value>
        </values>
      </ddeItem>
      <ddeItem name="6491.TW-ID" advise="1">
        <values>
          <value t="str">
            <val>6491</val>
          </value>
        </values>
      </ddeItem>
      <ddeItem name="6491.TW-Name" advise="1">
        <values>
          <value t="str">
            <val>晶碩</val>
          </value>
        </values>
      </ddeItem>
      <ddeItem name="6491.TW-PreClose" advise="1">
        <values>
          <value>
            <val>122.5</val>
          </value>
        </values>
      </ddeItem>
      <ddeItem name="6491.TW-Price" advise="1">
        <values>
          <value>
            <val>120</val>
          </value>
        </values>
      </ddeItem>
      <ddeItem name="6491.TW-SimulatePrice" advise="1">
        <values>
          <value>
            <val>120</val>
          </value>
        </values>
      </ddeItem>
      <ddeItem name="6491.TW-SimulateTime" advise="1">
        <values>
          <value t="str">
            <val>13:29:51</val>
          </value>
        </values>
      </ddeItem>
      <ddeItem name="6504.TW-ID" advise="1">
        <values>
          <value t="str">
            <val>6504</val>
          </value>
        </values>
      </ddeItem>
      <ddeItem name="6504.TW-Name" advise="1">
        <values>
          <value t="str">
            <val>南六</val>
          </value>
        </values>
      </ddeItem>
      <ddeItem name="6504.TW-PreClose" advise="1">
        <values>
          <value>
            <val>235.5</val>
          </value>
        </values>
      </ddeItem>
      <ddeItem name="6504.TW-Price" advise="1">
        <values>
          <value>
            <val>232.5</val>
          </value>
        </values>
      </ddeItem>
      <ddeItem name="6504.TW-SimulatePrice" advise="1">
        <values>
          <value>
            <val>232.5</val>
          </value>
        </values>
      </ddeItem>
      <ddeItem name="6504.TW-SimulateTime" advise="1">
        <values>
          <value t="str">
            <val>13:29:57</val>
          </value>
        </values>
      </ddeItem>
      <ddeItem name="6505.TW-ID" advise="1">
        <values>
          <value t="str">
            <val>6505</val>
          </value>
        </values>
      </ddeItem>
      <ddeItem name="6505.TW-Name" advise="1">
        <values>
          <value t="str">
            <val>台塑化</val>
          </value>
        </values>
      </ddeItem>
      <ddeItem name="6505.TW-PreClose" advise="1">
        <values>
          <value>
            <val>86.7</val>
          </value>
        </values>
      </ddeItem>
      <ddeItem name="6505.TW-Price" advise="1">
        <values>
          <value>
            <val>86.4</val>
          </value>
        </values>
      </ddeItem>
      <ddeItem name="6505.TW-SimulatePrice" advise="1">
        <values>
          <value>
            <val>86.4</val>
          </value>
        </values>
      </ddeItem>
      <ddeItem name="6505.TW-SimulateTime" advise="1">
        <values>
          <value t="str">
            <val>13:29:56</val>
          </value>
        </values>
      </ddeItem>
      <ddeItem name="6525.TW-ID" advise="1">
        <values>
          <value t="str">
            <val>6525</val>
          </value>
        </values>
      </ddeItem>
      <ddeItem name="6525.TW-Name" advise="1">
        <values>
          <value t="str">
            <val>捷敏-KY</val>
          </value>
        </values>
      </ddeItem>
      <ddeItem name="6525.TW-PreClose" advise="1">
        <values>
          <value>
            <val>59.2</val>
          </value>
        </values>
      </ddeItem>
      <ddeItem name="6525.TW-Price" advise="1">
        <values>
          <value>
            <val>58.7</val>
          </value>
        </values>
      </ddeItem>
      <ddeItem name="6525.TW-SimulatePrice" advise="1">
        <values>
          <value>
            <val>58.7</val>
          </value>
        </values>
      </ddeItem>
      <ddeItem name="6525.TW-SimulateTime" advise="1">
        <values>
          <value t="str">
            <val>13:29:31</val>
          </value>
        </values>
      </ddeItem>
      <ddeItem name="6531.TW-ID" advise="1">
        <values>
          <value t="str">
            <val>6531</val>
          </value>
        </values>
      </ddeItem>
      <ddeItem name="6531.TW-Name" advise="1">
        <values>
          <value t="str">
            <val>愛普</val>
          </value>
        </values>
      </ddeItem>
      <ddeItem name="6531.TW-PreClose" advise="1">
        <values>
          <value>
            <val>226</val>
          </value>
        </values>
      </ddeItem>
      <ddeItem name="6531.TW-Price" advise="1">
        <values>
          <value>
            <val>238</val>
          </value>
        </values>
      </ddeItem>
      <ddeItem name="6531.TW-SimulatePrice" advise="1">
        <values>
          <value t="str">
            <val>--</val>
          </value>
        </values>
      </ddeItem>
      <ddeItem name="6531.TW-SimulateTime" advise="1">
        <values>
          <value t="str">
            <val>--</val>
          </value>
        </values>
      </ddeItem>
      <ddeItem name="6533.TW-ID" advise="1">
        <values>
          <value t="str">
            <val>6533</val>
          </value>
        </values>
      </ddeItem>
      <ddeItem name="6533.TW-Name" advise="1">
        <values>
          <value t="str">
            <val>晶心科</val>
          </value>
        </values>
      </ddeItem>
      <ddeItem name="6533.TW-PreClose" advise="1">
        <values>
          <value>
            <val>103</val>
          </value>
        </values>
      </ddeItem>
      <ddeItem name="6533.TW-Price" advise="1">
        <values>
          <value>
            <val>101.5</val>
          </value>
        </values>
      </ddeItem>
      <ddeItem name="6533.TW-SimulatePrice" advise="1">
        <values>
          <value>
            <val>101.5</val>
          </value>
        </values>
      </ddeItem>
      <ddeItem name="6533.TW-SimulateTime" advise="1">
        <values>
          <value t="str">
            <val>13:29:59</val>
          </value>
        </values>
      </ddeItem>
      <ddeItem name="6541.TW-ID" advise="1">
        <values>
          <value t="str">
            <val>6541</val>
          </value>
        </values>
      </ddeItem>
      <ddeItem name="6541.TW-Name" advise="1">
        <values>
          <value t="str">
            <val>泰福-KY</val>
          </value>
        </values>
      </ddeItem>
      <ddeItem name="6541.TW-PreClose" advise="1">
        <values>
          <value>
            <val>38.299999999999997</val>
          </value>
        </values>
      </ddeItem>
      <ddeItem name="6541.TW-Price" advise="1">
        <values>
          <value>
            <val>38.450000000000003</val>
          </value>
        </values>
      </ddeItem>
      <ddeItem name="6541.TW-SimulatePrice" advise="1">
        <values>
          <value t="str">
            <val>--</val>
          </value>
        </values>
      </ddeItem>
      <ddeItem name="6541.TW-SimulateTime" advise="1">
        <values>
          <value t="str">
            <val>--</val>
          </value>
        </values>
      </ddeItem>
      <ddeItem name="6552.TW-ID" advise="1">
        <values>
          <value t="str">
            <val>6552</val>
          </value>
        </values>
      </ddeItem>
      <ddeItem name="6552.TW-Name" advise="1">
        <values>
          <value t="str">
            <val>易華電</val>
          </value>
        </values>
      </ddeItem>
      <ddeItem name="6552.TW-PreClose" advise="1">
        <values>
          <value>
            <val>58.4</val>
          </value>
        </values>
      </ddeItem>
      <ddeItem name="6552.TW-Price" advise="1">
        <values>
          <value>
            <val>59.5</val>
          </value>
        </values>
      </ddeItem>
      <ddeItem name="6552.TW-SimulatePrice" advise="1">
        <values>
          <value>
            <val>59.5</val>
          </value>
        </values>
      </ddeItem>
      <ddeItem name="6552.TW-SimulateTime" advise="1">
        <values>
          <value t="str">
            <val>13:29:56</val>
          </value>
        </values>
      </ddeItem>
      <ddeItem name="6558.TW-ID" advise="1">
        <values>
          <value t="str">
            <val>6558</val>
          </value>
        </values>
      </ddeItem>
      <ddeItem name="6558.TW-Name" advise="1">
        <values>
          <value t="str">
            <val>興能高</val>
          </value>
        </values>
      </ddeItem>
      <ddeItem name="6558.TW-PreClose" advise="1">
        <values>
          <value>
            <val>45.65</val>
          </value>
        </values>
      </ddeItem>
      <ddeItem name="6558.TW-Price" advise="1">
        <values>
          <value>
            <val>45.75</val>
          </value>
        </values>
      </ddeItem>
      <ddeItem name="6558.TW-SimulatePrice" advise="1">
        <values>
          <value>
            <val>45.75</val>
          </value>
        </values>
      </ddeItem>
      <ddeItem name="6558.TW-SimulateTime" advise="1">
        <values>
          <value t="str">
            <val>13:29:59</val>
          </value>
        </values>
      </ddeItem>
      <ddeItem name="6573.TW-ID" advise="1">
        <values>
          <value t="str">
            <val>6573</val>
          </value>
        </values>
      </ddeItem>
      <ddeItem name="6573.TW-Name" advise="1">
        <values>
          <value t="str">
            <val>虹揚-KY</val>
          </value>
        </values>
      </ddeItem>
      <ddeItem name="6573.TW-PreClose" advise="1">
        <values>
          <value>
            <val>18.2</val>
          </value>
        </values>
      </ddeItem>
      <ddeItem name="6573.TW-Price" advise="1">
        <values>
          <value>
            <val>18.100000000000001</val>
          </value>
        </values>
      </ddeItem>
      <ddeItem name="6573.TW-SimulatePrice" advise="1">
        <values>
          <value>
            <val>18.100000000000001</val>
          </value>
        </values>
      </ddeItem>
      <ddeItem name="6573.TW-SimulateTime" advise="1">
        <values>
          <value t="str">
            <val>13:29:29</val>
          </value>
        </values>
      </ddeItem>
      <ddeItem name="6579.TW-ID" advise="1">
        <values>
          <value t="str">
            <val>6579</val>
          </value>
        </values>
      </ddeItem>
      <ddeItem name="6579.TW-Name" advise="1">
        <values>
          <value t="str">
            <val>研揚</val>
          </value>
        </values>
      </ddeItem>
      <ddeItem name="6579.TW-PreClose" advise="1">
        <values>
          <value>
            <val>63.6</val>
          </value>
        </values>
      </ddeItem>
      <ddeItem name="6579.TW-Price" advise="1">
        <values>
          <value>
            <val>63.5</val>
          </value>
        </values>
      </ddeItem>
      <ddeItem name="6579.TW-SimulatePrice" advise="1">
        <values>
          <value>
            <val>63.5</val>
          </value>
        </values>
      </ddeItem>
      <ddeItem name="6579.TW-SimulateTime" advise="1">
        <values>
          <value t="str">
            <val>13:29:44</val>
          </value>
        </values>
      </ddeItem>
      <ddeItem name="6581.TW-ID" advise="1">
        <values>
          <value t="str">
            <val>6581</val>
          </value>
        </values>
      </ddeItem>
      <ddeItem name="6581.TW-Name" advise="1">
        <values>
          <value t="str">
            <val>鋼聯</val>
          </value>
        </values>
      </ddeItem>
      <ddeItem name="6581.TW-PreClose" advise="1">
        <values>
          <value>
            <val>59.7</val>
          </value>
        </values>
      </ddeItem>
      <ddeItem name="6581.TW-Price" advise="1">
        <values>
          <value>
            <val>61.7</val>
          </value>
        </values>
      </ddeItem>
      <ddeItem name="6581.TW-SimulatePrice" advise="1">
        <values>
          <value>
            <val>61.7</val>
          </value>
        </values>
      </ddeItem>
      <ddeItem name="6581.TW-SimulateTime" advise="1">
        <values>
          <value t="str">
            <val>13:29:19</val>
          </value>
        </values>
      </ddeItem>
      <ddeItem name="6582.TW-ID" advise="1">
        <values>
          <value t="str">
            <val>6582</val>
          </value>
        </values>
      </ddeItem>
      <ddeItem name="6582.TW-Name" advise="1">
        <values>
          <value t="str">
            <val>申豐</val>
          </value>
        </values>
      </ddeItem>
      <ddeItem name="6582.TW-PreClose" advise="1">
        <values>
          <value>
            <val>108</val>
          </value>
        </values>
      </ddeItem>
      <ddeItem name="6582.TW-Price" advise="1">
        <values>
          <value>
            <val>107.5</val>
          </value>
        </values>
      </ddeItem>
      <ddeItem name="6582.TW-SimulatePrice" advise="1">
        <values>
          <value>
            <val>107.5</val>
          </value>
        </values>
      </ddeItem>
      <ddeItem name="6582.TW-SimulateTime" advise="1">
        <values>
          <value t="str">
            <val>13:29:56</val>
          </value>
        </values>
      </ddeItem>
      <ddeItem name="6591.TW-ID" advise="1">
        <values>
          <value t="str">
            <val>6591</val>
          </value>
        </values>
      </ddeItem>
      <ddeItem name="6591.TW-Name" advise="1">
        <values>
          <value t="str">
            <val>動力-KY</val>
          </value>
        </values>
      </ddeItem>
      <ddeItem name="6591.TW-PreClose" advise="1">
        <values>
          <value>
            <val>43.8</val>
          </value>
        </values>
      </ddeItem>
      <ddeItem name="6591.TW-Price" advise="1">
        <values>
          <value>
            <val>44.95</val>
          </value>
        </values>
      </ddeItem>
      <ddeItem name="6591.TW-SimulatePrice" advise="1">
        <values>
          <value>
            <val>44.95</val>
          </value>
        </values>
      </ddeItem>
      <ddeItem name="6591.TW-SimulateTime" advise="1">
        <values>
          <value t="str">
            <val>13:29:33</val>
          </value>
        </values>
      </ddeItem>
      <ddeItem name="6592.TW-ID" advise="1">
        <values>
          <value t="str">
            <val>6592</val>
          </value>
        </values>
      </ddeItem>
      <ddeItem name="6592.TW-Name" advise="1">
        <values>
          <value t="str">
            <val>和潤企業</val>
          </value>
        </values>
      </ddeItem>
      <ddeItem name="6592.TW-PreClose" advise="1">
        <values>
          <value>
            <val>78.5</val>
          </value>
        </values>
      </ddeItem>
      <ddeItem name="6592.TW-Price" advise="1">
        <values>
          <value>
            <val>78.7</val>
          </value>
        </values>
      </ddeItem>
      <ddeItem name="6592.TW-SimulatePrice" advise="1">
        <values>
          <value>
            <val>78.7</val>
          </value>
        </values>
      </ddeItem>
      <ddeItem name="6592.TW-SimulateTime" advise="1">
        <values>
          <value t="str">
            <val>13:29:58</val>
          </value>
        </values>
      </ddeItem>
      <ddeItem name="6605.TW-ID" advise="1">
        <values>
          <value t="str">
            <val>6605</val>
          </value>
        </values>
      </ddeItem>
      <ddeItem name="6605.TW-Name" advise="1">
        <values>
          <value t="str">
            <val>帝寶</val>
          </value>
        </values>
      </ddeItem>
      <ddeItem name="6605.TW-PreClose" advise="1">
        <values>
          <value>
            <val>45</val>
          </value>
        </values>
      </ddeItem>
      <ddeItem name="6605.TW-Price" advise="1">
        <values>
          <value>
            <val>45.7</val>
          </value>
        </values>
      </ddeItem>
      <ddeItem name="6605.TW-SimulatePrice" advise="1">
        <values>
          <value>
            <val>45.7</val>
          </value>
        </values>
      </ddeItem>
      <ddeItem name="6605.TW-SimulateTime" advise="1">
        <values>
          <value t="str">
            <val>13:29:20</val>
          </value>
        </values>
      </ddeItem>
      <ddeItem name="6625.TW-ID" advise="1">
        <values>
          <value t="str">
            <val>6625</val>
          </value>
        </values>
      </ddeItem>
      <ddeItem name="6625.TW-Name" advise="1">
        <values>
          <value t="str">
            <val>必應</val>
          </value>
        </values>
      </ddeItem>
      <ddeItem name="6625.TW-PreClose" advise="1">
        <values>
          <value>
            <val>38</val>
          </value>
        </values>
      </ddeItem>
      <ddeItem name="6625.TW-Price" advise="1">
        <values>
          <value>
            <val>38</val>
          </value>
        </values>
      </ddeItem>
      <ddeItem name="6625.TW-SimulatePrice" advise="1">
        <values>
          <value t="str">
            <val>--</val>
          </value>
        </values>
      </ddeItem>
      <ddeItem name="6625.TW-SimulateTime" advise="1">
        <values>
          <value t="str">
            <val>--</val>
          </value>
        </values>
      </ddeItem>
      <ddeItem name="6641.TW-ID" advise="1">
        <values>
          <value t="str">
            <val>6641</val>
          </value>
        </values>
      </ddeItem>
      <ddeItem name="6641.TW-Name" advise="1">
        <values>
          <value t="str">
            <val>基士德-KY</val>
          </value>
        </values>
      </ddeItem>
      <ddeItem name="6641.TW-PreClose" advise="1">
        <values>
          <value>
            <val>67.099999999999994</val>
          </value>
        </values>
      </ddeItem>
      <ddeItem name="6641.TW-Price" advise="1">
        <values>
          <value>
            <val>67.400000000000006</val>
          </value>
        </values>
      </ddeItem>
      <ddeItem name="6641.TW-SimulatePrice" advise="1">
        <values>
          <value>
            <val>67.400000000000006</val>
          </value>
        </values>
      </ddeItem>
      <ddeItem name="6641.TW-SimulateTime" advise="1">
        <values>
          <value t="str">
            <val>13:29:37</val>
          </value>
        </values>
      </ddeItem>
      <ddeItem name="6655.TW-ID" advise="1">
        <values>
          <value t="str">
            <val>6655</val>
          </value>
        </values>
      </ddeItem>
      <ddeItem name="6655.TW-Name" advise="1">
        <values>
          <value t="str">
            <val>科定</val>
          </value>
        </values>
      </ddeItem>
      <ddeItem name="6655.TW-PreClose" advise="1">
        <values>
          <value>
            <val>42</val>
          </value>
        </values>
      </ddeItem>
      <ddeItem name="6655.TW-Price" advise="1">
        <values>
          <value>
            <val>41.65</val>
          </value>
        </values>
      </ddeItem>
      <ddeItem name="6655.TW-SimulatePrice" advise="1">
        <values>
          <value>
            <val>41.65</val>
          </value>
        </values>
      </ddeItem>
      <ddeItem name="6655.TW-SimulateTime" advise="1">
        <values>
          <value t="str">
            <val>13:29:31</val>
          </value>
        </values>
      </ddeItem>
      <ddeItem name="6666.TW-ID" advise="1">
        <values>
          <value t="str">
            <val>6666</val>
          </value>
        </values>
      </ddeItem>
      <ddeItem name="6666.TW-Name" advise="1">
        <values>
          <value t="str">
            <val>羅麗芬-KY</val>
          </value>
        </values>
      </ddeItem>
      <ddeItem name="6666.TW-PreClose" advise="1">
        <values>
          <value>
            <val>119</val>
          </value>
        </values>
      </ddeItem>
      <ddeItem name="6666.TW-Price" advise="1">
        <values>
          <value>
            <val>116</val>
          </value>
        </values>
      </ddeItem>
      <ddeItem name="6666.TW-SimulatePrice" advise="1">
        <values>
          <value>
            <val>116</val>
          </value>
        </values>
      </ddeItem>
      <ddeItem name="6666.TW-SimulateTime" advise="1">
        <values>
          <value t="str">
            <val>13:29:45</val>
          </value>
        </values>
      </ddeItem>
      <ddeItem name="6668.TW-ID" advise="1">
        <values>
          <value t="str">
            <val>6668</val>
          </value>
        </values>
      </ddeItem>
      <ddeItem name="6668.TW-Name" advise="1">
        <values>
          <value t="str">
            <val>中揚光</val>
          </value>
        </values>
      </ddeItem>
      <ddeItem name="6668.TW-PreClose" advise="1">
        <values>
          <value>
            <val>58.8</val>
          </value>
        </values>
      </ddeItem>
      <ddeItem name="6668.TW-Price" advise="1">
        <values>
          <value>
            <val>58.6</val>
          </value>
        </values>
      </ddeItem>
      <ddeItem name="6668.TW-SimulatePrice" advise="1">
        <values>
          <value>
            <val>58.6</val>
          </value>
        </values>
      </ddeItem>
      <ddeItem name="6668.TW-SimulateTime" advise="1">
        <values>
          <value t="str">
            <val>13:28:28</val>
          </value>
        </values>
      </ddeItem>
      <ddeItem name="6669.TW-ID" advise="1">
        <values>
          <value t="str">
            <val>6669</val>
          </value>
        </values>
      </ddeItem>
      <ddeItem name="6669.TW-Name" advise="1">
        <values>
          <value t="str">
            <val>緯穎</val>
          </value>
        </values>
      </ddeItem>
      <ddeItem name="6669.TW-PreClose" advise="1">
        <values>
          <value>
            <val>801</val>
          </value>
        </values>
      </ddeItem>
      <ddeItem name="6669.TW-Price" advise="1">
        <values>
          <value>
            <val>829</val>
          </value>
        </values>
      </ddeItem>
      <ddeItem name="6669.TW-SimulatePrice" advise="1">
        <values>
          <value>
            <val>829</val>
          </value>
        </values>
      </ddeItem>
      <ddeItem name="6669.TW-SimulateTime" advise="1">
        <values>
          <value t="str">
            <val>13:29:58</val>
          </value>
        </values>
      </ddeItem>
      <ddeItem name="6670.TW-ID" advise="1">
        <values>
          <value t="str">
            <val>6670</val>
          </value>
        </values>
      </ddeItem>
      <ddeItem name="6670.TW-Name" advise="1">
        <values>
          <value t="str">
            <val>復盛應用</val>
          </value>
        </values>
      </ddeItem>
      <ddeItem name="6670.TW-PreClose" advise="1">
        <values>
          <value>
            <val>151.5</val>
          </value>
        </values>
      </ddeItem>
      <ddeItem name="6670.TW-Price" advise="1">
        <values>
          <value>
            <val>151.5</val>
          </value>
        </values>
      </ddeItem>
      <ddeItem name="6670.TW-SimulatePrice" advise="1">
        <values>
          <value>
            <val>151.5</val>
          </value>
        </values>
      </ddeItem>
      <ddeItem name="6670.TW-SimulateTime" advise="1">
        <values>
          <value t="str">
            <val>13:29:45</val>
          </value>
        </values>
      </ddeItem>
      <ddeItem name="6671.TW-ID" advise="1">
        <values>
          <value t="str">
            <val>6671</val>
          </value>
        </values>
      </ddeItem>
      <ddeItem name="6671.TW-Name" advise="1">
        <values>
          <value t="str">
            <val>三能-KY</val>
          </value>
        </values>
      </ddeItem>
      <ddeItem name="6671.TW-PreClose" advise="1">
        <values>
          <value>
            <val>36.950000000000003</val>
          </value>
        </values>
      </ddeItem>
      <ddeItem name="6671.TW-Price" advise="1">
        <values>
          <value>
            <val>36.950000000000003</val>
          </value>
        </values>
      </ddeItem>
      <ddeItem name="6671.TW-SimulatePrice" advise="1">
        <values>
          <value t="str">
            <val>--</val>
          </value>
        </values>
      </ddeItem>
      <ddeItem name="6671.TW-SimulateTime" advise="1">
        <values>
          <value t="str">
            <val>--</val>
          </value>
        </values>
      </ddeItem>
      <ddeItem name="6672.TW-ID" advise="1">
        <values>
          <value t="str">
            <val>6672</val>
          </value>
        </values>
      </ddeItem>
      <ddeItem name="6672.TW-Name" advise="1">
        <values>
          <value t="str">
            <val>騰輝電子-KY</val>
          </value>
        </values>
      </ddeItem>
      <ddeItem name="6672.TW-PreClose" advise="1">
        <values>
          <value>
            <val>87.2</val>
          </value>
        </values>
      </ddeItem>
      <ddeItem name="6672.TW-Price" advise="1">
        <values>
          <value>
            <val>86.5</val>
          </value>
        </values>
      </ddeItem>
      <ddeItem name="6672.TW-SimulatePrice" advise="1">
        <values>
          <value>
            <val>86.5</val>
          </value>
        </values>
      </ddeItem>
      <ddeItem name="6672.TW-SimulateTime" advise="1">
        <values>
          <value t="str">
            <val>13:29:58</val>
          </value>
        </values>
      </ddeItem>
      <ddeItem name="6674.TW-ID" advise="1">
        <values>
          <value t="str">
            <val>6674</val>
          </value>
        </values>
      </ddeItem>
      <ddeItem name="6674.TW-Name" advise="1">
        <values>
          <value t="str">
            <val>鋐寶科技</val>
          </value>
        </values>
      </ddeItem>
      <ddeItem name="6674.TW-PreClose" advise="1">
        <values>
          <value>
            <val>25</val>
          </value>
        </values>
      </ddeItem>
      <ddeItem name="6674.TW-Price" advise="1">
        <values>
          <value>
            <val>23.8</val>
          </value>
        </values>
      </ddeItem>
      <ddeItem name="6674.TW-SimulatePrice" advise="1">
        <values>
          <value>
            <val>23.8</val>
          </value>
        </values>
      </ddeItem>
      <ddeItem name="6674.TW-SimulateTime" advise="1">
        <values>
          <value t="str">
            <val>13:29:53</val>
          </value>
        </values>
      </ddeItem>
      <ddeItem name="6698.TW-ID" advise="1">
        <values>
          <value t="str">
            <val>6698</val>
          </value>
        </values>
      </ddeItem>
      <ddeItem name="6698.TW-Name" advise="1">
        <values>
          <value t="str">
            <val>旭暉應材</val>
          </value>
        </values>
      </ddeItem>
      <ddeItem name="6698.TW-PreClose" advise="1">
        <values>
          <value>
            <val>53.5</val>
          </value>
        </values>
      </ddeItem>
      <ddeItem name="6698.TW-Price" advise="1">
        <values>
          <value>
            <val>52.8</val>
          </value>
        </values>
      </ddeItem>
      <ddeItem name="6698.TW-SimulatePrice" advise="1">
        <values>
          <value>
            <val>52.8</val>
          </value>
        </values>
      </ddeItem>
      <ddeItem name="6698.TW-SimulateTime" advise="1">
        <values>
          <value t="str">
            <val>13:29:54</val>
          </value>
        </values>
      </ddeItem>
      <ddeItem name="6706.TW-ID" advise="1">
        <values>
          <value t="str">
            <val>6706</val>
          </value>
        </values>
      </ddeItem>
      <ddeItem name="6706.TW-Name" advise="1">
        <values>
          <value t="str">
            <val>惠特</val>
          </value>
        </values>
      </ddeItem>
      <ddeItem name="6706.TW-PreClose" advise="1">
        <values>
          <value>
            <val>128</val>
          </value>
        </values>
      </ddeItem>
      <ddeItem name="6706.TW-Price" advise="1">
        <values>
          <value>
            <val>126</val>
          </value>
        </values>
      </ddeItem>
      <ddeItem name="6706.TW-SimulatePrice" advise="1">
        <values>
          <value>
            <val>126</val>
          </value>
        </values>
      </ddeItem>
      <ddeItem name="6706.TW-SimulateTime" advise="1">
        <values>
          <value t="str">
            <val>13:29:57</val>
          </value>
        </values>
      </ddeItem>
      <ddeItem name="6715.TW-ID" advise="1">
        <values>
          <value t="str">
            <val>6715</val>
          </value>
        </values>
      </ddeItem>
      <ddeItem name="6715.TW-Name" advise="1">
        <values>
          <value t="str">
            <val>嘉基</val>
          </value>
        </values>
      </ddeItem>
      <ddeItem name="6715.TW-PreClose" advise="1">
        <values>
          <value>
            <val>100.5</val>
          </value>
        </values>
      </ddeItem>
      <ddeItem name="6715.TW-Price" advise="1">
        <values>
          <value>
            <val>102</val>
          </value>
        </values>
      </ddeItem>
      <ddeItem name="6715.TW-SimulatePrice" advise="1">
        <values>
          <value>
            <val>102</val>
          </value>
        </values>
      </ddeItem>
      <ddeItem name="6715.TW-SimulateTime" advise="1">
        <values>
          <value t="str">
            <val>13:29:41</val>
          </value>
        </values>
      </ddeItem>
      <ddeItem name="8011.TW-ID" advise="1">
        <values>
          <value t="str">
            <val>8011</val>
          </value>
        </values>
      </ddeItem>
      <ddeItem name="8011.TW-Name" advise="1">
        <values>
          <value t="str">
            <val>台通</val>
          </value>
        </values>
      </ddeItem>
      <ddeItem name="8011.TW-PreClose" advise="1">
        <values>
          <value>
            <val>18.55</val>
          </value>
        </values>
      </ddeItem>
      <ddeItem name="8011.TW-Price" advise="1">
        <values>
          <value>
            <val>19.25</val>
          </value>
        </values>
      </ddeItem>
      <ddeItem name="8011.TW-SimulatePrice" advise="1">
        <values>
          <value>
            <val>19.25</val>
          </value>
        </values>
      </ddeItem>
      <ddeItem name="8011.TW-SimulateTime" advise="1">
        <values>
          <value t="str">
            <val>13:29:49</val>
          </value>
        </values>
      </ddeItem>
      <ddeItem name="8016.TW-ID" advise="1">
        <values>
          <value t="str">
            <val>8016</val>
          </value>
        </values>
      </ddeItem>
      <ddeItem name="8016.TW-Name" advise="1">
        <values>
          <value t="str">
            <val>矽創</val>
          </value>
        </values>
      </ddeItem>
      <ddeItem name="8016.TW-PreClose" advise="1">
        <values>
          <value>
            <val>143</val>
          </value>
        </values>
      </ddeItem>
      <ddeItem name="8016.TW-Price" advise="1">
        <values>
          <value>
            <val>142</val>
          </value>
        </values>
      </ddeItem>
      <ddeItem name="8016.TW-SimulatePrice" advise="1">
        <values>
          <value>
            <val>142</val>
          </value>
        </values>
      </ddeItem>
      <ddeItem name="8016.TW-SimulateTime" advise="1">
        <values>
          <value t="str">
            <val>13:29:59</val>
          </value>
        </values>
      </ddeItem>
      <ddeItem name="8021.TW-ID" advise="1">
        <values>
          <value t="str">
            <val>8021</val>
          </value>
        </values>
      </ddeItem>
      <ddeItem name="8021.TW-Name" advise="1">
        <values>
          <value t="str">
            <val>尖點</val>
          </value>
        </values>
      </ddeItem>
      <ddeItem name="8021.TW-PreClose" advise="1">
        <values>
          <value>
            <val>20.6</val>
          </value>
        </values>
      </ddeItem>
      <ddeItem name="8021.TW-Price" advise="1">
        <values>
          <value>
            <val>20.149999999999999</val>
          </value>
        </values>
      </ddeItem>
      <ddeItem name="8021.TW-SimulatePrice" advise="1">
        <values>
          <value>
            <val>20.149999999999999</val>
          </value>
        </values>
      </ddeItem>
      <ddeItem name="8021.TW-SimulateTime" advise="1">
        <values>
          <value t="str">
            <val>13:29:31</val>
          </value>
        </values>
      </ddeItem>
      <ddeItem name="8028.TW-ID" advise="1">
        <values>
          <value t="str">
            <val>8028</val>
          </value>
        </values>
      </ddeItem>
      <ddeItem name="8028.TW-Name" advise="1">
        <values>
          <value t="str">
            <val>昇陽半導體</val>
          </value>
        </values>
      </ddeItem>
      <ddeItem name="8028.TW-PreClose" advise="1">
        <values>
          <value>
            <val>48.85</val>
          </value>
        </values>
      </ddeItem>
      <ddeItem name="8028.TW-Price" advise="1">
        <values>
          <value>
            <val>47.75</val>
          </value>
        </values>
      </ddeItem>
      <ddeItem name="8028.TW-SimulatePrice" advise="1">
        <values>
          <value>
            <val>47.75</val>
          </value>
        </values>
      </ddeItem>
      <ddeItem name="8028.TW-SimulateTime" advise="1">
        <values>
          <value t="str">
            <val>13:29:56</val>
          </value>
        </values>
      </ddeItem>
      <ddeItem name="8033.TW-ID" advise="1">
        <values>
          <value t="str">
            <val>8033</val>
          </value>
        </values>
      </ddeItem>
      <ddeItem name="8033.TW-Name" advise="1">
        <values>
          <value t="str">
            <val>雷虎</val>
          </value>
        </values>
      </ddeItem>
      <ddeItem name="8033.TW-PreClose" advise="1">
        <values>
          <value>
            <val>7.49</val>
          </value>
        </values>
      </ddeItem>
      <ddeItem name="8033.TW-Price" advise="1">
        <values>
          <value>
            <val>8.15</val>
          </value>
        </values>
      </ddeItem>
      <ddeItem name="8033.TW-SimulatePrice" advise="1">
        <values>
          <value>
            <val>8.15</val>
          </value>
        </values>
      </ddeItem>
      <ddeItem name="8033.TW-SimulateTime" advise="1">
        <values>
          <value t="str">
            <val>13:29:53</val>
          </value>
        </values>
      </ddeItem>
      <ddeItem name="8039.TW-ID" advise="1">
        <values>
          <value t="str">
            <val>8039</val>
          </value>
        </values>
      </ddeItem>
      <ddeItem name="8039.TW-Name" advise="1">
        <values>
          <value t="str">
            <val>台虹</val>
          </value>
        </values>
      </ddeItem>
      <ddeItem name="8039.TW-PreClose" advise="1">
        <values>
          <value>
            <val>48.05</val>
          </value>
        </values>
      </ddeItem>
      <ddeItem name="8039.TW-Price" advise="1">
        <values>
          <value>
            <val>47.55</val>
          </value>
        </values>
      </ddeItem>
      <ddeItem name="8039.TW-SimulatePrice" advise="1">
        <values>
          <value>
            <val>47.55</val>
          </value>
        </values>
      </ddeItem>
      <ddeItem name="8039.TW-SimulateTime" advise="1">
        <values>
          <value t="str">
            <val>13:29:56</val>
          </value>
        </values>
      </ddeItem>
      <ddeItem name="8046.TW-ID" advise="1">
        <values>
          <value t="str">
            <val>8046</val>
          </value>
        </values>
      </ddeItem>
      <ddeItem name="8046.TW-Name" advise="1">
        <values>
          <value t="str">
            <val>南電</val>
          </value>
        </values>
      </ddeItem>
      <ddeItem name="8046.TW-PreClose" advise="1">
        <values>
          <value>
            <val>70.5</val>
          </value>
        </values>
      </ddeItem>
      <ddeItem name="8046.TW-Price" advise="1">
        <values>
          <value>
            <val>69.900000000000006</val>
          </value>
        </values>
      </ddeItem>
      <ddeItem name="8046.TW-SimulatePrice" advise="1">
        <values>
          <value>
            <val>70</val>
          </value>
        </values>
      </ddeItem>
      <ddeItem name="8046.TW-SimulateTime" advise="1">
        <values>
          <value t="str">
            <val>13:29:55</val>
          </value>
        </values>
      </ddeItem>
      <ddeItem name="8070.TW-ID" advise="1">
        <values>
          <value t="str">
            <val>8070</val>
          </value>
        </values>
      </ddeItem>
      <ddeItem name="8070.TW-Name" advise="1">
        <values>
          <value t="str">
            <val>長華</val>
          </value>
        </values>
      </ddeItem>
      <ddeItem name="8070.TW-PreClose" advise="1">
        <values>
          <value>
            <val>155</val>
          </value>
        </values>
      </ddeItem>
      <ddeItem name="8070.TW-Price" advise="1">
        <values>
          <value>
            <val>153</val>
          </value>
        </values>
      </ddeItem>
      <ddeItem name="8070.TW-SimulatePrice" advise="1">
        <values>
          <value t="str">
            <val>--</val>
          </value>
        </values>
      </ddeItem>
      <ddeItem name="8070.TW-SimulateTime" advise="1">
        <values>
          <value t="str">
            <val>--</val>
          </value>
        </values>
      </ddeItem>
      <ddeItem name="8072.TW-ID" advise="1">
        <values>
          <value t="str">
            <val>8072</val>
          </value>
        </values>
      </ddeItem>
      <ddeItem name="8072.TW-Name" advise="1">
        <values>
          <value t="str">
            <val>陞泰</val>
          </value>
        </values>
      </ddeItem>
      <ddeItem name="8072.TW-PreClose" advise="1">
        <values>
          <value>
            <val>21.25</val>
          </value>
        </values>
      </ddeItem>
      <ddeItem name="8072.TW-Price" advise="1">
        <values>
          <value>
            <val>21.4</val>
          </value>
        </values>
      </ddeItem>
      <ddeItem name="8072.TW-SimulatePrice" advise="1">
        <values>
          <value>
            <val>21.4</val>
          </value>
        </values>
      </ddeItem>
      <ddeItem name="8072.TW-SimulateTime" advise="1">
        <values>
          <value t="str">
            <val>13:29:36</val>
          </value>
        </values>
      </ddeItem>
      <ddeItem name="8081.TW-ID" advise="1">
        <values>
          <value t="str">
            <val>8081</val>
          </value>
        </values>
      </ddeItem>
      <ddeItem name="8081.TW-Name" advise="1">
        <values>
          <value t="str">
            <val>致新</val>
          </value>
        </values>
      </ddeItem>
      <ddeItem name="8081.TW-PreClose" advise="1">
        <values>
          <value>
            <val>133.5</val>
          </value>
        </values>
      </ddeItem>
      <ddeItem name="8081.TW-Price" advise="1">
        <values>
          <value>
            <val>139</val>
          </value>
        </values>
      </ddeItem>
      <ddeItem name="8081.TW-SimulatePrice" advise="1">
        <values>
          <value>
            <val>139</val>
          </value>
        </values>
      </ddeItem>
      <ddeItem name="8081.TW-SimulateTime" advise="1">
        <values>
          <value t="str">
            <val>13:29:58</val>
          </value>
        </values>
      </ddeItem>
      <ddeItem name="8101.TW-ID" advise="1">
        <values>
          <value t="str">
            <val>8101</val>
          </value>
        </values>
      </ddeItem>
      <ddeItem name="8101.TW-Name" advise="1">
        <values>
          <value t="str">
            <val>華冠</val>
          </value>
        </values>
      </ddeItem>
      <ddeItem name="8101.TW-PreClose" advise="1">
        <values>
          <value>
            <val>5.85</val>
          </value>
        </values>
      </ddeItem>
      <ddeItem name="8101.TW-Price" advise="1">
        <values>
          <value>
            <val>5.61</val>
          </value>
        </values>
      </ddeItem>
      <ddeItem name="8101.TW-SimulatePrice" advise="1">
        <values>
          <value>
            <val>5.61</val>
          </value>
        </values>
      </ddeItem>
      <ddeItem name="8101.TW-SimulateTime" advise="1">
        <values>
          <value t="str">
            <val>13:29:55</val>
          </value>
        </values>
      </ddeItem>
      <ddeItem name="8103.TW-ID" advise="1">
        <values>
          <value t="str">
            <val>8103</val>
          </value>
        </values>
      </ddeItem>
      <ddeItem name="8103.TW-Name" advise="1">
        <values>
          <value t="str">
            <val>瀚荃</val>
          </value>
        </values>
      </ddeItem>
      <ddeItem name="8103.TW-PreClose" advise="1">
        <values>
          <value>
            <val>24.1</val>
          </value>
        </values>
      </ddeItem>
      <ddeItem name="8103.TW-Price" advise="1">
        <values>
          <value>
            <val>23.95</val>
          </value>
        </values>
      </ddeItem>
      <ddeItem name="8103.TW-SimulatePrice" advise="1">
        <values>
          <value>
            <val>23.95</val>
          </value>
        </values>
      </ddeItem>
      <ddeItem name="8103.TW-SimulateTime" advise="1">
        <values>
          <value t="str">
            <val>13:29:05</val>
          </value>
        </values>
      </ddeItem>
      <ddeItem name="8104.TW-ID" advise="1">
        <values>
          <value t="str">
            <val>8104</val>
          </value>
        </values>
      </ddeItem>
      <ddeItem name="8104.TW-Name" advise="1">
        <values>
          <value t="str">
            <val>錸寶</val>
          </value>
        </values>
      </ddeItem>
      <ddeItem name="8104.TW-PreClose" advise="1">
        <values>
          <value>
            <val>40.549999999999997</val>
          </value>
        </values>
      </ddeItem>
      <ddeItem name="8104.TW-Price" advise="1">
        <values>
          <value>
            <val>40</val>
          </value>
        </values>
      </ddeItem>
      <ddeItem name="8104.TW-SimulatePrice" advise="1">
        <values>
          <value>
            <val>40</val>
          </value>
        </values>
      </ddeItem>
      <ddeItem name="8104.TW-SimulateTime" advise="1">
        <values>
          <value t="str">
            <val>13:29:58</val>
          </value>
        </values>
      </ddeItem>
      <ddeItem name="8105.TW-ID" advise="1">
        <values>
          <value t="str">
            <val>8105</val>
          </value>
        </values>
      </ddeItem>
      <ddeItem name="8105.TW-Name" advise="1">
        <values>
          <value t="str">
            <val>凌巨</val>
          </value>
        </values>
      </ddeItem>
      <ddeItem name="8105.TW-PreClose" advise="1">
        <values>
          <value>
            <val>9.0500000000000007</val>
          </value>
        </values>
      </ddeItem>
      <ddeItem name="8105.TW-Price" advise="1">
        <values>
          <value>
            <val>8.92</val>
          </value>
        </values>
      </ddeItem>
      <ddeItem name="8105.TW-SimulatePrice" advise="1">
        <values>
          <value>
            <val>8.94</val>
          </value>
        </values>
      </ddeItem>
      <ddeItem name="8105.TW-SimulateTime" advise="1">
        <values>
          <value t="str">
            <val>13:29:46</val>
          </value>
        </values>
      </ddeItem>
      <ddeItem name="8110.TW-ID" advise="1">
        <values>
          <value t="str">
            <val>8110</val>
          </value>
        </values>
      </ddeItem>
      <ddeItem name="8110.TW-Name" advise="1">
        <values>
          <value t="str">
            <val>華東</val>
          </value>
        </values>
      </ddeItem>
      <ddeItem name="8110.TW-PreClose" advise="1">
        <values>
          <value>
            <val>10.15</val>
          </value>
        </values>
      </ddeItem>
      <ddeItem name="8110.TW-Price" advise="1">
        <values>
          <value>
            <val>9.9</val>
          </value>
        </values>
      </ddeItem>
      <ddeItem name="8110.TW-SimulatePrice" advise="1">
        <values>
          <value>
            <val>9.9</val>
          </value>
        </values>
      </ddeItem>
      <ddeItem name="8110.TW-SimulateTime" advise="1">
        <values>
          <value t="str">
            <val>13:29:58</val>
          </value>
        </values>
      </ddeItem>
      <ddeItem name="8112.TW-ID" advise="1">
        <values>
          <value t="str">
            <val>8112</val>
          </value>
        </values>
      </ddeItem>
      <ddeItem name="8112.TW-Name" advise="1">
        <values>
          <value t="str">
            <val>至上</val>
          </value>
        </values>
      </ddeItem>
      <ddeItem name="8112.TW-PreClose" advise="1">
        <values>
          <value>
            <val>31.35</val>
          </value>
        </values>
      </ddeItem>
      <ddeItem name="8112.TW-Price" advise="1">
        <values>
          <value>
            <val>30.7</val>
          </value>
        </values>
      </ddeItem>
      <ddeItem name="8112.TW-SimulatePrice" advise="1">
        <values>
          <value>
            <val>30.75</val>
          </value>
        </values>
      </ddeItem>
      <ddeItem name="8112.TW-SimulateTime" advise="1">
        <values>
          <value t="str">
            <val>13:29:57</val>
          </value>
        </values>
      </ddeItem>
      <ddeItem name="8114.TW-ID" advise="1">
        <values>
          <value t="str">
            <val>8114</val>
          </value>
        </values>
      </ddeItem>
      <ddeItem name="8114.TW-Name" advise="1">
        <values>
          <value t="str">
            <val>振樺電</val>
          </value>
        </values>
      </ddeItem>
      <ddeItem name="8114.TW-PreClose" advise="1">
        <values>
          <value>
            <val>89.9</val>
          </value>
        </values>
      </ddeItem>
      <ddeItem name="8114.TW-Price" advise="1">
        <values>
          <value>
            <val>88.1</val>
          </value>
        </values>
      </ddeItem>
      <ddeItem name="8114.TW-SimulatePrice" advise="1">
        <values>
          <value>
            <val>88.1</val>
          </value>
        </values>
      </ddeItem>
      <ddeItem name="8114.TW-SimulateTime" advise="1">
        <values>
          <value t="str">
            <val>13:29:55</val>
          </value>
        </values>
      </ddeItem>
      <ddeItem name="8131.TW-ID" advise="1">
        <values>
          <value t="str">
            <val>8131</val>
          </value>
        </values>
      </ddeItem>
      <ddeItem name="8131.TW-Name" advise="1">
        <values>
          <value t="str">
            <val>福懋科</val>
          </value>
        </values>
      </ddeItem>
      <ddeItem name="8131.TW-PreClose" advise="1">
        <values>
          <value>
            <val>37.200000000000003</val>
          </value>
        </values>
      </ddeItem>
      <ddeItem name="8131.TW-Price" advise="1">
        <values>
          <value>
            <val>37.299999999999997</val>
          </value>
        </values>
      </ddeItem>
      <ddeItem name="8131.TW-SimulatePrice" advise="1">
        <values>
          <value>
            <val>37.299999999999997</val>
          </value>
        </values>
      </ddeItem>
      <ddeItem name="8131.TW-SimulateTime" advise="1">
        <values>
          <value t="str">
            <val>13:29:57</val>
          </value>
        </values>
      </ddeItem>
      <ddeItem name="8150.TW-ID" advise="1">
        <values>
          <value t="str">
            <val>8150</val>
          </value>
        </values>
      </ddeItem>
      <ddeItem name="8150.TW-Name" advise="1">
        <values>
          <value t="str">
            <val>南茂</val>
          </value>
        </values>
      </ddeItem>
      <ddeItem name="8150.TW-PreClose" advise="1">
        <values>
          <value>
            <val>31.15</val>
          </value>
        </values>
      </ddeItem>
      <ddeItem name="8150.TW-Price" advise="1">
        <values>
          <value>
            <val>30.8</val>
          </value>
        </values>
      </ddeItem>
      <ddeItem name="8150.TW-SimulatePrice" advise="1">
        <values>
          <value>
            <val>30.8</val>
          </value>
        </values>
      </ddeItem>
      <ddeItem name="8150.TW-SimulateTime" advise="1">
        <values>
          <value t="str">
            <val>13:29:56</val>
          </value>
        </values>
      </ddeItem>
      <ddeItem name="8163.TW-ID" advise="1">
        <values>
          <value t="str">
            <val>8163</val>
          </value>
        </values>
      </ddeItem>
      <ddeItem name="8163.TW-Name" advise="1">
        <values>
          <value t="str">
            <val>達方</val>
          </value>
        </values>
      </ddeItem>
      <ddeItem name="8163.TW-PreClose" advise="1">
        <values>
          <value>
            <val>36.200000000000003</val>
          </value>
        </values>
      </ddeItem>
      <ddeItem name="8163.TW-Price" advise="1">
        <values>
          <value>
            <val>35.799999999999997</val>
          </value>
        </values>
      </ddeItem>
      <ddeItem name="8163.TW-SimulatePrice" advise="1">
        <values>
          <value>
            <val>35.799999999999997</val>
          </value>
        </values>
      </ddeItem>
      <ddeItem name="8163.TW-SimulateTime" advise="1">
        <values>
          <value t="str">
            <val>13:29:57</val>
          </value>
        </values>
      </ddeItem>
      <ddeItem name="8201.TW-ID" advise="1">
        <values>
          <value t="str">
            <val>8201</val>
          </value>
        </values>
      </ddeItem>
      <ddeItem name="8201.TW-Name" advise="1">
        <values>
          <value t="str">
            <val>無敵</val>
          </value>
        </values>
      </ddeItem>
      <ddeItem name="8201.TW-PreClose" advise="1">
        <values>
          <value>
            <val>8.27</val>
          </value>
        </values>
      </ddeItem>
      <ddeItem name="8201.TW-Price" advise="1">
        <values>
          <value>
            <val>8.33</val>
          </value>
        </values>
      </ddeItem>
      <ddeItem name="8201.TW-SimulatePrice" advise="1">
        <values>
          <value>
            <val>8.33</val>
          </value>
        </values>
      </ddeItem>
      <ddeItem name="8201.TW-SimulateTime" advise="1">
        <values>
          <value t="str">
            <val>13:29:43</val>
          </value>
        </values>
      </ddeItem>
      <ddeItem name="8210.TW-ID" advise="1">
        <values>
          <value t="str">
            <val>8210</val>
          </value>
        </values>
      </ddeItem>
      <ddeItem name="8210.TW-Name" advise="1">
        <values>
          <value t="str">
            <val>勤誠</val>
          </value>
        </values>
      </ddeItem>
      <ddeItem name="8210.TW-PreClose" advise="1">
        <values>
          <value>
            <val>89.7</val>
          </value>
        </values>
      </ddeItem>
      <ddeItem name="8210.TW-Price" advise="1">
        <values>
          <value>
            <val>91.4</val>
          </value>
        </values>
      </ddeItem>
      <ddeItem name="8210.TW-SimulatePrice" advise="1">
        <values>
          <value>
            <val>91.4</val>
          </value>
        </values>
      </ddeItem>
      <ddeItem name="8210.TW-SimulateTime" advise="1">
        <values>
          <value t="str">
            <val>13:29:56</val>
          </value>
        </values>
      </ddeItem>
      <ddeItem name="8213.TW-ID" advise="1">
        <values>
          <value t="str">
            <val>8213</val>
          </value>
        </values>
      </ddeItem>
      <ddeItem name="8213.TW-Name" advise="1">
        <values>
          <value t="str">
            <val>志超</val>
          </value>
        </values>
      </ddeItem>
      <ddeItem name="8213.TW-PreClose" advise="1">
        <values>
          <value>
            <val>34.549999999999997</val>
          </value>
        </values>
      </ddeItem>
      <ddeItem name="8213.TW-Price" advise="1">
        <values>
          <value>
            <val>34.950000000000003</val>
          </value>
        </values>
      </ddeItem>
      <ddeItem name="8213.TW-SimulatePrice" advise="1">
        <values>
          <value>
            <val>34.9</val>
          </value>
        </values>
      </ddeItem>
      <ddeItem name="8213.TW-SimulateTime" advise="1">
        <values>
          <value t="str">
            <val>13:29:51</val>
          </value>
        </values>
      </ddeItem>
      <ddeItem name="8215.TW-ID" advise="1">
        <values>
          <value t="str">
            <val>8215</val>
          </value>
        </values>
      </ddeItem>
      <ddeItem name="8215.TW-Name" advise="1">
        <values>
          <value t="str">
            <val>明基材</val>
          </value>
        </values>
      </ddeItem>
      <ddeItem name="8215.TW-PreClose" advise="1">
        <values>
          <value>
            <val>16.3</val>
          </value>
        </values>
      </ddeItem>
      <ddeItem name="8215.TW-Price" advise="1">
        <values>
          <value>
            <val>16.100000000000001</val>
          </value>
        </values>
      </ddeItem>
      <ddeItem name="8215.TW-SimulatePrice" advise="1">
        <values>
          <value>
            <val>16.100000000000001</val>
          </value>
        </values>
      </ddeItem>
      <ddeItem name="8215.TW-SimulateTime" advise="1">
        <values>
          <value t="str">
            <val>13:29:51</val>
          </value>
        </values>
      </ddeItem>
      <ddeItem name="8222.TW-ID" advise="1">
        <values>
          <value t="str">
            <val>8222</val>
          </value>
        </values>
      </ddeItem>
      <ddeItem name="8222.TW-Name" advise="1">
        <values>
          <value t="str">
            <val>寶一</val>
          </value>
        </values>
      </ddeItem>
      <ddeItem name="8222.TW-PreClose" advise="1">
        <values>
          <value>
            <val>13.3</val>
          </value>
        </values>
      </ddeItem>
      <ddeItem name="8222.TW-Price" advise="1">
        <values>
          <value>
            <val>13.25</val>
          </value>
        </values>
      </ddeItem>
      <ddeItem name="8222.TW-SimulatePrice" advise="1">
        <values>
          <value t="str">
            <val>--</val>
          </value>
        </values>
      </ddeItem>
      <ddeItem name="8222.TW-SimulateTime" advise="1">
        <values>
          <value t="str">
            <val>--</val>
          </value>
        </values>
      </ddeItem>
      <ddeItem name="8249.TW-ID" advise="1">
        <values>
          <value t="str">
            <val>8249</val>
          </value>
        </values>
      </ddeItem>
      <ddeItem name="8249.TW-Name" advise="1">
        <values>
          <value t="str">
            <val>菱光</val>
          </value>
        </values>
      </ddeItem>
      <ddeItem name="8249.TW-PreClose" advise="1">
        <values>
          <value>
            <val>18.55</val>
          </value>
        </values>
      </ddeItem>
      <ddeItem name="8249.TW-Price" advise="1">
        <values>
          <value>
            <val>18.399999999999999</val>
          </value>
        </values>
      </ddeItem>
      <ddeItem name="8249.TW-SimulatePrice" advise="1">
        <values>
          <value>
            <val>18.399999999999999</val>
          </value>
        </values>
      </ddeItem>
      <ddeItem name="8249.TW-SimulateTime" advise="1">
        <values>
          <value t="str">
            <val>13:29:51</val>
          </value>
        </values>
      </ddeItem>
      <ddeItem name="8261.TW-ID" advise="1">
        <values>
          <value t="str">
            <val>8261</val>
          </value>
        </values>
      </ddeItem>
      <ddeItem name="8261.TW-Name" advise="1">
        <values>
          <value t="str">
            <val>富鼎</val>
          </value>
        </values>
      </ddeItem>
      <ddeItem name="8261.TW-PreClose" advise="1">
        <values>
          <value>
            <val>24.7</val>
          </value>
        </values>
      </ddeItem>
      <ddeItem name="8261.TW-Price" advise="1">
        <values>
          <value>
            <val>24.3</val>
          </value>
        </values>
      </ddeItem>
      <ddeItem name="8261.TW-SimulatePrice" advise="1">
        <values>
          <value>
            <val>24.3</val>
          </value>
        </values>
      </ddeItem>
      <ddeItem name="8261.TW-SimulateTime" advise="1">
        <values>
          <value t="str">
            <val>13:29:39</val>
          </value>
        </values>
      </ddeItem>
      <ddeItem name="8271.TW-ID" advise="1">
        <values>
          <value t="str">
            <val>8271</val>
          </value>
        </values>
      </ddeItem>
      <ddeItem name="8271.TW-Name" advise="1">
        <values>
          <value t="str">
            <val>宇瞻</val>
          </value>
        </values>
      </ddeItem>
      <ddeItem name="8271.TW-PreClose" advise="1">
        <values>
          <value>
            <val>47.4</val>
          </value>
        </values>
      </ddeItem>
      <ddeItem name="8271.TW-Price" advise="1">
        <values>
          <value>
            <val>47.95</val>
          </value>
        </values>
      </ddeItem>
      <ddeItem name="8271.TW-SimulatePrice" advise="1">
        <values>
          <value>
            <val>47.95</val>
          </value>
        </values>
      </ddeItem>
      <ddeItem name="8271.TW-SimulateTime" advise="1">
        <values>
          <value t="str">
            <val>13:29:50</val>
          </value>
        </values>
      </ddeItem>
      <ddeItem name="8341.TW-ID" advise="1">
        <values>
          <value t="str">
            <val>8341</val>
          </value>
        </values>
      </ddeItem>
      <ddeItem name="8341.TW-Name" advise="1">
        <values>
          <value t="str">
            <val>日友</val>
          </value>
        </values>
      </ddeItem>
      <ddeItem name="8341.TW-PreClose" advise="1">
        <values>
          <value>
            <val>260</val>
          </value>
        </values>
      </ddeItem>
      <ddeItem name="8341.TW-Price" advise="1">
        <values>
          <value>
            <val>271</val>
          </value>
        </values>
      </ddeItem>
      <ddeItem name="8341.TW-SimulatePrice" advise="1">
        <values>
          <value>
            <val>271</val>
          </value>
        </values>
      </ddeItem>
      <ddeItem name="8341.TW-SimulateTime" advise="1">
        <values>
          <value t="str">
            <val>13:29:59</val>
          </value>
        </values>
      </ddeItem>
      <ddeItem name="8367.TW-ID" advise="1">
        <values>
          <value t="str">
            <val>8367</val>
          </value>
        </values>
      </ddeItem>
      <ddeItem name="8367.TW-Name" advise="1">
        <values>
          <value t="str">
            <val>建新國際</val>
          </value>
        </values>
      </ddeItem>
      <ddeItem name="8367.TW-PreClose" advise="1">
        <values>
          <value>
            <val>24.85</val>
          </value>
        </values>
      </ddeItem>
      <ddeItem name="8367.TW-Price" advise="1">
        <values>
          <value>
            <val>25.45</val>
          </value>
        </values>
      </ddeItem>
      <ddeItem name="8367.TW-SimulatePrice" advise="1">
        <values>
          <value t="str">
            <val>--</val>
          </value>
        </values>
      </ddeItem>
      <ddeItem name="8367.TW-SimulateTime" advise="1">
        <values>
          <value t="str">
            <val>--</val>
          </value>
        </values>
      </ddeItem>
      <ddeItem name="8374.TW-ID" advise="1">
        <values>
          <value t="str">
            <val>8374</val>
          </value>
        </values>
      </ddeItem>
      <ddeItem name="8374.TW-Name" advise="1">
        <values>
          <value t="str">
            <val>羅昇</val>
          </value>
        </values>
      </ddeItem>
      <ddeItem name="8374.TW-PreClose" advise="1">
        <values>
          <value>
            <val>20.350000000000001</val>
          </value>
        </values>
      </ddeItem>
      <ddeItem name="8374.TW-Price" advise="1">
        <values>
          <value>
            <val>20.85</val>
          </value>
        </values>
      </ddeItem>
      <ddeItem name="8374.TW-SimulatePrice" advise="1">
        <values>
          <value>
            <val>20.85</val>
          </value>
        </values>
      </ddeItem>
      <ddeItem name="8374.TW-SimulateTime" advise="1">
        <values>
          <value t="str">
            <val>13:29:38</val>
          </value>
        </values>
      </ddeItem>
      <ddeItem name="8404.TW-ID" advise="1">
        <values>
          <value t="str">
            <val>8404</val>
          </value>
        </values>
      </ddeItem>
      <ddeItem name="8404.TW-Name" advise="1">
        <values>
          <value t="str">
            <val>百和興業-KY</val>
          </value>
        </values>
      </ddeItem>
      <ddeItem name="8404.TW-PreClose" advise="1">
        <values>
          <value>
            <val>29.4</val>
          </value>
        </values>
      </ddeItem>
      <ddeItem name="8404.TW-Price" advise="1">
        <values>
          <value>
            <val>28.5</val>
          </value>
        </values>
      </ddeItem>
      <ddeItem name="8404.TW-SimulatePrice" advise="1">
        <values>
          <value>
            <val>28.55</val>
          </value>
        </values>
      </ddeItem>
      <ddeItem name="8404.TW-SimulateTime" advise="1">
        <values>
          <value t="str">
            <val>13:29:52</val>
          </value>
        </values>
      </ddeItem>
      <ddeItem name="8411.TW-ID" advise="1">
        <values>
          <value t="str">
            <val>8411</val>
          </value>
        </values>
      </ddeItem>
      <ddeItem name="8411.TW-Name" advise="1">
        <values>
          <value t="str">
            <val>福貞-KY</val>
          </value>
        </values>
      </ddeItem>
      <ddeItem name="8411.TW-PreClose" advise="1">
        <values>
          <value>
            <val>10.6</val>
          </value>
        </values>
      </ddeItem>
      <ddeItem name="8411.TW-Price" advise="1">
        <values>
          <value>
            <val>10.6</val>
          </value>
        </values>
      </ddeItem>
      <ddeItem name="8411.TW-SimulatePrice" advise="1">
        <values>
          <value>
            <val>10.6</val>
          </value>
        </values>
      </ddeItem>
      <ddeItem name="8411.TW-SimulateTime" advise="1">
        <values>
          <value t="str">
            <val>13:29:03</val>
          </value>
        </values>
      </ddeItem>
      <ddeItem name="8422.TW-ID" advise="1">
        <values>
          <value t="str">
            <val>8422</val>
          </value>
        </values>
      </ddeItem>
      <ddeItem name="8422.TW-Name" advise="1">
        <values>
          <value t="str">
            <val>可寧衛</val>
          </value>
        </values>
      </ddeItem>
      <ddeItem name="8422.TW-PreClose" advise="1">
        <values>
          <value>
            <val>153.5</val>
          </value>
        </values>
      </ddeItem>
      <ddeItem name="8422.TW-Price" advise="1">
        <values>
          <value>
            <val>153.5</val>
          </value>
        </values>
      </ddeItem>
      <ddeItem name="8422.TW-SimulatePrice" advise="1">
        <values>
          <value>
            <val>153.5</val>
          </value>
        </values>
      </ddeItem>
      <ddeItem name="8422.TW-SimulateTime" advise="1">
        <values>
          <value t="str">
            <val>13:28:52</val>
          </value>
        </values>
      </ddeItem>
      <ddeItem name="8427.TW-ID" advise="1">
        <values>
          <value t="str">
            <val>8427</val>
          </value>
        </values>
      </ddeItem>
      <ddeItem name="8427.TW-Name" advise="1">
        <values>
          <value t="str">
            <val>基勝-KY</val>
          </value>
        </values>
      </ddeItem>
      <ddeItem name="8427.TW-PreClose" advise="1">
        <values>
          <value>
            <val>49.2</val>
          </value>
        </values>
      </ddeItem>
      <ddeItem name="8427.TW-Price" advise="1">
        <values>
          <value>
            <val>49.2</val>
          </value>
        </values>
      </ddeItem>
      <ddeItem name="8427.TW-SimulatePrice" advise="1">
        <values>
          <value>
            <val>49.2</val>
          </value>
        </values>
      </ddeItem>
      <ddeItem name="8427.TW-SimulateTime" advise="1">
        <values>
          <value t="str">
            <val>13:28:52</val>
          </value>
        </values>
      </ddeItem>
      <ddeItem name="8429.TW-ID" advise="1">
        <values>
          <value t="str">
            <val>8429</val>
          </value>
        </values>
      </ddeItem>
      <ddeItem name="8429.TW-Name" advise="1">
        <values>
          <value t="str">
            <val>金麗-KY</val>
          </value>
        </values>
      </ddeItem>
      <ddeItem name="8429.TW-PreClose" advise="1">
        <values>
          <value>
            <val>7.22</val>
          </value>
        </values>
      </ddeItem>
      <ddeItem name="8429.TW-Price" advise="1">
        <values>
          <value>
            <val>7.1</val>
          </value>
        </values>
      </ddeItem>
      <ddeItem name="8429.TW-SimulatePrice" advise="1">
        <values>
          <value>
            <val>7.1</val>
          </value>
        </values>
      </ddeItem>
      <ddeItem name="8429.TW-SimulateTime" advise="1">
        <values>
          <value t="str">
            <val>13:29:52</val>
          </value>
        </values>
      </ddeItem>
      <ddeItem name="8442.TW-ID" advise="1">
        <values>
          <value t="str">
            <val>8442</val>
          </value>
        </values>
      </ddeItem>
      <ddeItem name="8442.TW-Name" advise="1">
        <values>
          <value t="str">
            <val>威宏-KY</val>
          </value>
        </values>
      </ddeItem>
      <ddeItem name="8442.TW-PreClose" advise="1">
        <values>
          <value>
            <val>42.3</val>
          </value>
        </values>
      </ddeItem>
      <ddeItem name="8442.TW-Price" advise="1">
        <values>
          <value>
            <val>42.4</val>
          </value>
        </values>
      </ddeItem>
      <ddeItem name="8442.TW-SimulatePrice" advise="1">
        <values>
          <value>
            <val>42.4</val>
          </value>
        </values>
      </ddeItem>
      <ddeItem name="8442.TW-SimulateTime" advise="1">
        <values>
          <value t="str">
            <val>13:29:59</val>
          </value>
        </values>
      </ddeItem>
      <ddeItem name="8443.TW-ID" advise="1">
        <values>
          <value t="str">
            <val>8443</val>
          </value>
        </values>
      </ddeItem>
      <ddeItem name="8443.TW-Name" advise="1">
        <values>
          <value t="str">
            <val>阿瘦</val>
          </value>
        </values>
      </ddeItem>
      <ddeItem name="8443.TW-PreClose" advise="1">
        <values>
          <value>
            <val>8.6</val>
          </value>
        </values>
      </ddeItem>
      <ddeItem name="8443.TW-Price" advise="1">
        <values>
          <value>
            <val>8.64</val>
          </value>
        </values>
      </ddeItem>
      <ddeItem name="8443.TW-SimulatePrice" advise="1">
        <values>
          <value t="str">
            <val>--</val>
          </value>
        </values>
      </ddeItem>
      <ddeItem name="8443.TW-SimulateTime" advise="1">
        <values>
          <value t="str">
            <val>--</val>
          </value>
        </values>
      </ddeItem>
      <ddeItem name="8454.TW-ID" advise="1">
        <values>
          <value t="str">
            <val>8454</val>
          </value>
        </values>
      </ddeItem>
      <ddeItem name="8454.TW-Name" advise="1">
        <values>
          <value t="str">
            <val>富邦媒</val>
          </value>
        </values>
      </ddeItem>
      <ddeItem name="8454.TW-PreClose" advise="1">
        <values>
          <value>
            <val>482</val>
          </value>
        </values>
      </ddeItem>
      <ddeItem name="8454.TW-Price" advise="1">
        <values>
          <value>
            <val>489.5</val>
          </value>
        </values>
      </ddeItem>
      <ddeItem name="8454.TW-SimulatePrice" advise="1">
        <values>
          <value>
            <val>489.5</val>
          </value>
        </values>
      </ddeItem>
      <ddeItem name="8454.TW-SimulateTime" advise="1">
        <values>
          <value t="str">
            <val>13:29:59</val>
          </value>
        </values>
      </ddeItem>
      <ddeItem name="8462.TW-ID" advise="1">
        <values>
          <value t="str">
            <val>8462</val>
          </value>
        </values>
      </ddeItem>
      <ddeItem name="8462.TW-Name" advise="1">
        <values>
          <value t="str">
            <val>柏文</val>
          </value>
        </values>
      </ddeItem>
      <ddeItem name="8462.TW-PreClose" advise="1">
        <values>
          <value>
            <val>176</val>
          </value>
        </values>
      </ddeItem>
      <ddeItem name="8462.TW-Price" advise="1">
        <values>
          <value>
            <val>179</val>
          </value>
        </values>
      </ddeItem>
      <ddeItem name="8462.TW-SimulatePrice" advise="1">
        <values>
          <value>
            <val>179</val>
          </value>
        </values>
      </ddeItem>
      <ddeItem name="8462.TW-SimulateTime" advise="1">
        <values>
          <value t="str">
            <val>13:29:59</val>
          </value>
        </values>
      </ddeItem>
      <ddeItem name="8463.TW-ID" advise="1">
        <values>
          <value t="str">
            <val>8463</val>
          </value>
        </values>
      </ddeItem>
      <ddeItem name="8463.TW-Name" advise="1">
        <values>
          <value t="str">
            <val>潤泰材</val>
          </value>
        </values>
      </ddeItem>
      <ddeItem name="8463.TW-PreClose" advise="1">
        <values>
          <value>
            <val>38.9</val>
          </value>
        </values>
      </ddeItem>
      <ddeItem name="8463.TW-Price" advise="1">
        <values>
          <value>
            <val>38.4</val>
          </value>
        </values>
      </ddeItem>
      <ddeItem name="8463.TW-SimulatePrice" advise="1">
        <values>
          <value>
            <val>38.4</val>
          </value>
        </values>
      </ddeItem>
      <ddeItem name="8463.TW-SimulateTime" advise="1">
        <values>
          <value t="str">
            <val>13:29:30</val>
          </value>
        </values>
      </ddeItem>
      <ddeItem name="8464.TW-ID" advise="1">
        <values>
          <value t="str">
            <val>8464</val>
          </value>
        </values>
      </ddeItem>
      <ddeItem name="8464.TW-Name" advise="1">
        <values>
          <value t="str">
            <val>億豐</val>
          </value>
        </values>
      </ddeItem>
      <ddeItem name="8464.TW-PreClose" advise="1">
        <values>
          <value>
            <val>236</val>
          </value>
        </values>
      </ddeItem>
      <ddeItem name="8464.TW-Price" advise="1">
        <values>
          <value>
            <val>239</val>
          </value>
        </values>
      </ddeItem>
      <ddeItem name="8464.TW-SimulatePrice" advise="1">
        <values>
          <value>
            <val>239</val>
          </value>
        </values>
      </ddeItem>
      <ddeItem name="8464.TW-SimulateTime" advise="1">
        <values>
          <value t="str">
            <val>13:29:57</val>
          </value>
        </values>
      </ddeItem>
      <ddeItem name="8466.TW-ID" advise="1">
        <values>
          <value t="str">
            <val>8466</val>
          </value>
        </values>
      </ddeItem>
      <ddeItem name="8466.TW-Name" advise="1">
        <values>
          <value t="str">
            <val>美吉吉-KY</val>
          </value>
        </values>
      </ddeItem>
      <ddeItem name="8466.TW-PreClose" advise="1">
        <values>
          <value>
            <val>64.900000000000006</val>
          </value>
        </values>
      </ddeItem>
      <ddeItem name="8466.TW-Price" advise="1">
        <values>
          <value>
            <val>65.8</val>
          </value>
        </values>
      </ddeItem>
      <ddeItem name="8466.TW-SimulatePrice" advise="1">
        <values>
          <value>
            <val>65.8</val>
          </value>
        </values>
      </ddeItem>
      <ddeItem name="8466.TW-SimulateTime" advise="1">
        <values>
          <value t="str">
            <val>13:29:55</val>
          </value>
        </values>
      </ddeItem>
      <ddeItem name="8467.TW-ID" advise="1">
        <values>
          <value t="str">
            <val>8467</val>
          </value>
        </values>
      </ddeItem>
      <ddeItem name="8467.TW-Name" advise="1">
        <values>
          <value t="str">
            <val>波力-KY</val>
          </value>
        </values>
      </ddeItem>
      <ddeItem name="8467.TW-PreClose" advise="1">
        <values>
          <value>
            <val>48.25</val>
          </value>
        </values>
      </ddeItem>
      <ddeItem name="8467.TW-Price" advise="1">
        <values>
          <value>
            <val>47.7</val>
          </value>
        </values>
      </ddeItem>
      <ddeItem name="8467.TW-SimulatePrice" advise="1">
        <values>
          <value>
            <val>47.7</val>
          </value>
        </values>
      </ddeItem>
      <ddeItem name="8467.TW-SimulateTime" advise="1">
        <values>
          <value t="str">
            <val>13:29:44</val>
          </value>
        </values>
      </ddeItem>
      <ddeItem name="8473.TW-ID" advise="1">
        <values>
          <value t="str">
            <val>8473</val>
          </value>
        </values>
      </ddeItem>
      <ddeItem name="8473.TW-Name" advise="1">
        <values>
          <value t="str">
            <val>山林水</val>
          </value>
        </values>
      </ddeItem>
      <ddeItem name="8473.TW-PreClose" advise="1">
        <values>
          <value>
            <val>41.65</val>
          </value>
        </values>
      </ddeItem>
      <ddeItem name="8473.TW-Price" advise="1">
        <values>
          <value>
            <val>43</val>
          </value>
        </values>
      </ddeItem>
      <ddeItem name="8473.TW-SimulatePrice" advise="1">
        <values>
          <value>
            <val>43</val>
          </value>
        </values>
      </ddeItem>
      <ddeItem name="8473.TW-SimulateTime" advise="1">
        <values>
          <value t="str">
            <val>13:27:23</val>
          </value>
        </values>
      </ddeItem>
      <ddeItem name="8478.TW-ID" advise="1">
        <values>
          <value t="str">
            <val>8478</val>
          </value>
        </values>
      </ddeItem>
      <ddeItem name="8478.TW-Name" advise="1">
        <values>
          <value t="str">
            <val>東哥遊艇</val>
          </value>
        </values>
      </ddeItem>
      <ddeItem name="8478.TW-PreClose" advise="1">
        <values>
          <value>
            <val>36.200000000000003</val>
          </value>
        </values>
      </ddeItem>
      <ddeItem name="8478.TW-Price" advise="1">
        <values>
          <value>
            <val>36</val>
          </value>
        </values>
      </ddeItem>
      <ddeItem name="8478.TW-SimulatePrice" advise="1">
        <values>
          <value t="str">
            <val>--</val>
          </value>
        </values>
      </ddeItem>
      <ddeItem name="8478.TW-SimulateTime" advise="1">
        <values>
          <value t="str">
            <val>--</val>
          </value>
        </values>
      </ddeItem>
      <ddeItem name="8480.TW-ID" advise="1">
        <values>
          <value t="str">
            <val>8480</val>
          </value>
        </values>
      </ddeItem>
      <ddeItem name="8480.TW-Name" advise="1">
        <values>
          <value t="str">
            <val>泰昇-KY</val>
          </value>
        </values>
      </ddeItem>
      <ddeItem name="8480.TW-PreClose" advise="1">
        <values>
          <value>
            <val>139</val>
          </value>
        </values>
      </ddeItem>
      <ddeItem name="8480.TW-Price" advise="1">
        <values>
          <value>
            <val>142</val>
          </value>
        </values>
      </ddeItem>
      <ddeItem name="8480.TW-SimulatePrice" advise="1">
        <values>
          <value>
            <val>142</val>
          </value>
        </values>
      </ddeItem>
      <ddeItem name="8480.TW-SimulateTime" advise="1">
        <values>
          <value t="str">
            <val>13:29:23</val>
          </value>
        </values>
      </ddeItem>
      <ddeItem name="8481.TW-ID" advise="1">
        <values>
          <value t="str">
            <val>8481</val>
          </value>
        </values>
      </ddeItem>
      <ddeItem name="8481.TW-Name" advise="1">
        <values>
          <value t="str">
            <val>政伸</val>
          </value>
        </values>
      </ddeItem>
      <ddeItem name="8481.TW-PreClose" advise="1">
        <values>
          <value>
            <val>57.5</val>
          </value>
        </values>
      </ddeItem>
      <ddeItem name="8481.TW-Price" advise="1">
        <values>
          <value>
            <val>57.5</val>
          </value>
        </values>
      </ddeItem>
      <ddeItem name="8481.TW-SimulatePrice" advise="1">
        <values>
          <value t="str">
            <val>--</val>
          </value>
        </values>
      </ddeItem>
      <ddeItem name="8481.TW-SimulateTime" advise="1">
        <values>
          <value t="str">
            <val>--</val>
          </value>
        </values>
      </ddeItem>
      <ddeItem name="8482.TW-ID" advise="1">
        <values>
          <value t="str">
            <val>8482</val>
          </value>
        </values>
      </ddeItem>
      <ddeItem name="8482.TW-Name" advise="1">
        <values>
          <value t="str">
            <val>商億-KY</val>
          </value>
        </values>
      </ddeItem>
      <ddeItem name="8482.TW-PreClose" advise="1">
        <values>
          <value>
            <val>93.5</val>
          </value>
        </values>
      </ddeItem>
      <ddeItem name="8482.TW-Price" advise="1">
        <values>
          <value>
            <val>93.4</val>
          </value>
        </values>
      </ddeItem>
      <ddeItem name="8482.TW-SimulatePrice" advise="1">
        <values>
          <value>
            <val>93.4</val>
          </value>
        </values>
      </ddeItem>
      <ddeItem name="8482.TW-SimulateTime" advise="1">
        <values>
          <value t="str">
            <val>13:29:47</val>
          </value>
        </values>
      </ddeItem>
      <ddeItem name="8488.TW-ID" advise="1">
        <values>
          <value t="str">
            <val>8488</val>
          </value>
        </values>
      </ddeItem>
      <ddeItem name="8488.TW-Name" advise="1">
        <values>
          <value t="str">
            <val>吉源-KY</val>
          </value>
        </values>
      </ddeItem>
      <ddeItem name="8488.TW-PreClose" advise="1">
        <values>
          <value>
            <val>13.8</val>
          </value>
        </values>
      </ddeItem>
      <ddeItem name="8488.TW-Price" advise="1">
        <values>
          <value>
            <val>14.05</val>
          </value>
        </values>
      </ddeItem>
      <ddeItem name="8488.TW-SimulatePrice" advise="1">
        <values>
          <value t="str">
            <val>--</val>
          </value>
        </values>
      </ddeItem>
      <ddeItem name="8488.TW-SimulateTime" advise="1">
        <values>
          <value t="str">
            <val>--</val>
          </value>
        </values>
      </ddeItem>
      <ddeItem name="8497.TW-ID" advise="1">
        <values>
          <value t="str">
            <val>8497</val>
          </value>
        </values>
      </ddeItem>
      <ddeItem name="8497.TW-Name" advise="1">
        <values>
          <value t="str">
            <val>格威傳媒</val>
          </value>
        </values>
      </ddeItem>
      <ddeItem name="8497.TW-PreClose" advise="1">
        <values>
          <value>
            <val>67.5</val>
          </value>
        </values>
      </ddeItem>
      <ddeItem name="8497.TW-Price" advise="1">
        <values>
          <value t="str">
            <val>--</val>
          </value>
        </values>
      </ddeItem>
      <ddeItem name="8497.TW-SimulatePrice" advise="1">
        <values>
          <value t="str">
            <val>--</val>
          </value>
        </values>
      </ddeItem>
      <ddeItem name="8497.TW-SimulateTime" advise="1">
        <values>
          <value t="str">
            <val>--</val>
          </value>
        </values>
      </ddeItem>
      <ddeItem name="8499.TW-ID" advise="1">
        <values>
          <value t="str">
            <val>8499</val>
          </value>
        </values>
      </ddeItem>
      <ddeItem name="8499.TW-Name" advise="1">
        <values>
          <value t="str">
            <val>鼎炫-KY</val>
          </value>
        </values>
      </ddeItem>
      <ddeItem name="8499.TW-PreClose" advise="1">
        <values>
          <value>
            <val>100</val>
          </value>
        </values>
      </ddeItem>
      <ddeItem name="8499.TW-Price" advise="1">
        <values>
          <value>
            <val>100.5</val>
          </value>
        </values>
      </ddeItem>
      <ddeItem name="8499.TW-SimulatePrice" advise="1">
        <values>
          <value>
            <val>100.5</val>
          </value>
        </values>
      </ddeItem>
      <ddeItem name="8499.TW-SimulateTime" advise="1">
        <values>
          <value t="str">
            <val>13:29:35</val>
          </value>
        </values>
      </ddeItem>
      <ddeItem name="8926.TW-ID" advise="1">
        <values>
          <value t="str">
            <val>8926</val>
          </value>
        </values>
      </ddeItem>
      <ddeItem name="8926.TW-Name" advise="1">
        <values>
          <value t="str">
            <val>台汽電</val>
          </value>
        </values>
      </ddeItem>
      <ddeItem name="8926.TW-PreClose" advise="1">
        <values>
          <value>
            <val>35.200000000000003</val>
          </value>
        </values>
      </ddeItem>
      <ddeItem name="8926.TW-Price" advise="1">
        <values>
          <value>
            <val>36.200000000000003</val>
          </value>
        </values>
      </ddeItem>
      <ddeItem name="8926.TW-SimulatePrice" advise="1">
        <values>
          <value>
            <val>36.200000000000003</val>
          </value>
        </values>
      </ddeItem>
      <ddeItem name="8926.TW-SimulateTime" advise="1">
        <values>
          <value t="str">
            <val>13:29:56</val>
          </value>
        </values>
      </ddeItem>
      <ddeItem name="8940.TW-ID" advise="1">
        <values>
          <value t="str">
            <val>8940</val>
          </value>
        </values>
      </ddeItem>
      <ddeItem name="8940.TW-Name" advise="1">
        <values>
          <value t="str">
            <val>新天地</val>
          </value>
        </values>
      </ddeItem>
      <ddeItem name="8940.TW-PreClose" advise="1">
        <values>
          <value>
            <val>9.68</val>
          </value>
        </values>
      </ddeItem>
      <ddeItem name="8940.TW-Price" advise="1">
        <values>
          <value>
            <val>9.6999999999999993</val>
          </value>
        </values>
      </ddeItem>
      <ddeItem name="8940.TW-SimulatePrice" advise="1">
        <values>
          <value>
            <val>9.68</val>
          </value>
        </values>
      </ddeItem>
      <ddeItem name="8940.TW-SimulateTime" advise="1">
        <values>
          <value t="str">
            <val>13:29:05</val>
          </value>
        </values>
      </ddeItem>
      <ddeItem name="8996.TW-ID" advise="1">
        <values>
          <value t="str">
            <val>8996</val>
          </value>
        </values>
      </ddeItem>
      <ddeItem name="8996.TW-Name" advise="1">
        <values>
          <value t="str">
            <val>高力</val>
          </value>
        </values>
      </ddeItem>
      <ddeItem name="8996.TW-PreClose" advise="1">
        <values>
          <value>
            <val>64.5</val>
          </value>
        </values>
      </ddeItem>
      <ddeItem name="8996.TW-Price" advise="1">
        <values>
          <value>
            <val>62.5</val>
          </value>
        </values>
      </ddeItem>
      <ddeItem name="8996.TW-SimulatePrice" advise="1">
        <values>
          <value>
            <val>62.5</val>
          </value>
        </values>
      </ddeItem>
      <ddeItem name="8996.TW-SimulateTime" advise="1">
        <values>
          <value t="str">
            <val>13:29:59</val>
          </value>
        </values>
      </ddeItem>
      <ddeItem name="9802.TW-ID" advise="1">
        <values>
          <value t="str">
            <val>9802</val>
          </value>
        </values>
      </ddeItem>
      <ddeItem name="9802.TW-Name" advise="1">
        <values>
          <value t="str">
            <val>鈺齊-KY</val>
          </value>
        </values>
      </ddeItem>
      <ddeItem name="9802.TW-PreClose" advise="1">
        <values>
          <value>
            <val>84.8</val>
          </value>
        </values>
      </ddeItem>
      <ddeItem name="9802.TW-Price" advise="1">
        <values>
          <value>
            <val>82.9</val>
          </value>
        </values>
      </ddeItem>
      <ddeItem name="9802.TW-SimulatePrice" advise="1">
        <values>
          <value>
            <val>82.9</val>
          </value>
        </values>
      </ddeItem>
      <ddeItem name="9802.TW-SimulateTime" advise="1">
        <values>
          <value t="str">
            <val>13:29:56</val>
          </value>
        </values>
      </ddeItem>
      <ddeItem name="9902.TW-ID" advise="1">
        <values>
          <value t="str">
            <val>9902</val>
          </value>
        </values>
      </ddeItem>
      <ddeItem name="9902.TW-Name" advise="1">
        <values>
          <value t="str">
            <val>台火</val>
          </value>
        </values>
      </ddeItem>
      <ddeItem name="9902.TW-PreClose" advise="1">
        <values>
          <value>
            <val>8.77</val>
          </value>
        </values>
      </ddeItem>
      <ddeItem name="9902.TW-Price" advise="1">
        <values>
          <value>
            <val>8.73</val>
          </value>
        </values>
      </ddeItem>
      <ddeItem name="9902.TW-SimulatePrice" advise="1">
        <values>
          <value>
            <val>8.73</val>
          </value>
        </values>
      </ddeItem>
      <ddeItem name="9902.TW-SimulateTime" advise="1">
        <values>
          <value t="str">
            <val>13:29:41</val>
          </value>
        </values>
      </ddeItem>
      <ddeItem name="9904.TW-ID" advise="1">
        <values>
          <value t="str">
            <val>9904</val>
          </value>
        </values>
      </ddeItem>
      <ddeItem name="9904.TW-Name" advise="1">
        <values>
          <value t="str">
            <val>寶成</val>
          </value>
        </values>
      </ddeItem>
      <ddeItem name="9904.TW-PreClose" advise="1">
        <values>
          <value>
            <val>26.95</val>
          </value>
        </values>
      </ddeItem>
      <ddeItem name="9904.TW-Price" advise="1">
        <values>
          <value>
            <val>26.65</val>
          </value>
        </values>
      </ddeItem>
      <ddeItem name="9904.TW-SimulatePrice" advise="1">
        <values>
          <value>
            <val>26.65</val>
          </value>
        </values>
      </ddeItem>
      <ddeItem name="9904.TW-SimulateTime" advise="1">
        <values>
          <value t="str">
            <val>13:29:55</val>
          </value>
        </values>
      </ddeItem>
      <ddeItem name="9905.TW-ID" advise="1">
        <values>
          <value t="str">
            <val>9905</val>
          </value>
        </values>
      </ddeItem>
      <ddeItem name="9905.TW-Name" advise="1">
        <values>
          <value t="str">
            <val>大華</val>
          </value>
        </values>
      </ddeItem>
      <ddeItem name="9905.TW-PreClose" advise="1">
        <values>
          <value>
            <val>21.2</val>
          </value>
        </values>
      </ddeItem>
      <ddeItem name="9905.TW-Price" advise="1">
        <values>
          <value>
            <val>21.1</val>
          </value>
        </values>
      </ddeItem>
      <ddeItem name="9905.TW-SimulatePrice" advise="1">
        <values>
          <value>
            <val>21.1</val>
          </value>
        </values>
      </ddeItem>
      <ddeItem name="9905.TW-SimulateTime" advise="1">
        <values>
          <value t="str">
            <val>13:29:54</val>
          </value>
        </values>
      </ddeItem>
      <ddeItem name="9906.TW-ID" advise="1">
        <values>
          <value t="str">
            <val>9906</val>
          </value>
        </values>
      </ddeItem>
      <ddeItem name="9906.TW-Name" advise="1">
        <values>
          <value t="str">
            <val>欣巴巴</val>
          </value>
        </values>
      </ddeItem>
      <ddeItem name="9906.TW-PreClose" advise="1">
        <values>
          <value>
            <val>21</val>
          </value>
        </values>
      </ddeItem>
      <ddeItem name="9906.TW-Price" advise="1">
        <values>
          <value>
            <val>21.45</val>
          </value>
        </values>
      </ddeItem>
      <ddeItem name="9906.TW-SimulatePrice" advise="1">
        <values>
          <value t="str">
            <val>--</val>
          </value>
        </values>
      </ddeItem>
      <ddeItem name="9906.TW-SimulateTime" advise="1">
        <values>
          <value t="str">
            <val>--</val>
          </value>
        </values>
      </ddeItem>
      <ddeItem name="9907.TW-ID" advise="1">
        <values>
          <value t="str">
            <val>9907</val>
          </value>
        </values>
      </ddeItem>
      <ddeItem name="9907.TW-Name" advise="1">
        <values>
          <value t="str">
            <val>統一實</val>
          </value>
        </values>
      </ddeItem>
      <ddeItem name="9907.TW-PreClose" advise="1">
        <values>
          <value>
            <val>8.56</val>
          </value>
        </values>
      </ddeItem>
      <ddeItem name="9907.TW-Price" advise="1">
        <values>
          <value>
            <val>8.5500000000000007</val>
          </value>
        </values>
      </ddeItem>
      <ddeItem name="9907.TW-SimulatePrice" advise="1">
        <values>
          <value>
            <val>8.5500000000000007</val>
          </value>
        </values>
      </ddeItem>
      <ddeItem name="9907.TW-SimulateTime" advise="1">
        <values>
          <value t="str">
            <val>13:29:46</val>
          </value>
        </values>
      </ddeItem>
      <ddeItem name="9908.TW-ID" advise="1">
        <values>
          <value t="str">
            <val>9908</val>
          </value>
        </values>
      </ddeItem>
      <ddeItem name="9908.TW-Name" advise="1">
        <values>
          <value t="str">
            <val>大台北</val>
          </value>
        </values>
      </ddeItem>
      <ddeItem name="9908.TW-PreClose" advise="1">
        <values>
          <value>
            <val>30.1</val>
          </value>
        </values>
      </ddeItem>
      <ddeItem name="9908.TW-Price" advise="1">
        <values>
          <value>
            <val>30</val>
          </value>
        </values>
      </ddeItem>
      <ddeItem name="9908.TW-SimulatePrice" advise="1">
        <values>
          <value t="str">
            <val>--</val>
          </value>
        </values>
      </ddeItem>
      <ddeItem name="9908.TW-SimulateTime" advise="1">
        <values>
          <value t="str">
            <val>--</val>
          </value>
        </values>
      </ddeItem>
      <ddeItem name="9910.TW-ID" advise="1">
        <values>
          <value t="str">
            <val>9910</val>
          </value>
        </values>
      </ddeItem>
      <ddeItem name="9910.TW-Name" advise="1">
        <values>
          <value t="str">
            <val>豐泰</val>
          </value>
        </values>
      </ddeItem>
      <ddeItem name="9910.TW-PreClose" advise="1">
        <values>
          <value>
            <val>154</val>
          </value>
        </values>
      </ddeItem>
      <ddeItem name="9910.TW-Price" advise="1">
        <values>
          <value>
            <val>154.5</val>
          </value>
        </values>
      </ddeItem>
      <ddeItem name="9910.TW-SimulatePrice" advise="1">
        <values>
          <value>
            <val>154.5</val>
          </value>
        </values>
      </ddeItem>
      <ddeItem name="9910.TW-SimulateTime" advise="1">
        <values>
          <value t="str">
            <val>13:29:56</val>
          </value>
        </values>
      </ddeItem>
      <ddeItem name="9911.TW-ID" advise="1">
        <values>
          <value t="str">
            <val>9911</val>
          </value>
        </values>
      </ddeItem>
      <ddeItem name="9911.TW-Name" advise="1">
        <values>
          <value t="str">
            <val>櫻花</val>
          </value>
        </values>
      </ddeItem>
      <ddeItem name="9911.TW-PreClose" advise="1">
        <values>
          <value>
            <val>46.05</val>
          </value>
        </values>
      </ddeItem>
      <ddeItem name="9911.TW-Price" advise="1">
        <values>
          <value>
            <val>46.15</val>
          </value>
        </values>
      </ddeItem>
      <ddeItem name="9911.TW-SimulatePrice" advise="1">
        <values>
          <value>
            <val>46.15</val>
          </value>
        </values>
      </ddeItem>
      <ddeItem name="9911.TW-SimulateTime" advise="1">
        <values>
          <value t="str">
            <val>13:29:56</val>
          </value>
        </values>
      </ddeItem>
      <ddeItem name="9912.TW-ID" advise="1">
        <values>
          <value t="str">
            <val>9912</val>
          </value>
        </values>
      </ddeItem>
      <ddeItem name="9912.TW-Name" advise="1">
        <values>
          <value t="str">
            <val>偉聯</val>
          </value>
        </values>
      </ddeItem>
      <ddeItem name="9912.TW-PreClose" advise="1">
        <values>
          <value>
            <val>6.85</val>
          </value>
        </values>
      </ddeItem>
      <ddeItem name="9912.TW-Price" advise="1">
        <values>
          <value>
            <val>6.84</val>
          </value>
        </values>
      </ddeItem>
      <ddeItem name="9912.TW-SimulatePrice" advise="1">
        <values>
          <value t="str">
            <val>--</val>
          </value>
        </values>
      </ddeItem>
      <ddeItem name="9912.TW-SimulateTime" advise="1">
        <values>
          <value t="str">
            <val>--</val>
          </value>
        </values>
      </ddeItem>
      <ddeItem name="9914.TW-ID" advise="1">
        <values>
          <value t="str">
            <val>9914</val>
          </value>
        </values>
      </ddeItem>
      <ddeItem name="9914.TW-Name" advise="1">
        <values>
          <value t="str">
            <val>美利達</val>
          </value>
        </values>
      </ddeItem>
      <ddeItem name="9914.TW-PreClose" advise="1">
        <values>
          <value>
            <val>151.5</val>
          </value>
        </values>
      </ddeItem>
      <ddeItem name="9914.TW-Price" advise="1">
        <values>
          <value>
            <val>154</val>
          </value>
        </values>
      </ddeItem>
      <ddeItem name="9914.TW-SimulatePrice" advise="1">
        <values>
          <value>
            <val>154</val>
          </value>
        </values>
      </ddeItem>
      <ddeItem name="9914.TW-SimulateTime" advise="1">
        <values>
          <value t="str">
            <val>13:29:59</val>
          </value>
        </values>
      </ddeItem>
      <ddeItem name="9917.TW-ID" advise="1">
        <values>
          <value t="str">
            <val>9917</val>
          </value>
        </values>
      </ddeItem>
      <ddeItem name="9917.TW-Name" advise="1">
        <values>
          <value t="str">
            <val>中保科</val>
          </value>
        </values>
      </ddeItem>
      <ddeItem name="9917.TW-PreClose" advise="1">
        <values>
          <value>
            <val>85.8</val>
          </value>
        </values>
      </ddeItem>
      <ddeItem name="9917.TW-Price" advise="1">
        <values>
          <value>
            <val>85.9</val>
          </value>
        </values>
      </ddeItem>
      <ddeItem name="9917.TW-SimulatePrice" advise="1">
        <values>
          <value>
            <val>85.9</val>
          </value>
        </values>
      </ddeItem>
      <ddeItem name="9917.TW-SimulateTime" advise="1">
        <values>
          <value t="str">
            <val>13:29:58</val>
          </value>
        </values>
      </ddeItem>
      <ddeItem name="9918.TW-ID" advise="1">
        <values>
          <value t="str">
            <val>9918</val>
          </value>
        </values>
      </ddeItem>
      <ddeItem name="9918.TW-Name" advise="1">
        <values>
          <value t="str">
            <val>欣天然</val>
          </value>
        </values>
      </ddeItem>
      <ddeItem name="9918.TW-PreClose" advise="1">
        <values>
          <value>
            <val>34.299999999999997</val>
          </value>
        </values>
      </ddeItem>
      <ddeItem name="9918.TW-Price" advise="1">
        <values>
          <value>
            <val>34.450000000000003</val>
          </value>
        </values>
      </ddeItem>
      <ddeItem name="9918.TW-SimulatePrice" advise="1">
        <values>
          <value t="str">
            <val>--</val>
          </value>
        </values>
      </ddeItem>
      <ddeItem name="9918.TW-SimulateTime" advise="1">
        <values>
          <value t="str">
            <val>--</val>
          </value>
        </values>
      </ddeItem>
      <ddeItem name="9919.TW-ID" advise="1">
        <values>
          <value t="str">
            <val>9919</val>
          </value>
        </values>
      </ddeItem>
      <ddeItem name="9919.TW-Name" advise="1">
        <values>
          <value t="str">
            <val>康那香</val>
          </value>
        </values>
      </ddeItem>
      <ddeItem name="9919.TW-PreClose" advise="1">
        <values>
          <value>
            <val>28.25</val>
          </value>
        </values>
      </ddeItem>
      <ddeItem name="9919.TW-Price" advise="1">
        <values>
          <value>
            <val>26.6</val>
          </value>
        </values>
      </ddeItem>
      <ddeItem name="9919.TW-SimulatePrice" advise="1">
        <values>
          <value t="str">
            <val>--</val>
          </value>
        </values>
      </ddeItem>
      <ddeItem name="9919.TW-SimulateTime" advise="1">
        <values>
          <value t="str">
            <val>--</val>
          </value>
        </values>
      </ddeItem>
      <ddeItem name="9921.TW-ID" advise="1">
        <values>
          <value t="str">
            <val>9921</val>
          </value>
        </values>
      </ddeItem>
      <ddeItem name="9921.TW-Name" advise="1">
        <values>
          <value t="str">
            <val>巨大</val>
          </value>
        </values>
      </ddeItem>
      <ddeItem name="9921.TW-PreClose" advise="1">
        <values>
          <value>
            <val>187</val>
          </value>
        </values>
      </ddeItem>
      <ddeItem name="9921.TW-Price" advise="1">
        <values>
          <value>
            <val>199</val>
          </value>
        </values>
      </ddeItem>
      <ddeItem name="9921.TW-SimulatePrice" advise="1">
        <values>
          <value>
            <val>199</val>
          </value>
        </values>
      </ddeItem>
      <ddeItem name="9921.TW-SimulateTime" advise="1">
        <values>
          <value t="str">
            <val>13:29:55</val>
          </value>
        </values>
      </ddeItem>
      <ddeItem name="9924.TW-ID" advise="1">
        <values>
          <value t="str">
            <val>9924</val>
          </value>
        </values>
      </ddeItem>
      <ddeItem name="9924.TW-Name" advise="1">
        <values>
          <value t="str">
            <val>福興</val>
          </value>
        </values>
      </ddeItem>
      <ddeItem name="9924.TW-PreClose" advise="1">
        <values>
          <value>
            <val>40.15</val>
          </value>
        </values>
      </ddeItem>
      <ddeItem name="9924.TW-Price" advise="1">
        <values>
          <value>
            <val>40</val>
          </value>
        </values>
      </ddeItem>
      <ddeItem name="9924.TW-SimulatePrice" advise="1">
        <values>
          <value>
            <val>39.950000000000003</val>
          </value>
        </values>
      </ddeItem>
      <ddeItem name="9924.TW-SimulateTime" advise="1">
        <values>
          <value t="str">
            <val>13:29:05</val>
          </value>
        </values>
      </ddeItem>
      <ddeItem name="9925.TW-ID" advise="1">
        <values>
          <value t="str">
            <val>9925</val>
          </value>
        </values>
      </ddeItem>
      <ddeItem name="9925.TW-Name" advise="1">
        <values>
          <value t="str">
            <val>新保</val>
          </value>
        </values>
      </ddeItem>
      <ddeItem name="9925.TW-PreClose" advise="1">
        <values>
          <value>
            <val>36.049999999999997</val>
          </value>
        </values>
      </ddeItem>
      <ddeItem name="9925.TW-Price" advise="1">
        <values>
          <value>
            <val>36.15</val>
          </value>
        </values>
      </ddeItem>
      <ddeItem name="9925.TW-SimulatePrice" advise="1">
        <values>
          <value t="str">
            <val>--</val>
          </value>
        </values>
      </ddeItem>
      <ddeItem name="9925.TW-SimulateTime" advise="1">
        <values>
          <value t="str">
            <val>--</val>
          </value>
        </values>
      </ddeItem>
      <ddeItem name="9926.TW-ID" advise="1">
        <values>
          <value t="str">
            <val>9926</val>
          </value>
        </values>
      </ddeItem>
      <ddeItem name="9926.TW-Name" advise="1">
        <values>
          <value t="str">
            <val>新海</val>
          </value>
        </values>
      </ddeItem>
      <ddeItem name="9926.TW-PreClose" advise="1">
        <values>
          <value>
            <val>42.05</val>
          </value>
        </values>
      </ddeItem>
      <ddeItem name="9926.TW-Price" advise="1">
        <values>
          <value t="str">
            <val>--</val>
          </value>
        </values>
      </ddeItem>
      <ddeItem name="9926.TW-SimulatePrice" advise="1">
        <values>
          <value t="str">
            <val>--</val>
          </value>
        </values>
      </ddeItem>
      <ddeItem name="9926.TW-SimulateTime" advise="1">
        <values>
          <value t="str">
            <val>--</val>
          </value>
        </values>
      </ddeItem>
      <ddeItem name="9927.TW-ID" advise="1">
        <values>
          <value t="str">
            <val>9927</val>
          </value>
        </values>
      </ddeItem>
      <ddeItem name="9927.TW-Name" advise="1">
        <values>
          <value t="str">
            <val>泰銘</val>
          </value>
        </values>
      </ddeItem>
      <ddeItem name="9927.TW-PreClose" advise="1">
        <values>
          <value>
            <val>29.75</val>
          </value>
        </values>
      </ddeItem>
      <ddeItem name="9927.TW-Price" advise="1">
        <values>
          <value>
            <val>29.85</val>
          </value>
        </values>
      </ddeItem>
      <ddeItem name="9927.TW-SimulatePrice" advise="1">
        <values>
          <value>
            <val>29.85</val>
          </value>
        </values>
      </ddeItem>
      <ddeItem name="9927.TW-SimulateTime" advise="1">
        <values>
          <value t="str">
            <val>13:29:52</val>
          </value>
        </values>
      </ddeItem>
      <ddeItem name="9928.TW-ID" advise="1">
        <values>
          <value t="str">
            <val>9928</val>
          </value>
        </values>
      </ddeItem>
      <ddeItem name="9928.TW-Name" advise="1">
        <values>
          <value t="str">
            <val>中視</val>
          </value>
        </values>
      </ddeItem>
      <ddeItem name="9928.TW-PreClose" advise="1">
        <values>
          <value>
            <val>3.61</val>
          </value>
        </values>
      </ddeItem>
      <ddeItem name="9928.TW-Price" advise="1">
        <values>
          <value t="str">
            <val>--</val>
          </value>
        </values>
      </ddeItem>
      <ddeItem name="9928.TW-SimulatePrice" advise="1">
        <values>
          <value t="str">
            <val>--</val>
          </value>
        </values>
      </ddeItem>
      <ddeItem name="9928.TW-SimulateTime" advise="1">
        <values>
          <value t="str">
            <val>--</val>
          </value>
        </values>
      </ddeItem>
      <ddeItem name="9929.TW-ID" advise="1">
        <values>
          <value t="str">
            <val>9929</val>
          </value>
        </values>
      </ddeItem>
      <ddeItem name="9929.TW-Name" advise="1">
        <values>
          <value t="str">
            <val>秋雨</val>
          </value>
        </values>
      </ddeItem>
      <ddeItem name="9929.TW-PreClose" advise="1">
        <values>
          <value>
            <val>12.1</val>
          </value>
        </values>
      </ddeItem>
      <ddeItem name="9929.TW-Price" advise="1">
        <values>
          <value>
            <val>12.2</val>
          </value>
        </values>
      </ddeItem>
      <ddeItem name="9929.TW-SimulatePrice" advise="1">
        <values>
          <value>
            <val>12.2</val>
          </value>
        </values>
      </ddeItem>
      <ddeItem name="9929.TW-SimulateTime" advise="1">
        <values>
          <value t="str">
            <val>13:29:18</val>
          </value>
        </values>
      </ddeItem>
      <ddeItem name="9930.TW-ID" advise="1">
        <values>
          <value t="str">
            <val>9930</val>
          </value>
        </values>
      </ddeItem>
      <ddeItem name="9930.TW-Name" advise="1">
        <values>
          <value t="str">
            <val>中聯資源</val>
          </value>
        </values>
      </ddeItem>
      <ddeItem name="9930.TW-PreClose" advise="1">
        <values>
          <value>
            <val>43.4</val>
          </value>
        </values>
      </ddeItem>
      <ddeItem name="9930.TW-Price" advise="1">
        <values>
          <value>
            <val>43</val>
          </value>
        </values>
      </ddeItem>
      <ddeItem name="9930.TW-SimulatePrice" advise="1">
        <values>
          <value>
            <val>43</val>
          </value>
        </values>
      </ddeItem>
      <ddeItem name="9930.TW-SimulateTime" advise="1">
        <values>
          <value t="str">
            <val>13:29:38</val>
          </value>
        </values>
      </ddeItem>
      <ddeItem name="9931.TW-ID" advise="1">
        <values>
          <value t="str">
            <val>9931</val>
          </value>
        </values>
      </ddeItem>
      <ddeItem name="9931.TW-Name" advise="1">
        <values>
          <value t="str">
            <val>欣高</val>
          </value>
        </values>
      </ddeItem>
      <ddeItem name="9931.TW-PreClose" advise="1">
        <values>
          <value>
            <val>39.950000000000003</val>
          </value>
        </values>
      </ddeItem>
      <ddeItem name="9931.TW-Price" advise="1">
        <values>
          <value>
            <val>40.5</val>
          </value>
        </values>
      </ddeItem>
      <ddeItem name="9931.TW-SimulatePrice" advise="1">
        <values>
          <value t="str">
            <val>--</val>
          </value>
        </values>
      </ddeItem>
      <ddeItem name="9931.TW-SimulateTime" advise="1">
        <values>
          <value t="str">
            <val>--</val>
          </value>
        </values>
      </ddeItem>
      <ddeItem name="9933.TW-ID" advise="1">
        <values>
          <value t="str">
            <val>9933</val>
          </value>
        </values>
      </ddeItem>
      <ddeItem name="9933.TW-Name" advise="1">
        <values>
          <value t="str">
            <val>中鼎</val>
          </value>
        </values>
      </ddeItem>
      <ddeItem name="9933.TW-PreClose" advise="1">
        <values>
          <value>
            <val>33.35</val>
          </value>
        </values>
      </ddeItem>
      <ddeItem name="9933.TW-Price" advise="1">
        <values>
          <value>
            <val>32.85</val>
          </value>
        </values>
      </ddeItem>
      <ddeItem name="9933.TW-SimulatePrice" advise="1">
        <values>
          <value>
            <val>32.85</val>
          </value>
        </values>
      </ddeItem>
      <ddeItem name="9933.TW-SimulateTime" advise="1">
        <values>
          <value t="str">
            <val>13:29:57</val>
          </value>
        </values>
      </ddeItem>
      <ddeItem name="9934.TW-ID" advise="1">
        <values>
          <value t="str">
            <val>9934</val>
          </value>
        </values>
      </ddeItem>
      <ddeItem name="9934.TW-Name" advise="1">
        <values>
          <value t="str">
            <val>成霖</val>
          </value>
        </values>
      </ddeItem>
      <ddeItem name="9934.TW-PreClose" advise="1">
        <values>
          <value>
            <val>12.1</val>
          </value>
        </values>
      </ddeItem>
      <ddeItem name="9934.TW-Price" advise="1">
        <values>
          <value>
            <val>12.05</val>
          </value>
        </values>
      </ddeItem>
      <ddeItem name="9934.TW-SimulatePrice" advise="1">
        <values>
          <value>
            <val>12.05</val>
          </value>
        </values>
      </ddeItem>
      <ddeItem name="9934.TW-SimulateTime" advise="1">
        <values>
          <value t="str">
            <val>13:29:59</val>
          </value>
        </values>
      </ddeItem>
      <ddeItem name="9935.TW-ID" advise="1">
        <values>
          <value t="str">
            <val>9935</val>
          </value>
        </values>
      </ddeItem>
      <ddeItem name="9935.TW-Name" advise="1">
        <values>
          <value t="str">
            <val>慶豐富</val>
          </value>
        </values>
      </ddeItem>
      <ddeItem name="9935.TW-PreClose" advise="1">
        <values>
          <value>
            <val>27.05</val>
          </value>
        </values>
      </ddeItem>
      <ddeItem name="9935.TW-Price" advise="1">
        <values>
          <value>
            <val>26.85</val>
          </value>
        </values>
      </ddeItem>
      <ddeItem name="9935.TW-SimulatePrice" advise="1">
        <values>
          <value>
            <val>26.85</val>
          </value>
        </values>
      </ddeItem>
      <ddeItem name="9935.TW-SimulateTime" advise="1">
        <values>
          <value t="str">
            <val>13:29:57</val>
          </value>
        </values>
      </ddeItem>
      <ddeItem name="9937.TW-ID" advise="1">
        <values>
          <value t="str">
            <val>9937</val>
          </value>
        </values>
      </ddeItem>
      <ddeItem name="9937.TW-Name" advise="1">
        <values>
          <value t="str">
            <val>全國</val>
          </value>
        </values>
      </ddeItem>
      <ddeItem name="9937.TW-PreClose" advise="1">
        <values>
          <value>
            <val>44</val>
          </value>
        </values>
      </ddeItem>
      <ddeItem name="9937.TW-Price" advise="1">
        <values>
          <value>
            <val>44</val>
          </value>
        </values>
      </ddeItem>
      <ddeItem name="9937.TW-SimulatePrice" advise="1">
        <values>
          <value>
            <val>44</val>
          </value>
        </values>
      </ddeItem>
      <ddeItem name="9937.TW-SimulateTime" advise="1">
        <values>
          <value t="str">
            <val>13:25:45</val>
          </value>
        </values>
      </ddeItem>
      <ddeItem name="9938.TW-ID" advise="1">
        <values>
          <value t="str">
            <val>9938</val>
          </value>
        </values>
      </ddeItem>
      <ddeItem name="9938.TW-Name" advise="1">
        <values>
          <value t="str">
            <val>百和</val>
          </value>
        </values>
      </ddeItem>
      <ddeItem name="9938.TW-PreClose" advise="1">
        <values>
          <value>
            <val>61.4</val>
          </value>
        </values>
      </ddeItem>
      <ddeItem name="9938.TW-Price" advise="1">
        <values>
          <value>
            <val>60.5</val>
          </value>
        </values>
      </ddeItem>
      <ddeItem name="9938.TW-SimulatePrice" advise="1">
        <values>
          <value>
            <val>60.5</val>
          </value>
        </values>
      </ddeItem>
      <ddeItem name="9938.TW-SimulateTime" advise="1">
        <values>
          <value t="str">
            <val>13:29:57</val>
          </value>
        </values>
      </ddeItem>
      <ddeItem name="9939.TW-ID" advise="1">
        <values>
          <value t="str">
            <val>9939</val>
          </value>
        </values>
      </ddeItem>
      <ddeItem name="9939.TW-Name" advise="1">
        <values>
          <value t="str">
            <val>宏全</val>
          </value>
        </values>
      </ddeItem>
      <ddeItem name="9939.TW-PreClose" advise="1">
        <values>
          <value>
            <val>54</val>
          </value>
        </values>
      </ddeItem>
      <ddeItem name="9939.TW-Price" advise="1">
        <values>
          <value>
            <val>53.6</val>
          </value>
        </values>
      </ddeItem>
      <ddeItem name="9939.TW-SimulatePrice" advise="1">
        <values>
          <value>
            <val>53.6</val>
          </value>
        </values>
      </ddeItem>
      <ddeItem name="9939.TW-SimulateTime" advise="1">
        <values>
          <value t="str">
            <val>13:29:55</val>
          </value>
        </values>
      </ddeItem>
      <ddeItem name="9940.TW-ID" advise="1">
        <values>
          <value t="str">
            <val>9940</val>
          </value>
        </values>
      </ddeItem>
      <ddeItem name="9940.TW-Name" advise="1">
        <values>
          <value t="str">
            <val>信義</val>
          </value>
        </values>
      </ddeItem>
      <ddeItem name="9940.TW-PreClose" advise="1">
        <values>
          <value>
            <val>25.4</val>
          </value>
        </values>
      </ddeItem>
      <ddeItem name="9940.TW-Price" advise="1">
        <values>
          <value>
            <val>25.4</val>
          </value>
        </values>
      </ddeItem>
      <ddeItem name="9940.TW-SimulatePrice" advise="1">
        <values>
          <value t="str">
            <val>--</val>
          </value>
        </values>
      </ddeItem>
      <ddeItem name="9940.TW-SimulateTime" advise="1">
        <values>
          <value t="str">
            <val>--</val>
          </value>
        </values>
      </ddeItem>
      <ddeItem name="9941.TW-ID" advise="1">
        <values>
          <value t="str">
            <val>9941</val>
          </value>
        </values>
      </ddeItem>
      <ddeItem name="9941.TW-Name" advise="1">
        <values>
          <value t="str">
            <val>裕融</val>
          </value>
        </values>
      </ddeItem>
      <ddeItem name="9941.TW-PreClose" advise="1">
        <values>
          <value>
            <val>97.9</val>
          </value>
        </values>
      </ddeItem>
      <ddeItem name="9941.TW-Price" advise="1">
        <values>
          <value>
            <val>97.4</val>
          </value>
        </values>
      </ddeItem>
      <ddeItem name="9941.TW-SimulatePrice" advise="1">
        <values>
          <value>
            <val>97.4</val>
          </value>
        </values>
      </ddeItem>
      <ddeItem name="9941.TW-SimulateTime" advise="1">
        <values>
          <value t="str">
            <val>13:29:57</val>
          </value>
        </values>
      </ddeItem>
      <ddeItem name="9942.TW-ID" advise="1">
        <values>
          <value t="str">
            <val>9942</val>
          </value>
        </values>
      </ddeItem>
      <ddeItem name="9942.TW-Name" advise="1">
        <values>
          <value t="str">
            <val>茂順</val>
          </value>
        </values>
      </ddeItem>
      <ddeItem name="9942.TW-PreClose" advise="1">
        <values>
          <value>
            <val>64.7</val>
          </value>
        </values>
      </ddeItem>
      <ddeItem name="9942.TW-Price" advise="1">
        <values>
          <value>
            <val>64.2</val>
          </value>
        </values>
      </ddeItem>
      <ddeItem name="9942.TW-SimulatePrice" advise="1">
        <values>
          <value>
            <val>64.2</val>
          </value>
        </values>
      </ddeItem>
      <ddeItem name="9942.TW-SimulateTime" advise="1">
        <values>
          <value t="str">
            <val>13:29:26</val>
          </value>
        </values>
      </ddeItem>
      <ddeItem name="9943.TW-ID" advise="1">
        <values>
          <value t="str">
            <val>9943</val>
          </value>
        </values>
      </ddeItem>
      <ddeItem name="9943.TW-Name" advise="1">
        <values>
          <value t="str">
            <val>好樂迪</val>
          </value>
        </values>
      </ddeItem>
      <ddeItem name="9943.TW-PreClose" advise="1">
        <values>
          <value>
            <val>62.8</val>
          </value>
        </values>
      </ddeItem>
      <ddeItem name="9943.TW-Price" advise="1">
        <values>
          <value>
            <val>62.5</val>
          </value>
        </values>
      </ddeItem>
      <ddeItem name="9943.TW-SimulatePrice" advise="1">
        <values>
          <value>
            <val>62.5</val>
          </value>
        </values>
      </ddeItem>
      <ddeItem name="9943.TW-SimulateTime" advise="1">
        <values>
          <value t="str">
            <val>13:29:59</val>
          </value>
        </values>
      </ddeItem>
      <ddeItem name="9944.TW-ID" advise="1">
        <values>
          <value t="str">
            <val>9944</val>
          </value>
        </values>
      </ddeItem>
      <ddeItem name="9944.TW-Name" advise="1">
        <values>
          <value t="str">
            <val>新麗</val>
          </value>
        </values>
      </ddeItem>
      <ddeItem name="9944.TW-PreClose" advise="1">
        <values>
          <value>
            <val>19.75</val>
          </value>
        </values>
      </ddeItem>
      <ddeItem name="9944.TW-Price" advise="1">
        <values>
          <value>
            <val>19.8</val>
          </value>
        </values>
      </ddeItem>
      <ddeItem name="9944.TW-SimulatePrice" advise="1">
        <values>
          <value t="str">
            <val>--</val>
          </value>
        </values>
      </ddeItem>
      <ddeItem name="9944.TW-SimulateTime" advise="1">
        <values>
          <value t="str">
            <val>--</val>
          </value>
        </values>
      </ddeItem>
      <ddeItem name="9945.TW-ID" advise="1">
        <values>
          <value t="str">
            <val>9945</val>
          </value>
        </values>
      </ddeItem>
      <ddeItem name="9945.TW-Name" advise="1">
        <values>
          <value t="str">
            <val>潤泰新</val>
          </value>
        </values>
      </ddeItem>
      <ddeItem name="9945.TW-PreClose" advise="1">
        <values>
          <value>
            <val>43.65</val>
          </value>
        </values>
      </ddeItem>
      <ddeItem name="9945.TW-Price" advise="1">
        <values>
          <value>
            <val>44.35</val>
          </value>
        </values>
      </ddeItem>
      <ddeItem name="9945.TW-SimulatePrice" advise="1">
        <values>
          <value>
            <val>44.35</val>
          </value>
        </values>
      </ddeItem>
      <ddeItem name="9945.TW-SimulateTime" advise="1">
        <values>
          <value t="str">
            <val>13:29:57</val>
          </value>
        </values>
      </ddeItem>
      <ddeItem name="9946.TW-ID" advise="1">
        <values>
          <value t="str">
            <val>9946</val>
          </value>
        </values>
      </ddeItem>
      <ddeItem name="9946.TW-Name" advise="1">
        <values>
          <value t="str">
            <val>三發地產</val>
          </value>
        </values>
      </ddeItem>
      <ddeItem name="9946.TW-PreClose" advise="1">
        <values>
          <value>
            <val>15.2</val>
          </value>
        </values>
      </ddeItem>
      <ddeItem name="9946.TW-Price" advise="1">
        <values>
          <value>
            <val>14.95</val>
          </value>
        </values>
      </ddeItem>
      <ddeItem name="9946.TW-SimulatePrice" advise="1">
        <values>
          <value>
            <val>14.95</val>
          </value>
        </values>
      </ddeItem>
      <ddeItem name="9946.TW-SimulateTime" advise="1">
        <values>
          <value t="str">
            <val>13:27:54</val>
          </value>
        </values>
      </ddeItem>
      <ddeItem name="9955.TW-ID" advise="1">
        <values>
          <value t="str">
            <val>9955</val>
          </value>
        </values>
      </ddeItem>
      <ddeItem name="9955.TW-Name" advise="1">
        <values>
          <value t="str">
            <val>佳龍</val>
          </value>
        </values>
      </ddeItem>
      <ddeItem name="9955.TW-PreClose" advise="1">
        <values>
          <value>
            <val>15.2</val>
          </value>
        </values>
      </ddeItem>
      <ddeItem name="9955.TW-Price" advise="1">
        <values>
          <value>
            <val>15.7</val>
          </value>
        </values>
      </ddeItem>
      <ddeItem name="9955.TW-SimulatePrice" advise="1">
        <values>
          <value>
            <val>15.7</val>
          </value>
        </values>
      </ddeItem>
      <ddeItem name="9955.TW-SimulateTime" advise="1">
        <values>
          <value t="str">
            <val>13:29:44</val>
          </value>
        </values>
      </ddeItem>
      <ddeItem name="9958.TW-ID" advise="1">
        <values>
          <value t="str">
            <val>9958</val>
          </value>
        </values>
      </ddeItem>
      <ddeItem name="9958.TW-Name" advise="1">
        <values>
          <value t="str">
            <val>世紀鋼</val>
          </value>
        </values>
      </ddeItem>
      <ddeItem name="9958.TW-PreClose" advise="1">
        <values>
          <value>
            <val>84.2</val>
          </value>
        </values>
      </ddeItem>
      <ddeItem name="9958.TW-Price" advise="1">
        <values>
          <value>
            <val>83.2</val>
          </value>
        </values>
      </ddeItem>
      <ddeItem name="9958.TW-SimulatePrice" advise="1">
        <values>
          <value>
            <val>83.2</val>
          </value>
        </values>
      </ddeItem>
      <ddeItem name="9958.TW-SimulateTime" advise="1">
        <values>
          <value t="str">
            <val>13:29:57</val>
          </value>
        </values>
      </ddeItem>
      <ddeItem name="StdDocumentName" ole="1" advise="1"/>
      <ddeItem name="TSE.TW-ID" advise="1"/>
      <ddeItem name="TSE.TW-Name" advise="1"/>
      <ddeItem name="TSE.TW-Price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9A1-0394-40DC-898C-CE1BF6FD0CD9}">
  <dimension ref="A1:G10000"/>
  <sheetViews>
    <sheetView tabSelected="1" topLeftCell="A9990" workbookViewId="0">
      <selection activeCell="E9998" sqref="E9998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tr">
        <f>[1]!'1101.TW-ID'</f>
        <v>1101</v>
      </c>
      <c r="B2" t="str">
        <f>[1]!'1101.TW-Name'</f>
        <v>台泥</v>
      </c>
      <c r="C2">
        <f>[1]!'1101.TW-SimulatePrice'</f>
        <v>42.3</v>
      </c>
      <c r="D2">
        <f>[1]!'1101.TW-PreClose'</f>
        <v>42.6</v>
      </c>
      <c r="E2" t="str">
        <f>[1]!'1101.TW-SimulateTime'</f>
        <v>13:29:55</v>
      </c>
    </row>
    <row r="3" spans="1:6" x14ac:dyDescent="0.25">
      <c r="A3" t="str">
        <f>[1]!'1102.TW-ID'</f>
        <v>1102</v>
      </c>
      <c r="B3" t="str">
        <f>[1]!'1102.TW-Name'</f>
        <v>亞泥</v>
      </c>
      <c r="C3">
        <f>[1]!'1102.TW-SimulatePrice'</f>
        <v>43.95</v>
      </c>
      <c r="D3">
        <f>[1]!'1102.TW-PreClose'</f>
        <v>43.8</v>
      </c>
      <c r="E3" t="str">
        <f>[1]!'1102.TW-SimulateTime'</f>
        <v>13:29:53</v>
      </c>
    </row>
    <row r="4" spans="1:6" x14ac:dyDescent="0.25">
      <c r="A4" t="str">
        <f>[1]!'1103.TW-ID'</f>
        <v>1103</v>
      </c>
      <c r="B4" t="str">
        <f>[1]!'1103.TW-Name'</f>
        <v>嘉泥</v>
      </c>
      <c r="C4">
        <f>[1]!'1103.TW-SimulatePrice'</f>
        <v>15.95</v>
      </c>
      <c r="D4">
        <f>[1]!'1103.TW-PreClose'</f>
        <v>16.2</v>
      </c>
      <c r="E4" t="str">
        <f>[1]!'1103.TW-SimulateTime'</f>
        <v>13:29:55</v>
      </c>
    </row>
    <row r="5" spans="1:6" x14ac:dyDescent="0.25">
      <c r="A5" t="str">
        <f>[1]!'1104.TW-ID'</f>
        <v>1104</v>
      </c>
      <c r="B5" t="str">
        <f>[1]!'1104.TW-Name'</f>
        <v>環泥</v>
      </c>
      <c r="C5">
        <f>[1]!'1104.TW-SimulatePrice'</f>
        <v>17.350000000000001</v>
      </c>
      <c r="D5">
        <f>[1]!'1104.TW-PreClose'</f>
        <v>17.5</v>
      </c>
      <c r="E5" t="str">
        <f>[1]!'1104.TW-SimulateTime'</f>
        <v>13:29:45</v>
      </c>
    </row>
    <row r="6" spans="1:6" x14ac:dyDescent="0.25">
      <c r="A6" t="str">
        <f>[1]!'1108.TW-ID'</f>
        <v>1108</v>
      </c>
      <c r="B6" t="str">
        <f>[1]!'1108.TW-Name'</f>
        <v>幸福</v>
      </c>
      <c r="C6">
        <f>[1]!'1108.TW-SimulatePrice'</f>
        <v>8.3800000000000008</v>
      </c>
      <c r="D6">
        <f>[1]!'1108.TW-PreClose'</f>
        <v>7.79</v>
      </c>
      <c r="E6" t="str">
        <f>[1]!'1108.TW-SimulateTime'</f>
        <v>13:29:59</v>
      </c>
    </row>
    <row r="7" spans="1:6" x14ac:dyDescent="0.25">
      <c r="A7" t="str">
        <f>[1]!'1109.TW-ID'</f>
        <v>1109</v>
      </c>
      <c r="B7" t="str">
        <f>[1]!'1109.TW-Name'</f>
        <v>信大</v>
      </c>
      <c r="C7">
        <f>[1]!'1109.TW-SimulatePrice'</f>
        <v>17.3</v>
      </c>
      <c r="D7">
        <f>[1]!'1109.TW-PreClose'</f>
        <v>17.2</v>
      </c>
      <c r="E7" t="str">
        <f>[1]!'1109.TW-SimulateTime'</f>
        <v>13:29:44</v>
      </c>
    </row>
    <row r="8" spans="1:6" x14ac:dyDescent="0.25">
      <c r="A8" t="str">
        <f>[1]!'1110.TW-ID'</f>
        <v>1110</v>
      </c>
      <c r="B8" t="str">
        <f>[1]!'1110.TW-Name'</f>
        <v>東泥</v>
      </c>
      <c r="C8">
        <f>[1]!'1110.TW-SimulatePrice'</f>
        <v>15.85</v>
      </c>
      <c r="D8">
        <f>[1]!'1110.TW-PreClose'</f>
        <v>15.85</v>
      </c>
      <c r="E8" t="str">
        <f>[1]!'1110.TW-SimulateTime'</f>
        <v>13:29:58</v>
      </c>
    </row>
    <row r="9" spans="1:6" x14ac:dyDescent="0.25">
      <c r="A9" t="str">
        <f>[1]!'1201.TW-ID'</f>
        <v>1201</v>
      </c>
      <c r="B9" t="str">
        <f>[1]!'1201.TW-Name'</f>
        <v>味全</v>
      </c>
      <c r="C9">
        <f>[1]!'1201.TW-SimulatePrice'</f>
        <v>22</v>
      </c>
      <c r="D9">
        <f>[1]!'1201.TW-PreClose'</f>
        <v>22.15</v>
      </c>
      <c r="E9" t="str">
        <f>[1]!'1201.TW-SimulateTime'</f>
        <v>13:29:59</v>
      </c>
    </row>
    <row r="10" spans="1:6" x14ac:dyDescent="0.25">
      <c r="A10" t="str">
        <f>[1]!'1203.TW-ID'</f>
        <v>1203</v>
      </c>
      <c r="B10" t="str">
        <f>[1]!'1203.TW-Name'</f>
        <v>味王</v>
      </c>
      <c r="C10" t="str">
        <f>[1]!'1203.TW-SimulatePrice'</f>
        <v>--</v>
      </c>
      <c r="D10">
        <f>[1]!'1203.TW-PreClose'</f>
        <v>28</v>
      </c>
      <c r="E10" t="str">
        <f>[1]!'1203.TW-SimulateTime'</f>
        <v>--</v>
      </c>
    </row>
    <row r="11" spans="1:6" x14ac:dyDescent="0.25">
      <c r="A11" t="str">
        <f>[1]!'1210.TW-ID'</f>
        <v>1210</v>
      </c>
      <c r="B11" t="str">
        <f>[1]!'1210.TW-Name'</f>
        <v>大成</v>
      </c>
      <c r="C11">
        <f>[1]!'1210.TW-SimulatePrice'</f>
        <v>42.8</v>
      </c>
      <c r="D11">
        <f>[1]!'1210.TW-PreClose'</f>
        <v>41.9</v>
      </c>
      <c r="E11" t="str">
        <f>[1]!'1210.TW-SimulateTime'</f>
        <v>13:29:58</v>
      </c>
    </row>
    <row r="12" spans="1:6" x14ac:dyDescent="0.25">
      <c r="A12" t="str">
        <f>[1]!'1213.TW-ID'</f>
        <v>1213</v>
      </c>
      <c r="B12" t="str">
        <f>[1]!'1213.TW-Name'</f>
        <v>大飲</v>
      </c>
      <c r="C12" t="str">
        <f>[1]!'1213.TW-SimulatePrice'</f>
        <v>--</v>
      </c>
      <c r="D12">
        <f>[1]!'1213.TW-PreClose'</f>
        <v>5.83</v>
      </c>
      <c r="E12" t="str">
        <f>[1]!'1213.TW-SimulateTime'</f>
        <v>--</v>
      </c>
    </row>
    <row r="13" spans="1:6" x14ac:dyDescent="0.25">
      <c r="A13" t="str">
        <f>[1]!'1215.TW-ID'</f>
        <v>1215</v>
      </c>
      <c r="B13" t="str">
        <f>[1]!'1215.TW-Name'</f>
        <v>卜蜂</v>
      </c>
      <c r="C13">
        <f>[1]!'1215.TW-SimulatePrice'</f>
        <v>70.3</v>
      </c>
      <c r="D13">
        <f>[1]!'1215.TW-PreClose'</f>
        <v>70.599999999999994</v>
      </c>
      <c r="E13" t="str">
        <f>[1]!'1215.TW-SimulateTime'</f>
        <v>13:29:59</v>
      </c>
    </row>
    <row r="14" spans="1:6" x14ac:dyDescent="0.25">
      <c r="A14" t="str">
        <f>[1]!'1216.TW-ID'</f>
        <v>1216</v>
      </c>
      <c r="B14" t="str">
        <f>[1]!'1216.TW-Name'</f>
        <v>統一</v>
      </c>
      <c r="C14">
        <f>[1]!'1216.TW-SimulatePrice'</f>
        <v>69.099999999999994</v>
      </c>
      <c r="D14">
        <f>[1]!'1216.TW-PreClose'</f>
        <v>70</v>
      </c>
      <c r="E14" t="str">
        <f>[1]!'1216.TW-SimulateTime'</f>
        <v>13:29:57</v>
      </c>
    </row>
    <row r="15" spans="1:6" x14ac:dyDescent="0.25">
      <c r="A15" t="str">
        <f>[1]!'1217.TW-ID'</f>
        <v>1217</v>
      </c>
      <c r="B15" t="str">
        <f>[1]!'1217.TW-Name'</f>
        <v>愛之味</v>
      </c>
      <c r="C15">
        <f>[1]!'1217.TW-SimulatePrice'</f>
        <v>7.06</v>
      </c>
      <c r="D15">
        <f>[1]!'1217.TW-PreClose'</f>
        <v>7.02</v>
      </c>
      <c r="E15" t="str">
        <f>[1]!'1217.TW-SimulateTime'</f>
        <v>13:29:39</v>
      </c>
    </row>
    <row r="16" spans="1:6" x14ac:dyDescent="0.25">
      <c r="A16" t="str">
        <f>[1]!'1218.TW-ID'</f>
        <v>1218</v>
      </c>
      <c r="B16" t="str">
        <f>[1]!'1218.TW-Name'</f>
        <v>泰山</v>
      </c>
      <c r="C16">
        <f>[1]!'1218.TW-SimulatePrice'</f>
        <v>24.8</v>
      </c>
      <c r="D16">
        <f>[1]!'1218.TW-PreClose'</f>
        <v>24.35</v>
      </c>
      <c r="E16" t="str">
        <f>[1]!'1218.TW-SimulateTime'</f>
        <v>13:29:50</v>
      </c>
    </row>
    <row r="17" spans="1:5" x14ac:dyDescent="0.25">
      <c r="A17" t="str">
        <f>[1]!'1219.TW-ID'</f>
        <v>1219</v>
      </c>
      <c r="B17" t="str">
        <f>[1]!'1219.TW-Name'</f>
        <v>福壽</v>
      </c>
      <c r="C17">
        <f>[1]!'1219.TW-SimulatePrice'</f>
        <v>19.2</v>
      </c>
      <c r="D17">
        <f>[1]!'1219.TW-PreClose'</f>
        <v>18.25</v>
      </c>
      <c r="E17" t="str">
        <f>[1]!'1219.TW-SimulateTime'</f>
        <v>13:29:43</v>
      </c>
    </row>
    <row r="18" spans="1:5" x14ac:dyDescent="0.25">
      <c r="A18" t="str">
        <f>[1]!'1220.TW-ID'</f>
        <v>1220</v>
      </c>
      <c r="B18" t="str">
        <f>[1]!'1220.TW-Name'</f>
        <v>台榮</v>
      </c>
      <c r="C18">
        <f>[1]!'1220.TW-SimulatePrice'</f>
        <v>10.45</v>
      </c>
      <c r="D18">
        <f>[1]!'1220.TW-PreClose'</f>
        <v>10.5</v>
      </c>
      <c r="E18" t="str">
        <f>[1]!'1220.TW-SimulateTime'</f>
        <v>13:26:31</v>
      </c>
    </row>
    <row r="19" spans="1:5" x14ac:dyDescent="0.25">
      <c r="A19" t="str">
        <f>[1]!'1225.TW-ID'</f>
        <v>1225</v>
      </c>
      <c r="B19" t="str">
        <f>[1]!'1225.TW-Name'</f>
        <v>福懋油</v>
      </c>
      <c r="C19">
        <f>[1]!'1225.TW-SimulatePrice'</f>
        <v>36.15</v>
      </c>
      <c r="D19">
        <f>[1]!'1225.TW-PreClose'</f>
        <v>37.6</v>
      </c>
      <c r="E19" t="str">
        <f>[1]!'1225.TW-SimulateTime'</f>
        <v>13:29:45</v>
      </c>
    </row>
    <row r="20" spans="1:5" x14ac:dyDescent="0.25">
      <c r="A20" t="str">
        <f>[1]!'1227.TW-ID'</f>
        <v>1227</v>
      </c>
      <c r="B20" t="str">
        <f>[1]!'1227.TW-Name'</f>
        <v>佳格</v>
      </c>
      <c r="C20">
        <f>[1]!'1227.TW-SimulatePrice'</f>
        <v>67</v>
      </c>
      <c r="D20">
        <f>[1]!'1227.TW-PreClose'</f>
        <v>67.8</v>
      </c>
      <c r="E20" t="str">
        <f>[1]!'1227.TW-SimulateTime'</f>
        <v>13:29:55</v>
      </c>
    </row>
    <row r="21" spans="1:5" x14ac:dyDescent="0.25">
      <c r="A21" t="str">
        <f>[1]!'1229.TW-ID'</f>
        <v>1229</v>
      </c>
      <c r="B21" t="str">
        <f>[1]!'1229.TW-Name'</f>
        <v>聯華</v>
      </c>
      <c r="C21">
        <f>[1]!'1229.TW-SimulatePrice'</f>
        <v>41.3</v>
      </c>
      <c r="D21">
        <f>[1]!'1229.TW-PreClose'</f>
        <v>41.1</v>
      </c>
      <c r="E21" t="str">
        <f>[1]!'1229.TW-SimulateTime'</f>
        <v>13:29:56</v>
      </c>
    </row>
    <row r="22" spans="1:5" x14ac:dyDescent="0.25">
      <c r="A22" t="str">
        <f>[1]!'1231.TW-ID'</f>
        <v>1231</v>
      </c>
      <c r="B22" t="str">
        <f>[1]!'1231.TW-Name'</f>
        <v>聯華食</v>
      </c>
      <c r="C22">
        <f>[1]!'1231.TW-SimulatePrice'</f>
        <v>41.15</v>
      </c>
      <c r="D22">
        <f>[1]!'1231.TW-PreClose'</f>
        <v>41.2</v>
      </c>
      <c r="E22" t="str">
        <f>[1]!'1231.TW-SimulateTime'</f>
        <v>13:26:53</v>
      </c>
    </row>
    <row r="23" spans="1:5" x14ac:dyDescent="0.25">
      <c r="A23" t="str">
        <f>[1]!'1232.TW-ID'</f>
        <v>1232</v>
      </c>
      <c r="B23" t="str">
        <f>[1]!'1232.TW-Name'</f>
        <v>大統益</v>
      </c>
      <c r="C23">
        <f>[1]!'1232.TW-SimulatePrice'</f>
        <v>117.5</v>
      </c>
      <c r="D23">
        <f>[1]!'1232.TW-PreClose'</f>
        <v>117.5</v>
      </c>
      <c r="E23" t="str">
        <f>[1]!'1232.TW-SimulateTime'</f>
        <v>13:29:52</v>
      </c>
    </row>
    <row r="24" spans="1:5" x14ac:dyDescent="0.25">
      <c r="A24" t="str">
        <f>[1]!'1233.TW-ID'</f>
        <v>1233</v>
      </c>
      <c r="B24" t="str">
        <f>[1]!'1233.TW-Name'</f>
        <v>天仁</v>
      </c>
      <c r="C24" t="str">
        <f>[1]!'1233.TW-SimulatePrice'</f>
        <v>--</v>
      </c>
      <c r="D24">
        <f>[1]!'1233.TW-PreClose'</f>
        <v>36</v>
      </c>
      <c r="E24" t="str">
        <f>[1]!'1233.TW-SimulateTime'</f>
        <v>--</v>
      </c>
    </row>
    <row r="25" spans="1:5" x14ac:dyDescent="0.25">
      <c r="A25" t="str">
        <f>[1]!'1234.TW-ID'</f>
        <v>1234</v>
      </c>
      <c r="B25" t="str">
        <f>[1]!'1234.TW-Name'</f>
        <v>黑松</v>
      </c>
      <c r="C25" t="str">
        <f>[1]!'1234.TW-SimulatePrice'</f>
        <v>--</v>
      </c>
      <c r="D25">
        <f>[1]!'1234.TW-PreClose'</f>
        <v>31.75</v>
      </c>
      <c r="E25" t="str">
        <f>[1]!'1234.TW-SimulateTime'</f>
        <v>--</v>
      </c>
    </row>
    <row r="26" spans="1:5" x14ac:dyDescent="0.25">
      <c r="A26" t="str">
        <f>[1]!'1235.TW-ID'</f>
        <v>1235</v>
      </c>
      <c r="B26" t="str">
        <f>[1]!'1235.TW-Name'</f>
        <v>興泰</v>
      </c>
      <c r="C26">
        <f>[1]!'1235.TW-SimulatePrice'</f>
        <v>25.2</v>
      </c>
      <c r="D26">
        <f>[1]!'1235.TW-PreClose'</f>
        <v>25.5</v>
      </c>
      <c r="E26" t="str">
        <f>[1]!'1235.TW-SimulateTime'</f>
        <v>13:28:21</v>
      </c>
    </row>
    <row r="27" spans="1:5" x14ac:dyDescent="0.25">
      <c r="A27" t="str">
        <f>[1]!'1236.TW-ID'</f>
        <v>1236</v>
      </c>
      <c r="B27" t="str">
        <f>[1]!'1236.TW-Name'</f>
        <v>宏亞</v>
      </c>
      <c r="C27">
        <f>[1]!'1236.TW-SimulatePrice'</f>
        <v>11.95</v>
      </c>
      <c r="D27">
        <f>[1]!'1236.TW-PreClose'</f>
        <v>11.95</v>
      </c>
      <c r="E27" t="str">
        <f>[1]!'1236.TW-SimulateTime'</f>
        <v>13:25:50</v>
      </c>
    </row>
    <row r="28" spans="1:5" x14ac:dyDescent="0.25">
      <c r="A28" t="str">
        <f>[1]!'1256.TW-ID'</f>
        <v>1256</v>
      </c>
      <c r="B28" t="str">
        <f>[1]!'1256.TW-Name'</f>
        <v>鮮活果汁-KY</v>
      </c>
      <c r="C28">
        <f>[1]!'1256.TW-SimulatePrice'</f>
        <v>197.5</v>
      </c>
      <c r="D28">
        <f>[1]!'1256.TW-PreClose'</f>
        <v>197.5</v>
      </c>
      <c r="E28" t="str">
        <f>[1]!'1256.TW-SimulateTime'</f>
        <v>13:29:46</v>
      </c>
    </row>
    <row r="29" spans="1:5" x14ac:dyDescent="0.25">
      <c r="A29" t="str">
        <f>[1]!'1702.TW-ID'</f>
        <v>1702</v>
      </c>
      <c r="B29" t="str">
        <f>[1]!'1702.TW-Name'</f>
        <v>南僑</v>
      </c>
      <c r="C29">
        <f>[1]!'1702.TW-SimulatePrice'</f>
        <v>44.2</v>
      </c>
      <c r="D29">
        <f>[1]!'1702.TW-PreClose'</f>
        <v>44.35</v>
      </c>
      <c r="E29" t="str">
        <f>[1]!'1702.TW-SimulateTime'</f>
        <v>13:28:50</v>
      </c>
    </row>
    <row r="30" spans="1:5" x14ac:dyDescent="0.25">
      <c r="A30" t="str">
        <f>[1]!'1737.TW-ID'</f>
        <v>1737</v>
      </c>
      <c r="B30" t="str">
        <f>[1]!'1737.TW-Name'</f>
        <v>臺鹽</v>
      </c>
      <c r="C30">
        <f>[1]!'1737.TW-SimulatePrice'</f>
        <v>30.7</v>
      </c>
      <c r="D30">
        <f>[1]!'1737.TW-PreClose'</f>
        <v>30.75</v>
      </c>
      <c r="E30" t="str">
        <f>[1]!'1737.TW-SimulateTime'</f>
        <v>13:29:59</v>
      </c>
    </row>
    <row r="31" spans="1:5" x14ac:dyDescent="0.25">
      <c r="A31" t="str">
        <f>[1]!'1301.TW-ID'</f>
        <v>1301</v>
      </c>
      <c r="B31" t="str">
        <f>[1]!'1301.TW-Name'</f>
        <v>台塑</v>
      </c>
      <c r="C31">
        <f>[1]!'1301.TW-SimulatePrice'</f>
        <v>83.6</v>
      </c>
      <c r="D31">
        <f>[1]!'1301.TW-PreClose'</f>
        <v>83.5</v>
      </c>
      <c r="E31" t="str">
        <f>[1]!'1301.TW-SimulateTime'</f>
        <v>13:29:59</v>
      </c>
    </row>
    <row r="32" spans="1:5" x14ac:dyDescent="0.25">
      <c r="A32" t="str">
        <f>[1]!'1303.TW-ID'</f>
        <v>1303</v>
      </c>
      <c r="B32" t="str">
        <f>[1]!'1303.TW-Name'</f>
        <v>南亞</v>
      </c>
      <c r="C32">
        <f>[1]!'1303.TW-SimulatePrice'</f>
        <v>62.7</v>
      </c>
      <c r="D32">
        <f>[1]!'1303.TW-PreClose'</f>
        <v>62.7</v>
      </c>
      <c r="E32" t="str">
        <f>[1]!'1303.TW-SimulateTime'</f>
        <v>13:29:55</v>
      </c>
    </row>
    <row r="33" spans="1:5" x14ac:dyDescent="0.25">
      <c r="A33" t="str">
        <f>[1]!'1304.TW-ID'</f>
        <v>1304</v>
      </c>
      <c r="B33" t="str">
        <f>[1]!'1304.TW-Name'</f>
        <v>台聚</v>
      </c>
      <c r="C33">
        <f>[1]!'1304.TW-SimulatePrice'</f>
        <v>11.85</v>
      </c>
      <c r="D33">
        <f>[1]!'1304.TW-PreClose'</f>
        <v>11.85</v>
      </c>
      <c r="E33" t="str">
        <f>[1]!'1304.TW-SimulateTime'</f>
        <v>13:29:57</v>
      </c>
    </row>
    <row r="34" spans="1:5" x14ac:dyDescent="0.25">
      <c r="A34" t="str">
        <f>[1]!'1305.TW-ID'</f>
        <v>1305</v>
      </c>
      <c r="B34" t="str">
        <f>[1]!'1305.TW-Name'</f>
        <v>華夏</v>
      </c>
      <c r="C34">
        <f>[1]!'1305.TW-SimulatePrice'</f>
        <v>18.149999999999999</v>
      </c>
      <c r="D34">
        <f>[1]!'1305.TW-PreClose'</f>
        <v>17.399999999999999</v>
      </c>
      <c r="E34" t="str">
        <f>[1]!'1305.TW-SimulateTime'</f>
        <v>13:29:57</v>
      </c>
    </row>
    <row r="35" spans="1:5" x14ac:dyDescent="0.25">
      <c r="A35" t="str">
        <f>[1]!'1307.TW-ID'</f>
        <v>1307</v>
      </c>
      <c r="B35" t="str">
        <f>[1]!'1307.TW-Name'</f>
        <v>三芳</v>
      </c>
      <c r="C35" t="str">
        <f>[1]!'1307.TW-SimulatePrice'</f>
        <v>--</v>
      </c>
      <c r="D35">
        <f>[1]!'1307.TW-PreClose'</f>
        <v>22.65</v>
      </c>
      <c r="E35" t="str">
        <f>[1]!'1307.TW-SimulateTime'</f>
        <v>--</v>
      </c>
    </row>
    <row r="36" spans="1:5" x14ac:dyDescent="0.25">
      <c r="A36" t="str">
        <f>[1]!'1308.TW-ID'</f>
        <v>1308</v>
      </c>
      <c r="B36" t="str">
        <f>[1]!'1308.TW-Name'</f>
        <v>亞聚</v>
      </c>
      <c r="C36">
        <f>[1]!'1308.TW-SimulatePrice'</f>
        <v>17</v>
      </c>
      <c r="D36">
        <f>[1]!'1308.TW-PreClose'</f>
        <v>16.75</v>
      </c>
      <c r="E36" t="str">
        <f>[1]!'1308.TW-SimulateTime'</f>
        <v>13:29:56</v>
      </c>
    </row>
    <row r="37" spans="1:5" x14ac:dyDescent="0.25">
      <c r="A37" t="str">
        <f>[1]!'1309.TW-ID'</f>
        <v>1309</v>
      </c>
      <c r="B37" t="str">
        <f>[1]!'1309.TW-Name'</f>
        <v>台達化</v>
      </c>
      <c r="C37">
        <f>[1]!'1309.TW-SimulatePrice'</f>
        <v>10.8</v>
      </c>
      <c r="D37">
        <f>[1]!'1309.TW-PreClose'</f>
        <v>10.1</v>
      </c>
      <c r="E37" t="str">
        <f>[1]!'1309.TW-SimulateTime'</f>
        <v>13:29:56</v>
      </c>
    </row>
    <row r="38" spans="1:5" x14ac:dyDescent="0.25">
      <c r="A38" t="str">
        <f>[1]!'1310.TW-ID'</f>
        <v>1310</v>
      </c>
      <c r="B38" t="str">
        <f>[1]!'1310.TW-Name'</f>
        <v>台苯</v>
      </c>
      <c r="C38">
        <f>[1]!'1310.TW-SimulatePrice'</f>
        <v>16</v>
      </c>
      <c r="D38">
        <f>[1]!'1310.TW-PreClose'</f>
        <v>16.100000000000001</v>
      </c>
      <c r="E38" t="str">
        <f>[1]!'1310.TW-SimulateTime'</f>
        <v>13:29:44</v>
      </c>
    </row>
    <row r="39" spans="1:5" x14ac:dyDescent="0.25">
      <c r="A39" t="str">
        <f>[1]!'1312.TW-ID'</f>
        <v>1312</v>
      </c>
      <c r="B39" t="str">
        <f>[1]!'1312.TW-Name'</f>
        <v>國喬</v>
      </c>
      <c r="C39">
        <f>[1]!'1312.TW-SimulatePrice'</f>
        <v>13.8</v>
      </c>
      <c r="D39">
        <f>[1]!'1312.TW-PreClose'</f>
        <v>13.8</v>
      </c>
      <c r="E39" t="str">
        <f>[1]!'1312.TW-SimulateTime'</f>
        <v>13:29:50</v>
      </c>
    </row>
    <row r="40" spans="1:5" x14ac:dyDescent="0.25">
      <c r="A40" t="str">
        <f>[1]!'1313.TW-ID'</f>
        <v>1313</v>
      </c>
      <c r="B40" t="str">
        <f>[1]!'1313.TW-Name'</f>
        <v>聯成</v>
      </c>
      <c r="C40">
        <f>[1]!'1313.TW-SimulatePrice'</f>
        <v>9.31</v>
      </c>
      <c r="D40">
        <f>[1]!'1313.TW-PreClose'</f>
        <v>9.16</v>
      </c>
      <c r="E40" t="str">
        <f>[1]!'1313.TW-SimulateTime'</f>
        <v>13:29:56</v>
      </c>
    </row>
    <row r="41" spans="1:5" x14ac:dyDescent="0.25">
      <c r="A41" t="str">
        <f>[1]!'1314.TW-ID'</f>
        <v>1314</v>
      </c>
      <c r="B41" t="str">
        <f>[1]!'1314.TW-Name'</f>
        <v>中石化</v>
      </c>
      <c r="C41">
        <f>[1]!'1314.TW-SimulatePrice'</f>
        <v>8.08</v>
      </c>
      <c r="D41">
        <f>[1]!'1314.TW-PreClose'</f>
        <v>8.18</v>
      </c>
      <c r="E41" t="str">
        <f>[1]!'1314.TW-SimulateTime'</f>
        <v>13:29:58</v>
      </c>
    </row>
    <row r="42" spans="1:5" x14ac:dyDescent="0.25">
      <c r="A42" t="str">
        <f>[1]!'1315.TW-ID'</f>
        <v>1315</v>
      </c>
      <c r="B42" t="str">
        <f>[1]!'1315.TW-Name'</f>
        <v>達新</v>
      </c>
      <c r="C42">
        <f>[1]!'1315.TW-SimulatePrice'</f>
        <v>51.1</v>
      </c>
      <c r="D42">
        <f>[1]!'1315.TW-PreClose'</f>
        <v>48.3</v>
      </c>
      <c r="E42" t="str">
        <f>[1]!'1315.TW-SimulateTime'</f>
        <v>13:29:58</v>
      </c>
    </row>
    <row r="43" spans="1:5" x14ac:dyDescent="0.25">
      <c r="A43" t="str">
        <f>[1]!'1321.TW-ID'</f>
        <v>1321</v>
      </c>
      <c r="B43" t="str">
        <f>[1]!'1321.TW-Name'</f>
        <v>大洋</v>
      </c>
      <c r="C43">
        <f>[1]!'1321.TW-SimulatePrice'</f>
        <v>29.6</v>
      </c>
      <c r="D43">
        <f>[1]!'1321.TW-PreClose'</f>
        <v>30.35</v>
      </c>
      <c r="E43" t="str">
        <f>[1]!'1321.TW-SimulateTime'</f>
        <v>13:29:57</v>
      </c>
    </row>
    <row r="44" spans="1:5" x14ac:dyDescent="0.25">
      <c r="A44" t="str">
        <f>[1]!'1323.TW-ID'</f>
        <v>1323</v>
      </c>
      <c r="B44" t="str">
        <f>[1]!'1323.TW-Name'</f>
        <v>永裕</v>
      </c>
      <c r="C44">
        <f>[1]!'1323.TW-SimulatePrice'</f>
        <v>33.200000000000003</v>
      </c>
      <c r="D44">
        <f>[1]!'1323.TW-PreClose'</f>
        <v>32.799999999999997</v>
      </c>
      <c r="E44" t="str">
        <f>[1]!'1323.TW-SimulateTime'</f>
        <v>13:29:57</v>
      </c>
    </row>
    <row r="45" spans="1:5" x14ac:dyDescent="0.25">
      <c r="A45" t="str">
        <f>[1]!'1324.TW-ID'</f>
        <v>1324</v>
      </c>
      <c r="B45" t="str">
        <f>[1]!'1324.TW-Name'</f>
        <v>地球</v>
      </c>
      <c r="C45" t="str">
        <f>[1]!'1324.TW-SimulatePrice'</f>
        <v>--</v>
      </c>
      <c r="D45">
        <f>[1]!'1324.TW-PreClose'</f>
        <v>9.1999999999999993</v>
      </c>
      <c r="E45" t="str">
        <f>[1]!'1324.TW-SimulateTime'</f>
        <v>--</v>
      </c>
    </row>
    <row r="46" spans="1:5" x14ac:dyDescent="0.25">
      <c r="A46" t="str">
        <f>[1]!'1325.TW-ID'</f>
        <v>1325</v>
      </c>
      <c r="B46" t="str">
        <f>[1]!'1325.TW-Name'</f>
        <v>恆大</v>
      </c>
      <c r="C46" t="str">
        <f>[1]!'1325.TW-SimulatePrice'</f>
        <v>--</v>
      </c>
      <c r="D46">
        <f>[1]!'1325.TW-PreClose'</f>
        <v>103</v>
      </c>
      <c r="E46" t="str">
        <f>[1]!'1325.TW-SimulateTime'</f>
        <v>--</v>
      </c>
    </row>
    <row r="47" spans="1:5" x14ac:dyDescent="0.25">
      <c r="A47" t="str">
        <f>[1]!'1326.TW-ID'</f>
        <v>1326</v>
      </c>
      <c r="B47" t="str">
        <f>[1]!'1326.TW-Name'</f>
        <v>台化</v>
      </c>
      <c r="C47">
        <f>[1]!'1326.TW-SimulatePrice'</f>
        <v>72.3</v>
      </c>
      <c r="D47">
        <f>[1]!'1326.TW-PreClose'</f>
        <v>72.599999999999994</v>
      </c>
      <c r="E47" t="str">
        <f>[1]!'1326.TW-SimulateTime'</f>
        <v>13:29:58</v>
      </c>
    </row>
    <row r="48" spans="1:5" x14ac:dyDescent="0.25">
      <c r="A48" t="str">
        <f>[1]!'1337.TW-ID'</f>
        <v>1337</v>
      </c>
      <c r="B48" t="str">
        <f>[1]!'1337.TW-Name'</f>
        <v>再生-KY</v>
      </c>
      <c r="C48">
        <f>[1]!'1337.TW-SimulatePrice'</f>
        <v>4.91</v>
      </c>
      <c r="D48">
        <f>[1]!'1337.TW-PreClose'</f>
        <v>4.8</v>
      </c>
      <c r="E48" t="str">
        <f>[1]!'1337.TW-SimulateTime'</f>
        <v>13:29:52</v>
      </c>
    </row>
    <row r="49" spans="1:5" x14ac:dyDescent="0.25">
      <c r="A49" t="str">
        <f>[1]!'1340.TW-ID'</f>
        <v>1340</v>
      </c>
      <c r="B49" t="str">
        <f>[1]!'1340.TW-Name'</f>
        <v>勝悅-KY</v>
      </c>
      <c r="C49">
        <f>[1]!'1340.TW-SimulatePrice'</f>
        <v>10.050000000000001</v>
      </c>
      <c r="D49">
        <f>[1]!'1340.TW-PreClose'</f>
        <v>9.9</v>
      </c>
      <c r="E49" t="str">
        <f>[1]!'1340.TW-SimulateTime'</f>
        <v>13:29:54</v>
      </c>
    </row>
    <row r="50" spans="1:5" x14ac:dyDescent="0.25">
      <c r="A50" t="str">
        <f>[1]!'1341.TW-ID'</f>
        <v>1341</v>
      </c>
      <c r="B50" t="str">
        <f>[1]!'1341.TW-Name'</f>
        <v>富林-KY</v>
      </c>
      <c r="C50" t="str">
        <f>[1]!'1341.TW-SimulatePrice'</f>
        <v>--</v>
      </c>
      <c r="D50">
        <f>[1]!'1341.TW-PreClose'</f>
        <v>61.9</v>
      </c>
      <c r="E50" t="str">
        <f>[1]!'1341.TW-SimulateTime'</f>
        <v>--</v>
      </c>
    </row>
    <row r="51" spans="1:5" x14ac:dyDescent="0.25">
      <c r="A51" t="str">
        <f>[1]!'4306.TW-ID'</f>
        <v>4306</v>
      </c>
      <c r="B51" t="str">
        <f>[1]!'4306.TW-Name'</f>
        <v>炎洲</v>
      </c>
      <c r="C51">
        <f>[1]!'4306.TW-SimulatePrice'</f>
        <v>10.65</v>
      </c>
      <c r="D51">
        <f>[1]!'4306.TW-PreClose'</f>
        <v>10.65</v>
      </c>
      <c r="E51" t="str">
        <f>[1]!'4306.TW-SimulateTime'</f>
        <v>13:29:57</v>
      </c>
    </row>
    <row r="52" spans="1:5" x14ac:dyDescent="0.25">
      <c r="A52" t="str">
        <f>[1]!'1402.TW-ID'</f>
        <v>1402</v>
      </c>
      <c r="B52" t="str">
        <f>[1]!'1402.TW-Name'</f>
        <v>遠東新</v>
      </c>
      <c r="C52">
        <f>[1]!'1402.TW-SimulatePrice'</f>
        <v>26.4</v>
      </c>
      <c r="D52">
        <f>[1]!'1402.TW-PreClose'</f>
        <v>26.65</v>
      </c>
      <c r="E52" t="str">
        <f>[1]!'1402.TW-SimulateTime'</f>
        <v>13:29:58</v>
      </c>
    </row>
    <row r="53" spans="1:5" x14ac:dyDescent="0.25">
      <c r="A53" t="str">
        <f>[1]!'1409.TW-ID'</f>
        <v>1409</v>
      </c>
      <c r="B53" t="str">
        <f>[1]!'1409.TW-Name'</f>
        <v>新纖</v>
      </c>
      <c r="C53">
        <f>[1]!'1409.TW-SimulatePrice'</f>
        <v>10.85</v>
      </c>
      <c r="D53">
        <f>[1]!'1409.TW-PreClose'</f>
        <v>10.9</v>
      </c>
      <c r="E53" t="str">
        <f>[1]!'1409.TW-SimulateTime'</f>
        <v>13:29:46</v>
      </c>
    </row>
    <row r="54" spans="1:5" x14ac:dyDescent="0.25">
      <c r="A54" t="str">
        <f>[1]!'1410.TW-ID'</f>
        <v>1410</v>
      </c>
      <c r="B54" t="str">
        <f>[1]!'1410.TW-Name'</f>
        <v>南染</v>
      </c>
      <c r="C54">
        <f>[1]!'1410.TW-SimulatePrice'</f>
        <v>30.25</v>
      </c>
      <c r="D54">
        <f>[1]!'1410.TW-PreClose'</f>
        <v>30.4</v>
      </c>
      <c r="E54" t="str">
        <f>[1]!'1410.TW-SimulateTime'</f>
        <v>13:27:31</v>
      </c>
    </row>
    <row r="55" spans="1:5" x14ac:dyDescent="0.25">
      <c r="A55" t="str">
        <f>[1]!'1413.TW-ID'</f>
        <v>1413</v>
      </c>
      <c r="B55" t="str">
        <f>[1]!'1413.TW-Name'</f>
        <v>宏洲</v>
      </c>
      <c r="C55">
        <f>[1]!'1413.TW-SimulatePrice'</f>
        <v>7.05</v>
      </c>
      <c r="D55">
        <f>[1]!'1413.TW-PreClose'</f>
        <v>6.97</v>
      </c>
      <c r="E55" t="str">
        <f>[1]!'1413.TW-SimulateTime'</f>
        <v>13:29:22</v>
      </c>
    </row>
    <row r="56" spans="1:5" x14ac:dyDescent="0.25">
      <c r="A56" t="str">
        <f>[1]!'1414.TW-ID'</f>
        <v>1414</v>
      </c>
      <c r="B56" t="str">
        <f>[1]!'1414.TW-Name'</f>
        <v>東和</v>
      </c>
      <c r="C56">
        <f>[1]!'1414.TW-SimulatePrice'</f>
        <v>6.48</v>
      </c>
      <c r="D56">
        <f>[1]!'1414.TW-PreClose'</f>
        <v>6.48</v>
      </c>
      <c r="E56" t="str">
        <f>[1]!'1414.TW-SimulateTime'</f>
        <v>13:28:07</v>
      </c>
    </row>
    <row r="57" spans="1:5" x14ac:dyDescent="0.25">
      <c r="A57" t="str">
        <f>[1]!'1416.TW-ID'</f>
        <v>1416</v>
      </c>
      <c r="B57" t="str">
        <f>[1]!'1416.TW-Name'</f>
        <v>廣豐</v>
      </c>
      <c r="C57">
        <f>[1]!'1416.TW-SimulatePrice'</f>
        <v>11.3</v>
      </c>
      <c r="D57">
        <f>[1]!'1416.TW-PreClose'</f>
        <v>11.4</v>
      </c>
      <c r="E57" t="str">
        <f>[1]!'1416.TW-SimulateTime'</f>
        <v>13:29:57</v>
      </c>
    </row>
    <row r="58" spans="1:5" x14ac:dyDescent="0.25">
      <c r="A58" t="str">
        <f>[1]!'1417.TW-ID'</f>
        <v>1417</v>
      </c>
      <c r="B58" t="str">
        <f>[1]!'1417.TW-Name'</f>
        <v>嘉裕</v>
      </c>
      <c r="C58">
        <f>[1]!'1417.TW-SimulatePrice'</f>
        <v>7.76</v>
      </c>
      <c r="D58">
        <f>[1]!'1417.TW-PreClose'</f>
        <v>7.77</v>
      </c>
      <c r="E58" t="str">
        <f>[1]!'1417.TW-SimulateTime'</f>
        <v>13:29:45</v>
      </c>
    </row>
    <row r="59" spans="1:5" x14ac:dyDescent="0.25">
      <c r="A59" t="str">
        <f>[1]!'1418.TW-ID'</f>
        <v>1418</v>
      </c>
      <c r="B59" t="str">
        <f>[1]!'1418.TW-Name'</f>
        <v>東華</v>
      </c>
      <c r="C59" t="str">
        <f>[1]!'1418.TW-SimulatePrice'</f>
        <v>--</v>
      </c>
      <c r="D59">
        <f>[1]!'1418.TW-PreClose'</f>
        <v>5.55</v>
      </c>
      <c r="E59" t="str">
        <f>[1]!'1418.TW-SimulateTime'</f>
        <v>--</v>
      </c>
    </row>
    <row r="60" spans="1:5" x14ac:dyDescent="0.25">
      <c r="A60" t="str">
        <f>[1]!'1419.TW-ID'</f>
        <v>1419</v>
      </c>
      <c r="B60" t="str">
        <f>[1]!'1419.TW-Name'</f>
        <v>新紡</v>
      </c>
      <c r="C60" t="str">
        <f>[1]!'1419.TW-SimulatePrice'</f>
        <v>--</v>
      </c>
      <c r="D60">
        <f>[1]!'1419.TW-PreClose'</f>
        <v>40.6</v>
      </c>
      <c r="E60" t="str">
        <f>[1]!'1419.TW-SimulateTime'</f>
        <v>--</v>
      </c>
    </row>
    <row r="61" spans="1:5" x14ac:dyDescent="0.25">
      <c r="A61" t="str">
        <f>[1]!'1423.TW-ID'</f>
        <v>1423</v>
      </c>
      <c r="B61" t="str">
        <f>[1]!'1423.TW-Name'</f>
        <v>利華</v>
      </c>
      <c r="C61">
        <f>[1]!'1423.TW-SimulatePrice'</f>
        <v>10.75</v>
      </c>
      <c r="D61">
        <f>[1]!'1423.TW-PreClose'</f>
        <v>10.95</v>
      </c>
      <c r="E61" t="str">
        <f>[1]!'1423.TW-SimulateTime'</f>
        <v>13:29:52</v>
      </c>
    </row>
    <row r="62" spans="1:5" x14ac:dyDescent="0.25">
      <c r="A62" t="str">
        <f>[1]!'1434.TW-ID'</f>
        <v>1434</v>
      </c>
      <c r="B62" t="str">
        <f>[1]!'1434.TW-Name'</f>
        <v>福懋</v>
      </c>
      <c r="C62">
        <f>[1]!'1434.TW-SimulatePrice'</f>
        <v>33.9</v>
      </c>
      <c r="D62">
        <f>[1]!'1434.TW-PreClose'</f>
        <v>33.6</v>
      </c>
      <c r="E62" t="str">
        <f>[1]!'1434.TW-SimulateTime'</f>
        <v>13:29:57</v>
      </c>
    </row>
    <row r="63" spans="1:5" x14ac:dyDescent="0.25">
      <c r="A63" t="str">
        <f>[1]!'1439.TW-ID'</f>
        <v>1439</v>
      </c>
      <c r="B63" t="str">
        <f>[1]!'1439.TW-Name'</f>
        <v>中和</v>
      </c>
      <c r="C63">
        <f>[1]!'1439.TW-SimulatePrice'</f>
        <v>34.450000000000003</v>
      </c>
      <c r="D63">
        <f>[1]!'1439.TW-PreClose'</f>
        <v>34.700000000000003</v>
      </c>
      <c r="E63" t="str">
        <f>[1]!'1439.TW-SimulateTime'</f>
        <v>13:29:46</v>
      </c>
    </row>
    <row r="64" spans="1:5" x14ac:dyDescent="0.25">
      <c r="A64" t="str">
        <f>[1]!'1440.TW-ID'</f>
        <v>1440</v>
      </c>
      <c r="B64" t="str">
        <f>[1]!'1440.TW-Name'</f>
        <v>南紡</v>
      </c>
      <c r="C64">
        <f>[1]!'1440.TW-SimulatePrice'</f>
        <v>8.61</v>
      </c>
      <c r="D64">
        <f>[1]!'1440.TW-PreClose'</f>
        <v>8.57</v>
      </c>
      <c r="E64" t="str">
        <f>[1]!'1440.TW-SimulateTime'</f>
        <v>13:29:36</v>
      </c>
    </row>
    <row r="65" spans="1:5" x14ac:dyDescent="0.25">
      <c r="A65" t="str">
        <f>[1]!'1441.TW-ID'</f>
        <v>1441</v>
      </c>
      <c r="B65" t="str">
        <f>[1]!'1441.TW-Name'</f>
        <v>大東</v>
      </c>
      <c r="C65">
        <f>[1]!'1441.TW-SimulatePrice'</f>
        <v>6.91</v>
      </c>
      <c r="D65">
        <f>[1]!'1441.TW-PreClose'</f>
        <v>7.09</v>
      </c>
      <c r="E65" t="str">
        <f>[1]!'1441.TW-SimulateTime'</f>
        <v>13:27:19</v>
      </c>
    </row>
    <row r="66" spans="1:5" x14ac:dyDescent="0.25">
      <c r="A66" t="str">
        <f>[1]!'1443.TW-ID'</f>
        <v>1443</v>
      </c>
      <c r="B66" t="str">
        <f>[1]!'1443.TW-Name'</f>
        <v>立益</v>
      </c>
      <c r="C66" t="str">
        <f>[1]!'1443.TW-SimulatePrice'</f>
        <v>--</v>
      </c>
      <c r="D66">
        <f>[1]!'1443.TW-PreClose'</f>
        <v>8.75</v>
      </c>
      <c r="E66" t="str">
        <f>[1]!'1443.TW-SimulateTime'</f>
        <v>--</v>
      </c>
    </row>
    <row r="67" spans="1:5" x14ac:dyDescent="0.25">
      <c r="A67" t="str">
        <f>[1]!'1444.TW-ID'</f>
        <v>1444</v>
      </c>
      <c r="B67" t="str">
        <f>[1]!'1444.TW-Name'</f>
        <v>力麗</v>
      </c>
      <c r="C67">
        <f>[1]!'1444.TW-SimulatePrice'</f>
        <v>6.68</v>
      </c>
      <c r="D67">
        <f>[1]!'1444.TW-PreClose'</f>
        <v>6.68</v>
      </c>
      <c r="E67" t="str">
        <f>[1]!'1444.TW-SimulateTime'</f>
        <v>13:29:53</v>
      </c>
    </row>
    <row r="68" spans="1:5" x14ac:dyDescent="0.25">
      <c r="A68" t="str">
        <f>[1]!'1445.TW-ID'</f>
        <v>1445</v>
      </c>
      <c r="B68" t="str">
        <f>[1]!'1445.TW-Name'</f>
        <v>大宇</v>
      </c>
      <c r="C68">
        <f>[1]!'1445.TW-SimulatePrice'</f>
        <v>8.34</v>
      </c>
      <c r="D68">
        <f>[1]!'1445.TW-PreClose'</f>
        <v>8.3699999999999992</v>
      </c>
      <c r="E68" t="str">
        <f>[1]!'1445.TW-SimulateTime'</f>
        <v>13:29:30</v>
      </c>
    </row>
    <row r="69" spans="1:5" x14ac:dyDescent="0.25">
      <c r="A69" t="str">
        <f>[1]!'1446.TW-ID'</f>
        <v>1446</v>
      </c>
      <c r="B69" t="str">
        <f>[1]!'1446.TW-Name'</f>
        <v>宏和</v>
      </c>
      <c r="C69">
        <f>[1]!'1446.TW-SimulatePrice'</f>
        <v>28.6</v>
      </c>
      <c r="D69">
        <f>[1]!'1446.TW-PreClose'</f>
        <v>28.3</v>
      </c>
      <c r="E69" t="str">
        <f>[1]!'1446.TW-SimulateTime'</f>
        <v>13:29:05</v>
      </c>
    </row>
    <row r="70" spans="1:5" x14ac:dyDescent="0.25">
      <c r="A70" t="str">
        <f>[1]!'1447.TW-ID'</f>
        <v>1447</v>
      </c>
      <c r="B70" t="str">
        <f>[1]!'1447.TW-Name'</f>
        <v>力鵬</v>
      </c>
      <c r="C70">
        <f>[1]!'1447.TW-SimulatePrice'</f>
        <v>5.71</v>
      </c>
      <c r="D70">
        <f>[1]!'1447.TW-PreClose'</f>
        <v>5.8</v>
      </c>
      <c r="E70" t="str">
        <f>[1]!'1447.TW-SimulateTime'</f>
        <v>13:29:03</v>
      </c>
    </row>
    <row r="71" spans="1:5" x14ac:dyDescent="0.25">
      <c r="A71" t="str">
        <f>[1]!'1449.TW-ID'</f>
        <v>1449</v>
      </c>
      <c r="B71" t="str">
        <f>[1]!'1449.TW-Name'</f>
        <v>佳和</v>
      </c>
      <c r="C71">
        <f>[1]!'1449.TW-SimulatePrice'</f>
        <v>13.95</v>
      </c>
      <c r="D71">
        <f>[1]!'1449.TW-PreClose'</f>
        <v>14.1</v>
      </c>
      <c r="E71" t="str">
        <f>[1]!'1449.TW-SimulateTime'</f>
        <v>13:29:47</v>
      </c>
    </row>
    <row r="72" spans="1:5" x14ac:dyDescent="0.25">
      <c r="A72" t="str">
        <f>[1]!'1451.TW-ID'</f>
        <v>1451</v>
      </c>
      <c r="B72" t="str">
        <f>[1]!'1451.TW-Name'</f>
        <v>年興</v>
      </c>
      <c r="C72">
        <f>[1]!'1451.TW-SimulatePrice'</f>
        <v>14.15</v>
      </c>
      <c r="D72">
        <f>[1]!'1451.TW-PreClose'</f>
        <v>14.5</v>
      </c>
      <c r="E72" t="str">
        <f>[1]!'1451.TW-SimulateTime'</f>
        <v>13:29:51</v>
      </c>
    </row>
    <row r="73" spans="1:5" x14ac:dyDescent="0.25">
      <c r="A73" t="str">
        <f>[1]!'1452.TW-ID'</f>
        <v>1452</v>
      </c>
      <c r="B73" t="str">
        <f>[1]!'1452.TW-Name'</f>
        <v>宏益</v>
      </c>
      <c r="C73">
        <f>[1]!'1452.TW-SimulatePrice'</f>
        <v>16.8</v>
      </c>
      <c r="D73">
        <f>[1]!'1452.TW-PreClose'</f>
        <v>16.850000000000001</v>
      </c>
      <c r="E73" t="str">
        <f>[1]!'1452.TW-SimulateTime'</f>
        <v>13:29:54</v>
      </c>
    </row>
    <row r="74" spans="1:5" x14ac:dyDescent="0.25">
      <c r="A74" t="str">
        <f>[1]!'1453.TW-ID'</f>
        <v>1453</v>
      </c>
      <c r="B74" t="str">
        <f>[1]!'1453.TW-Name'</f>
        <v>大將</v>
      </c>
      <c r="C74">
        <f>[1]!'1453.TW-SimulatePrice'</f>
        <v>6.83</v>
      </c>
      <c r="D74">
        <f>[1]!'1453.TW-PreClose'</f>
        <v>6.92</v>
      </c>
      <c r="E74" t="str">
        <f>[1]!'1453.TW-SimulateTime'</f>
        <v>13:28:04</v>
      </c>
    </row>
    <row r="75" spans="1:5" x14ac:dyDescent="0.25">
      <c r="A75" t="str">
        <f>[1]!'1454.TW-ID'</f>
        <v>1454</v>
      </c>
      <c r="B75" t="str">
        <f>[1]!'1454.TW-Name'</f>
        <v>台富</v>
      </c>
      <c r="C75">
        <f>[1]!'1454.TW-SimulatePrice'</f>
        <v>7.83</v>
      </c>
      <c r="D75">
        <f>[1]!'1454.TW-PreClose'</f>
        <v>7.8</v>
      </c>
      <c r="E75" t="str">
        <f>[1]!'1454.TW-SimulateTime'</f>
        <v>13:27:21</v>
      </c>
    </row>
    <row r="76" spans="1:5" x14ac:dyDescent="0.25">
      <c r="A76" t="str">
        <f>[1]!'1455.TW-ID'</f>
        <v>1455</v>
      </c>
      <c r="B76" t="str">
        <f>[1]!'1455.TW-Name'</f>
        <v>集盛</v>
      </c>
      <c r="C76">
        <f>[1]!'1455.TW-SimulatePrice'</f>
        <v>6.85</v>
      </c>
      <c r="D76">
        <f>[1]!'1455.TW-PreClose'</f>
        <v>7.05</v>
      </c>
      <c r="E76" t="str">
        <f>[1]!'1455.TW-SimulateTime'</f>
        <v>13:29:56</v>
      </c>
    </row>
    <row r="77" spans="1:5" x14ac:dyDescent="0.25">
      <c r="A77" t="str">
        <f>[1]!'1456.TW-ID'</f>
        <v>1456</v>
      </c>
      <c r="B77" t="str">
        <f>[1]!'1456.TW-Name'</f>
        <v>怡華</v>
      </c>
      <c r="C77">
        <f>[1]!'1456.TW-SimulatePrice'</f>
        <v>8.1199999999999992</v>
      </c>
      <c r="D77">
        <f>[1]!'1456.TW-PreClose'</f>
        <v>8.1199999999999992</v>
      </c>
      <c r="E77" t="str">
        <f>[1]!'1456.TW-SimulateTime'</f>
        <v>13:29:08</v>
      </c>
    </row>
    <row r="78" spans="1:5" x14ac:dyDescent="0.25">
      <c r="A78" t="str">
        <f>[1]!'1457.TW-ID'</f>
        <v>1457</v>
      </c>
      <c r="B78" t="str">
        <f>[1]!'1457.TW-Name'</f>
        <v>宜進</v>
      </c>
      <c r="C78">
        <f>[1]!'1457.TW-SimulatePrice'</f>
        <v>12.1</v>
      </c>
      <c r="D78">
        <f>[1]!'1457.TW-PreClose'</f>
        <v>12.2</v>
      </c>
      <c r="E78" t="str">
        <f>[1]!'1457.TW-SimulateTime'</f>
        <v>13:29:55</v>
      </c>
    </row>
    <row r="79" spans="1:5" x14ac:dyDescent="0.25">
      <c r="A79" t="str">
        <f>[1]!'1459.TW-ID'</f>
        <v>1459</v>
      </c>
      <c r="B79" t="str">
        <f>[1]!'1459.TW-Name'</f>
        <v>聯發</v>
      </c>
      <c r="C79">
        <f>[1]!'1459.TW-SimulatePrice'</f>
        <v>6.7</v>
      </c>
      <c r="D79">
        <f>[1]!'1459.TW-PreClose'</f>
        <v>6.72</v>
      </c>
      <c r="E79" t="str">
        <f>[1]!'1459.TW-SimulateTime'</f>
        <v>13:29:10</v>
      </c>
    </row>
    <row r="80" spans="1:5" x14ac:dyDescent="0.25">
      <c r="A80" t="str">
        <f>[1]!'1460.TW-ID'</f>
        <v>1460</v>
      </c>
      <c r="B80" t="str">
        <f>[1]!'1460.TW-Name'</f>
        <v>宏遠</v>
      </c>
      <c r="C80">
        <f>[1]!'1460.TW-SimulatePrice'</f>
        <v>7.61</v>
      </c>
      <c r="D80">
        <f>[1]!'1460.TW-PreClose'</f>
        <v>8.08</v>
      </c>
      <c r="E80" t="str">
        <f>[1]!'1460.TW-SimulateTime'</f>
        <v>13:29:55</v>
      </c>
    </row>
    <row r="81" spans="1:5" x14ac:dyDescent="0.25">
      <c r="A81" t="str">
        <f>[1]!'1463.TW-ID'</f>
        <v>1463</v>
      </c>
      <c r="B81" t="str">
        <f>[1]!'1463.TW-Name'</f>
        <v>強盛</v>
      </c>
      <c r="C81" t="str">
        <f>[1]!'1463.TW-SimulatePrice'</f>
        <v>--</v>
      </c>
      <c r="D81">
        <f>[1]!'1463.TW-PreClose'</f>
        <v>11.35</v>
      </c>
      <c r="E81" t="str">
        <f>[1]!'1463.TW-SimulateTime'</f>
        <v>--</v>
      </c>
    </row>
    <row r="82" spans="1:5" x14ac:dyDescent="0.25">
      <c r="A82" t="str">
        <f>[1]!'1464.TW-ID'</f>
        <v>1464</v>
      </c>
      <c r="B82" t="str">
        <f>[1]!'1464.TW-Name'</f>
        <v>得力</v>
      </c>
      <c r="C82">
        <f>[1]!'1464.TW-SimulatePrice'</f>
        <v>20.25</v>
      </c>
      <c r="D82">
        <f>[1]!'1464.TW-PreClose'</f>
        <v>20.350000000000001</v>
      </c>
      <c r="E82" t="str">
        <f>[1]!'1464.TW-SimulateTime'</f>
        <v>13:29:52</v>
      </c>
    </row>
    <row r="83" spans="1:5" x14ac:dyDescent="0.25">
      <c r="A83" t="str">
        <f>[1]!'1465.TW-ID'</f>
        <v>1465</v>
      </c>
      <c r="B83" t="str">
        <f>[1]!'1465.TW-Name'</f>
        <v>偉全</v>
      </c>
      <c r="C83">
        <f>[1]!'1465.TW-SimulatePrice'</f>
        <v>15.3</v>
      </c>
      <c r="D83">
        <f>[1]!'1465.TW-PreClose'</f>
        <v>15.4</v>
      </c>
      <c r="E83" t="str">
        <f>[1]!'1465.TW-SimulateTime'</f>
        <v>13:29:45</v>
      </c>
    </row>
    <row r="84" spans="1:5" x14ac:dyDescent="0.25">
      <c r="A84" t="str">
        <f>[1]!'1466.TW-ID'</f>
        <v>1466</v>
      </c>
      <c r="B84" t="str">
        <f>[1]!'1466.TW-Name'</f>
        <v>聚隆</v>
      </c>
      <c r="C84" t="str">
        <f>[1]!'1466.TW-SimulatePrice'</f>
        <v>--</v>
      </c>
      <c r="D84">
        <f>[1]!'1466.TW-PreClose'</f>
        <v>7.76</v>
      </c>
      <c r="E84" t="str">
        <f>[1]!'1466.TW-SimulateTime'</f>
        <v>--</v>
      </c>
    </row>
    <row r="85" spans="1:5" x14ac:dyDescent="0.25">
      <c r="A85" t="str">
        <f>[1]!'1467.TW-ID'</f>
        <v>1467</v>
      </c>
      <c r="B85" t="str">
        <f>[1]!'1467.TW-Name'</f>
        <v>南緯</v>
      </c>
      <c r="C85">
        <f>[1]!'1467.TW-SimulatePrice'</f>
        <v>10.050000000000001</v>
      </c>
      <c r="D85">
        <f>[1]!'1467.TW-PreClose'</f>
        <v>10.15</v>
      </c>
      <c r="E85" t="str">
        <f>[1]!'1467.TW-SimulateTime'</f>
        <v>13:29:44</v>
      </c>
    </row>
    <row r="86" spans="1:5" x14ac:dyDescent="0.25">
      <c r="A86" t="str">
        <f>[1]!'1468.TW-ID'</f>
        <v>1468</v>
      </c>
      <c r="B86" t="str">
        <f>[1]!'1468.TW-Name'</f>
        <v>昶和</v>
      </c>
      <c r="C86" t="str">
        <f>[1]!'1468.TW-SimulatePrice'</f>
        <v>--</v>
      </c>
      <c r="D86">
        <f>[1]!'1468.TW-PreClose'</f>
        <v>9.94</v>
      </c>
      <c r="E86" t="str">
        <f>[1]!'1468.TW-SimulateTime'</f>
        <v>--</v>
      </c>
    </row>
    <row r="87" spans="1:5" x14ac:dyDescent="0.25">
      <c r="A87" t="str">
        <f>[1]!'1470.TW-ID'</f>
        <v>1470</v>
      </c>
      <c r="B87" t="str">
        <f>[1]!'1470.TW-Name'</f>
        <v>大統新創</v>
      </c>
      <c r="C87" t="str">
        <f>[1]!'1470.TW-SimulatePrice'</f>
        <v>--</v>
      </c>
      <c r="D87">
        <f>[1]!'1470.TW-PreClose'</f>
        <v>19.05</v>
      </c>
      <c r="E87" t="str">
        <f>[1]!'1470.TW-SimulateTime'</f>
        <v>--</v>
      </c>
    </row>
    <row r="88" spans="1:5" x14ac:dyDescent="0.25">
      <c r="A88" t="str">
        <f>[1]!'1472.TW-ID'</f>
        <v>1472</v>
      </c>
      <c r="B88" t="str">
        <f>[1]!'1472.TW-Name'</f>
        <v>三洋紡</v>
      </c>
      <c r="C88">
        <f>[1]!'1472.TW-SimulatePrice'</f>
        <v>10.45</v>
      </c>
      <c r="D88">
        <f>[1]!'1472.TW-PreClose'</f>
        <v>11</v>
      </c>
      <c r="E88" t="str">
        <f>[1]!'1472.TW-SimulateTime'</f>
        <v>13:29:53</v>
      </c>
    </row>
    <row r="89" spans="1:5" x14ac:dyDescent="0.25">
      <c r="A89" t="str">
        <f>[1]!'1473.TW-ID'</f>
        <v>1473</v>
      </c>
      <c r="B89" t="str">
        <f>[1]!'1473.TW-Name'</f>
        <v>台南</v>
      </c>
      <c r="C89">
        <f>[1]!'1473.TW-SimulatePrice'</f>
        <v>19.149999999999999</v>
      </c>
      <c r="D89">
        <f>[1]!'1473.TW-PreClose'</f>
        <v>19.399999999999999</v>
      </c>
      <c r="E89" t="str">
        <f>[1]!'1473.TW-SimulateTime'</f>
        <v>13:28:55</v>
      </c>
    </row>
    <row r="90" spans="1:5" x14ac:dyDescent="0.25">
      <c r="A90" t="str">
        <f>[1]!'1474.TW-ID'</f>
        <v>1474</v>
      </c>
      <c r="B90" t="str">
        <f>[1]!'1474.TW-Name'</f>
        <v>弘裕</v>
      </c>
      <c r="C90">
        <f>[1]!'1474.TW-SimulatePrice'</f>
        <v>9.5299999999999994</v>
      </c>
      <c r="D90">
        <f>[1]!'1474.TW-PreClose'</f>
        <v>9.51</v>
      </c>
      <c r="E90" t="str">
        <f>[1]!'1474.TW-SimulateTime'</f>
        <v>13:29:59</v>
      </c>
    </row>
    <row r="91" spans="1:5" x14ac:dyDescent="0.25">
      <c r="A91" t="str">
        <f>[1]!'1475.TW-ID'</f>
        <v>1475</v>
      </c>
      <c r="B91" t="str">
        <f>[1]!'1475.TW-Name'</f>
        <v>本盟</v>
      </c>
      <c r="C91" t="str">
        <f>[1]!'1475.TW-SimulatePrice'</f>
        <v>--</v>
      </c>
      <c r="D91">
        <f>[1]!'1475.TW-PreClose'</f>
        <v>15.5</v>
      </c>
      <c r="E91" t="str">
        <f>[1]!'1475.TW-SimulateTime'</f>
        <v>--</v>
      </c>
    </row>
    <row r="92" spans="1:5" x14ac:dyDescent="0.25">
      <c r="A92" t="str">
        <f>[1]!'1476.TW-ID'</f>
        <v>1476</v>
      </c>
      <c r="B92" t="str">
        <f>[1]!'1476.TW-Name'</f>
        <v>儒鴻</v>
      </c>
      <c r="C92">
        <f>[1]!'1476.TW-SimulatePrice'</f>
        <v>269.5</v>
      </c>
      <c r="D92">
        <f>[1]!'1476.TW-PreClose'</f>
        <v>263</v>
      </c>
      <c r="E92" t="str">
        <f>[1]!'1476.TW-SimulateTime'</f>
        <v>13:29:59</v>
      </c>
    </row>
    <row r="93" spans="1:5" x14ac:dyDescent="0.25">
      <c r="A93" t="str">
        <f>[1]!'1477.TW-ID'</f>
        <v>1477</v>
      </c>
      <c r="B93" t="str">
        <f>[1]!'1477.TW-Name'</f>
        <v>聚陽</v>
      </c>
      <c r="C93">
        <f>[1]!'1477.TW-SimulatePrice'</f>
        <v>119</v>
      </c>
      <c r="D93">
        <f>[1]!'1477.TW-PreClose'</f>
        <v>114</v>
      </c>
      <c r="E93" t="str">
        <f>[1]!'1477.TW-SimulateTime'</f>
        <v>13:29:58</v>
      </c>
    </row>
    <row r="94" spans="1:5" x14ac:dyDescent="0.25">
      <c r="A94" t="str">
        <f>[1]!'4414.TW-ID'</f>
        <v>4414</v>
      </c>
      <c r="B94" t="str">
        <f>[1]!'4414.TW-Name'</f>
        <v>如興</v>
      </c>
      <c r="C94">
        <f>[1]!'4414.TW-SimulatePrice'</f>
        <v>8.51</v>
      </c>
      <c r="D94">
        <f>[1]!'4414.TW-PreClose'</f>
        <v>8.51</v>
      </c>
      <c r="E94" t="str">
        <f>[1]!'4414.TW-SimulateTime'</f>
        <v>13:29:37</v>
      </c>
    </row>
    <row r="95" spans="1:5" x14ac:dyDescent="0.25">
      <c r="A95" t="str">
        <f>[1]!'4426.TW-ID'</f>
        <v>4426</v>
      </c>
      <c r="B95" t="str">
        <f>[1]!'4426.TW-Name'</f>
        <v>利勤</v>
      </c>
      <c r="C95">
        <f>[1]!'4426.TW-SimulatePrice'</f>
        <v>29.6</v>
      </c>
      <c r="D95">
        <f>[1]!'4426.TW-PreClose'</f>
        <v>30.15</v>
      </c>
      <c r="E95" t="str">
        <f>[1]!'4426.TW-SimulateTime'</f>
        <v>13:29:50</v>
      </c>
    </row>
    <row r="96" spans="1:5" x14ac:dyDescent="0.25">
      <c r="A96" t="str">
        <f>[1]!'4438.TW-ID'</f>
        <v>4438</v>
      </c>
      <c r="B96" t="str">
        <f>[1]!'4438.TW-Name'</f>
        <v>廣越</v>
      </c>
      <c r="C96">
        <f>[1]!'4438.TW-SimulatePrice'</f>
        <v>116.5</v>
      </c>
      <c r="D96">
        <f>[1]!'4438.TW-PreClose'</f>
        <v>116</v>
      </c>
      <c r="E96" t="str">
        <f>[1]!'4438.TW-SimulateTime'</f>
        <v>13:29:58</v>
      </c>
    </row>
    <row r="97" spans="1:5" x14ac:dyDescent="0.25">
      <c r="A97" t="str">
        <f>[1]!'4439.TW-ID'</f>
        <v>4439</v>
      </c>
      <c r="B97" t="str">
        <f>[1]!'4439.TW-Name'</f>
        <v>冠星-KY</v>
      </c>
      <c r="C97">
        <f>[1]!'4439.TW-SimulatePrice'</f>
        <v>139</v>
      </c>
      <c r="D97">
        <f>[1]!'4439.TW-PreClose'</f>
        <v>135.5</v>
      </c>
      <c r="E97" t="str">
        <f>[1]!'4439.TW-SimulateTime'</f>
        <v>13:29:53</v>
      </c>
    </row>
    <row r="98" spans="1:5" x14ac:dyDescent="0.25">
      <c r="A98" t="str">
        <f>[1]!'1503.TW-ID'</f>
        <v>1503</v>
      </c>
      <c r="B98" t="str">
        <f>[1]!'1503.TW-Name'</f>
        <v>士電</v>
      </c>
      <c r="C98">
        <f>[1]!'1503.TW-SimulatePrice'</f>
        <v>43.3</v>
      </c>
      <c r="D98">
        <f>[1]!'1503.TW-PreClose'</f>
        <v>42.7</v>
      </c>
      <c r="E98" t="str">
        <f>[1]!'1503.TW-SimulateTime'</f>
        <v>13:29:52</v>
      </c>
    </row>
    <row r="99" spans="1:5" x14ac:dyDescent="0.25">
      <c r="A99" t="str">
        <f>[1]!'1504.TW-ID'</f>
        <v>1504</v>
      </c>
      <c r="B99" t="str">
        <f>[1]!'1504.TW-Name'</f>
        <v>東元</v>
      </c>
      <c r="C99">
        <f>[1]!'1504.TW-SimulatePrice'</f>
        <v>26.95</v>
      </c>
      <c r="D99">
        <f>[1]!'1504.TW-PreClose'</f>
        <v>26.9</v>
      </c>
      <c r="E99" t="str">
        <f>[1]!'1504.TW-SimulateTime'</f>
        <v>13:29:59</v>
      </c>
    </row>
    <row r="100" spans="1:5" x14ac:dyDescent="0.25">
      <c r="A100" t="str">
        <f>[1]!'1506.TW-ID'</f>
        <v>1506</v>
      </c>
      <c r="B100" t="str">
        <f>[1]!'1506.TW-Name'</f>
        <v>正道</v>
      </c>
      <c r="C100">
        <f>[1]!'1506.TW-SimulatePrice'</f>
        <v>13.3</v>
      </c>
      <c r="D100">
        <f>[1]!'1506.TW-PreClose'</f>
        <v>13.4</v>
      </c>
      <c r="E100" t="str">
        <f>[1]!'1506.TW-SimulateTime'</f>
        <v>13:29:57</v>
      </c>
    </row>
    <row r="101" spans="1:5" x14ac:dyDescent="0.25">
      <c r="A101" t="str">
        <f>[1]!'1507.TW-ID'</f>
        <v>1507</v>
      </c>
      <c r="B101" t="str">
        <f>[1]!'1507.TW-Name'</f>
        <v>永大</v>
      </c>
      <c r="C101">
        <f>[1]!'1507.TW-SimulatePrice'</f>
        <v>57.2</v>
      </c>
      <c r="D101">
        <f>[1]!'1507.TW-PreClose'</f>
        <v>58.4</v>
      </c>
      <c r="E101" t="str">
        <f>[1]!'1507.TW-SimulateTime'</f>
        <v>13:29:55</v>
      </c>
    </row>
    <row r="102" spans="1:5" x14ac:dyDescent="0.25">
      <c r="A102" t="str">
        <f>[1]!'1513.TW-ID'</f>
        <v>1513</v>
      </c>
      <c r="B102" t="str">
        <f>[1]!'1513.TW-Name'</f>
        <v>中興電</v>
      </c>
      <c r="C102">
        <f>[1]!'1513.TW-SimulatePrice'</f>
        <v>27.55</v>
      </c>
      <c r="D102">
        <f>[1]!'1513.TW-PreClose'</f>
        <v>27.5</v>
      </c>
      <c r="E102" t="str">
        <f>[1]!'1513.TW-SimulateTime'</f>
        <v>13:29:57</v>
      </c>
    </row>
    <row r="103" spans="1:5" x14ac:dyDescent="0.25">
      <c r="A103" t="str">
        <f>[1]!'1514.TW-ID'</f>
        <v>1514</v>
      </c>
      <c r="B103" t="str">
        <f>[1]!'1514.TW-Name'</f>
        <v>亞力</v>
      </c>
      <c r="C103">
        <f>[1]!'1514.TW-SimulatePrice'</f>
        <v>20.100000000000001</v>
      </c>
      <c r="D103">
        <f>[1]!'1514.TW-PreClose'</f>
        <v>20.2</v>
      </c>
      <c r="E103" t="str">
        <f>[1]!'1514.TW-SimulateTime'</f>
        <v>13:29:55</v>
      </c>
    </row>
    <row r="104" spans="1:5" x14ac:dyDescent="0.25">
      <c r="A104" t="str">
        <f>[1]!'1515.TW-ID'</f>
        <v>1515</v>
      </c>
      <c r="B104" t="str">
        <f>[1]!'1515.TW-Name'</f>
        <v>力山</v>
      </c>
      <c r="C104">
        <f>[1]!'1515.TW-SimulatePrice'</f>
        <v>68.5</v>
      </c>
      <c r="D104">
        <f>[1]!'1515.TW-PreClose'</f>
        <v>69.099999999999994</v>
      </c>
      <c r="E104" t="str">
        <f>[1]!'1515.TW-SimulateTime'</f>
        <v>13:29:53</v>
      </c>
    </row>
    <row r="105" spans="1:5" x14ac:dyDescent="0.25">
      <c r="A105" t="str">
        <f>[1]!'1517.TW-ID'</f>
        <v>1517</v>
      </c>
      <c r="B105" t="str">
        <f>[1]!'1517.TW-Name'</f>
        <v>利奇</v>
      </c>
      <c r="C105" t="str">
        <f>[1]!'1517.TW-SimulatePrice'</f>
        <v>--</v>
      </c>
      <c r="D105">
        <f>[1]!'1517.TW-PreClose'</f>
        <v>7.72</v>
      </c>
      <c r="E105" t="str">
        <f>[1]!'1517.TW-SimulateTime'</f>
        <v>--</v>
      </c>
    </row>
    <row r="106" spans="1:5" x14ac:dyDescent="0.25">
      <c r="A106" t="str">
        <f>[1]!'1519.TW-ID'</f>
        <v>1519</v>
      </c>
      <c r="B106" t="str">
        <f>[1]!'1519.TW-Name'</f>
        <v>華城</v>
      </c>
      <c r="C106">
        <f>[1]!'1519.TW-SimulatePrice'</f>
        <v>25.9</v>
      </c>
      <c r="D106">
        <f>[1]!'1519.TW-PreClose'</f>
        <v>26.85</v>
      </c>
      <c r="E106" t="str">
        <f>[1]!'1519.TW-SimulateTime'</f>
        <v>13:29:50</v>
      </c>
    </row>
    <row r="107" spans="1:5" x14ac:dyDescent="0.25">
      <c r="A107" t="str">
        <f>[1]!'1526.TW-ID'</f>
        <v>1526</v>
      </c>
      <c r="B107" t="str">
        <f>[1]!'1526.TW-Name'</f>
        <v>日馳</v>
      </c>
      <c r="C107">
        <f>[1]!'1526.TW-SimulatePrice'</f>
        <v>18.100000000000001</v>
      </c>
      <c r="D107">
        <f>[1]!'1526.TW-PreClose'</f>
        <v>18.399999999999999</v>
      </c>
      <c r="E107" t="str">
        <f>[1]!'1526.TW-SimulateTime'</f>
        <v>13:29:57</v>
      </c>
    </row>
    <row r="108" spans="1:5" x14ac:dyDescent="0.25">
      <c r="A108" t="str">
        <f>[1]!'1527.TW-ID'</f>
        <v>1527</v>
      </c>
      <c r="B108" t="str">
        <f>[1]!'1527.TW-Name'</f>
        <v>鑽全</v>
      </c>
      <c r="C108">
        <f>[1]!'1527.TW-SimulatePrice'</f>
        <v>39.4</v>
      </c>
      <c r="D108">
        <f>[1]!'1527.TW-PreClose'</f>
        <v>38.799999999999997</v>
      </c>
      <c r="E108" t="str">
        <f>[1]!'1527.TW-SimulateTime'</f>
        <v>13:29:51</v>
      </c>
    </row>
    <row r="109" spans="1:5" x14ac:dyDescent="0.25">
      <c r="A109" t="str">
        <f>[1]!'1528.TW-ID'</f>
        <v>1528</v>
      </c>
      <c r="B109" t="str">
        <f>[1]!'1528.TW-Name'</f>
        <v>恩德</v>
      </c>
      <c r="C109" t="str">
        <f>[1]!'1528.TW-SimulatePrice'</f>
        <v>--</v>
      </c>
      <c r="D109">
        <f>[1]!'1528.TW-PreClose'</f>
        <v>7.33</v>
      </c>
      <c r="E109" t="str">
        <f>[1]!'1528.TW-SimulateTime'</f>
        <v>--</v>
      </c>
    </row>
    <row r="110" spans="1:5" x14ac:dyDescent="0.25">
      <c r="A110" t="str">
        <f>[1]!'1529.TW-ID'</f>
        <v>1529</v>
      </c>
      <c r="B110" t="str">
        <f>[1]!'1529.TW-Name'</f>
        <v>樂士</v>
      </c>
      <c r="C110">
        <f>[1]!'1529.TW-SimulatePrice'</f>
        <v>13.85</v>
      </c>
      <c r="D110">
        <f>[1]!'1529.TW-PreClose'</f>
        <v>14.35</v>
      </c>
      <c r="E110" t="str">
        <f>[1]!'1529.TW-SimulateTime'</f>
        <v>13:28:51</v>
      </c>
    </row>
    <row r="111" spans="1:5" x14ac:dyDescent="0.25">
      <c r="A111" t="str">
        <f>[1]!'1530.TW-ID'</f>
        <v>1530</v>
      </c>
      <c r="B111" t="str">
        <f>[1]!'1530.TW-Name'</f>
        <v>亞崴</v>
      </c>
      <c r="C111" t="str">
        <f>[1]!'1530.TW-SimulatePrice'</f>
        <v>--</v>
      </c>
      <c r="D111">
        <f>[1]!'1530.TW-PreClose'</f>
        <v>31.3</v>
      </c>
      <c r="E111" t="str">
        <f>[1]!'1530.TW-SimulateTime'</f>
        <v>--</v>
      </c>
    </row>
    <row r="112" spans="1:5" x14ac:dyDescent="0.25">
      <c r="A112" t="str">
        <f>[1]!'1531.TW-ID'</f>
        <v>1531</v>
      </c>
      <c r="B112" t="str">
        <f>[1]!'1531.TW-Name'</f>
        <v>高林股</v>
      </c>
      <c r="C112">
        <f>[1]!'1531.TW-SimulatePrice'</f>
        <v>12.7</v>
      </c>
      <c r="D112">
        <f>[1]!'1531.TW-PreClose'</f>
        <v>12.7</v>
      </c>
      <c r="E112" t="str">
        <f>[1]!'1531.TW-SimulateTime'</f>
        <v>13:29:57</v>
      </c>
    </row>
    <row r="113" spans="1:5" x14ac:dyDescent="0.25">
      <c r="A113" t="str">
        <f>[1]!'1532.TW-ID'</f>
        <v>1532</v>
      </c>
      <c r="B113" t="str">
        <f>[1]!'1532.TW-Name'</f>
        <v>勤美</v>
      </c>
      <c r="C113">
        <f>[1]!'1532.TW-SimulatePrice'</f>
        <v>27.65</v>
      </c>
      <c r="D113">
        <f>[1]!'1532.TW-PreClose'</f>
        <v>27.15</v>
      </c>
      <c r="E113" t="str">
        <f>[1]!'1532.TW-SimulateTime'</f>
        <v>13:29:45</v>
      </c>
    </row>
    <row r="114" spans="1:5" x14ac:dyDescent="0.25">
      <c r="A114" t="str">
        <f>[1]!'1535.TW-ID'</f>
        <v>1535</v>
      </c>
      <c r="B114" t="str">
        <f>[1]!'1535.TW-Name'</f>
        <v>中宇</v>
      </c>
      <c r="C114" t="str">
        <f>[1]!'1535.TW-SimulatePrice'</f>
        <v>--</v>
      </c>
      <c r="D114">
        <f>[1]!'1535.TW-PreClose'</f>
        <v>32.799999999999997</v>
      </c>
      <c r="E114" t="str">
        <f>[1]!'1535.TW-SimulateTime'</f>
        <v>--</v>
      </c>
    </row>
    <row r="115" spans="1:5" x14ac:dyDescent="0.25">
      <c r="A115" t="str">
        <f>[1]!'1537.TW-ID'</f>
        <v>1537</v>
      </c>
      <c r="B115" t="str">
        <f>[1]!'1537.TW-Name'</f>
        <v>廣隆</v>
      </c>
      <c r="C115">
        <f>[1]!'1537.TW-SimulatePrice'</f>
        <v>142</v>
      </c>
      <c r="D115">
        <f>[1]!'1537.TW-PreClose'</f>
        <v>143</v>
      </c>
      <c r="E115" t="str">
        <f>[1]!'1537.TW-SimulateTime'</f>
        <v>13:29:59</v>
      </c>
    </row>
    <row r="116" spans="1:5" x14ac:dyDescent="0.25">
      <c r="A116" t="str">
        <f>[1]!'1538.TW-ID'</f>
        <v>1538</v>
      </c>
      <c r="B116" t="str">
        <f>[1]!'1538.TW-Name'</f>
        <v>正峰新</v>
      </c>
      <c r="C116" t="str">
        <f>[1]!'1538.TW-SimulatePrice'</f>
        <v>--</v>
      </c>
      <c r="D116">
        <f>[1]!'1538.TW-PreClose'</f>
        <v>2.52</v>
      </c>
      <c r="E116" t="str">
        <f>[1]!'1538.TW-SimulateTime'</f>
        <v>--</v>
      </c>
    </row>
    <row r="117" spans="1:5" x14ac:dyDescent="0.25">
      <c r="A117" t="str">
        <f>[1]!'1539.TW-ID'</f>
        <v>1539</v>
      </c>
      <c r="B117" t="str">
        <f>[1]!'1539.TW-Name'</f>
        <v>巨庭</v>
      </c>
      <c r="C117">
        <f>[1]!'1539.TW-SimulatePrice'</f>
        <v>17.8</v>
      </c>
      <c r="D117">
        <f>[1]!'1539.TW-PreClose'</f>
        <v>18.100000000000001</v>
      </c>
      <c r="E117" t="str">
        <f>[1]!'1539.TW-SimulateTime'</f>
        <v>13:29:58</v>
      </c>
    </row>
    <row r="118" spans="1:5" x14ac:dyDescent="0.25">
      <c r="A118" t="str">
        <f>[1]!'1540.TW-ID'</f>
        <v>1540</v>
      </c>
      <c r="B118" t="str">
        <f>[1]!'1540.TW-Name'</f>
        <v>喬福</v>
      </c>
      <c r="C118">
        <f>[1]!'1540.TW-SimulatePrice'</f>
        <v>15.9</v>
      </c>
      <c r="D118">
        <f>[1]!'1540.TW-PreClose'</f>
        <v>15.95</v>
      </c>
      <c r="E118" t="str">
        <f>[1]!'1540.TW-SimulateTime'</f>
        <v>13:29:16</v>
      </c>
    </row>
    <row r="119" spans="1:5" x14ac:dyDescent="0.25">
      <c r="A119" t="str">
        <f>[1]!'1541.TW-ID'</f>
        <v>1541</v>
      </c>
      <c r="B119" t="str">
        <f>[1]!'1541.TW-Name'</f>
        <v>錩泰</v>
      </c>
      <c r="C119">
        <f>[1]!'1541.TW-SimulatePrice'</f>
        <v>41.05</v>
      </c>
      <c r="D119">
        <f>[1]!'1541.TW-PreClose'</f>
        <v>40.799999999999997</v>
      </c>
      <c r="E119" t="str">
        <f>[1]!'1541.TW-SimulateTime'</f>
        <v>13:28:57</v>
      </c>
    </row>
    <row r="120" spans="1:5" x14ac:dyDescent="0.25">
      <c r="A120" t="str">
        <f>[1]!'1558.TW-ID'</f>
        <v>1558</v>
      </c>
      <c r="B120" t="str">
        <f>[1]!'1558.TW-Name'</f>
        <v>伸興</v>
      </c>
      <c r="C120">
        <f>[1]!'1558.TW-SimulatePrice'</f>
        <v>131.5</v>
      </c>
      <c r="D120">
        <f>[1]!'1558.TW-PreClose'</f>
        <v>132</v>
      </c>
      <c r="E120" t="str">
        <f>[1]!'1558.TW-SimulateTime'</f>
        <v>13:28:05</v>
      </c>
    </row>
    <row r="121" spans="1:5" x14ac:dyDescent="0.25">
      <c r="A121" t="str">
        <f>[1]!'1560.TW-ID'</f>
        <v>1560</v>
      </c>
      <c r="B121" t="str">
        <f>[1]!'1560.TW-Name'</f>
        <v>中砂</v>
      </c>
      <c r="C121">
        <f>[1]!'1560.TW-SimulatePrice'</f>
        <v>60.2</v>
      </c>
      <c r="D121">
        <f>[1]!'1560.TW-PreClose'</f>
        <v>60.1</v>
      </c>
      <c r="E121" t="str">
        <f>[1]!'1560.TW-SimulateTime'</f>
        <v>13:29:52</v>
      </c>
    </row>
    <row r="122" spans="1:5" x14ac:dyDescent="0.25">
      <c r="A122" t="str">
        <f>[1]!'1583.TW-ID'</f>
        <v>1583</v>
      </c>
      <c r="B122" t="str">
        <f>[1]!'1583.TW-Name'</f>
        <v>程泰</v>
      </c>
      <c r="C122" t="str">
        <f>[1]!'1583.TW-SimulatePrice'</f>
        <v>--</v>
      </c>
      <c r="D122">
        <f>[1]!'1583.TW-PreClose'</f>
        <v>61.2</v>
      </c>
      <c r="E122" t="str">
        <f>[1]!'1583.TW-SimulateTime'</f>
        <v>--</v>
      </c>
    </row>
    <row r="123" spans="1:5" x14ac:dyDescent="0.25">
      <c r="A123" t="str">
        <f>[1]!'1589.TW-ID'</f>
        <v>1589</v>
      </c>
      <c r="B123" t="str">
        <f>[1]!'1589.TW-Name'</f>
        <v>永冠-KY</v>
      </c>
      <c r="C123">
        <f>[1]!'1589.TW-SimulatePrice'</f>
        <v>59.3</v>
      </c>
      <c r="D123">
        <f>[1]!'1589.TW-PreClose'</f>
        <v>59.3</v>
      </c>
      <c r="E123" t="str">
        <f>[1]!'1589.TW-SimulateTime'</f>
        <v>13:29:51</v>
      </c>
    </row>
    <row r="124" spans="1:5" x14ac:dyDescent="0.25">
      <c r="A124" t="str">
        <f>[1]!'1590.TW-ID'</f>
        <v>1590</v>
      </c>
      <c r="B124" t="str">
        <f>[1]!'1590.TW-Name'</f>
        <v>亞德客-KY</v>
      </c>
      <c r="C124">
        <f>[1]!'1590.TW-SimulatePrice'</f>
        <v>556</v>
      </c>
      <c r="D124">
        <f>[1]!'1590.TW-PreClose'</f>
        <v>523</v>
      </c>
      <c r="E124" t="str">
        <f>[1]!'1590.TW-SimulateTime'</f>
        <v>13:29:57</v>
      </c>
    </row>
    <row r="125" spans="1:5" x14ac:dyDescent="0.25">
      <c r="A125" t="str">
        <f>[1]!'2049.TW-ID'</f>
        <v>2049</v>
      </c>
      <c r="B125" t="str">
        <f>[1]!'2049.TW-Name'</f>
        <v>上銀</v>
      </c>
      <c r="C125">
        <f>[1]!'2049.TW-SimulatePrice'</f>
        <v>283</v>
      </c>
      <c r="D125">
        <f>[1]!'2049.TW-PreClose'</f>
        <v>286.5</v>
      </c>
      <c r="E125" t="str">
        <f>[1]!'2049.TW-SimulateTime'</f>
        <v>13:29:57</v>
      </c>
    </row>
    <row r="126" spans="1:5" x14ac:dyDescent="0.25">
      <c r="A126" t="str">
        <f>[1]!'2371.TW-ID'</f>
        <v>2371</v>
      </c>
      <c r="B126" t="str">
        <f>[1]!'2371.TW-Name'</f>
        <v>大同</v>
      </c>
      <c r="C126">
        <f>[1]!'2371.TW-SimulatePrice'</f>
        <v>20.5</v>
      </c>
      <c r="D126">
        <f>[1]!'2371.TW-PreClose'</f>
        <v>20.5</v>
      </c>
      <c r="E126" t="str">
        <f>[1]!'2371.TW-SimulateTime'</f>
        <v>13:29:58</v>
      </c>
    </row>
    <row r="127" spans="1:5" x14ac:dyDescent="0.25">
      <c r="A127" t="str">
        <f>[1]!'3167.TW-ID'</f>
        <v>3167</v>
      </c>
      <c r="B127" t="str">
        <f>[1]!'3167.TW-Name'</f>
        <v>大量</v>
      </c>
      <c r="C127">
        <f>[1]!'3167.TW-SimulatePrice'</f>
        <v>43.05</v>
      </c>
      <c r="D127">
        <f>[1]!'3167.TW-PreClose'</f>
        <v>42.55</v>
      </c>
      <c r="E127" t="str">
        <f>[1]!'3167.TW-SimulateTime'</f>
        <v>13:27:54</v>
      </c>
    </row>
    <row r="128" spans="1:5" x14ac:dyDescent="0.25">
      <c r="A128" t="str">
        <f>[1]!'4526.TW-ID'</f>
        <v>4526</v>
      </c>
      <c r="B128" t="str">
        <f>[1]!'4526.TW-Name'</f>
        <v>東台</v>
      </c>
      <c r="C128">
        <f>[1]!'4526.TW-SimulatePrice'</f>
        <v>12.65</v>
      </c>
      <c r="D128">
        <f>[1]!'4526.TW-PreClose'</f>
        <v>12.65</v>
      </c>
      <c r="E128" t="str">
        <f>[1]!'4526.TW-SimulateTime'</f>
        <v>13:28:38</v>
      </c>
    </row>
    <row r="129" spans="1:5" x14ac:dyDescent="0.25">
      <c r="A129" t="str">
        <f>[1]!'4532.TW-ID'</f>
        <v>4532</v>
      </c>
      <c r="B129" t="str">
        <f>[1]!'4532.TW-Name'</f>
        <v>瑞智</v>
      </c>
      <c r="C129">
        <f>[1]!'4532.TW-SimulatePrice'</f>
        <v>17.05</v>
      </c>
      <c r="D129">
        <f>[1]!'4532.TW-PreClose'</f>
        <v>17.149999999999999</v>
      </c>
      <c r="E129" t="str">
        <f>[1]!'4532.TW-SimulateTime'</f>
        <v>13:29:13</v>
      </c>
    </row>
    <row r="130" spans="1:5" x14ac:dyDescent="0.25">
      <c r="A130" t="str">
        <f>[1]!'4540.TW-ID'</f>
        <v>4540</v>
      </c>
      <c r="B130" t="str">
        <f>[1]!'4540.TW-Name'</f>
        <v>全球傳動</v>
      </c>
      <c r="C130">
        <f>[1]!'4540.TW-SimulatePrice'</f>
        <v>50.9</v>
      </c>
      <c r="D130">
        <f>[1]!'4540.TW-PreClose'</f>
        <v>50.6</v>
      </c>
      <c r="E130" t="str">
        <f>[1]!'4540.TW-SimulateTime'</f>
        <v>13:29:47</v>
      </c>
    </row>
    <row r="131" spans="1:5" x14ac:dyDescent="0.25">
      <c r="A131" t="str">
        <f>[1]!'4552.TW-ID'</f>
        <v>4552</v>
      </c>
      <c r="B131" t="str">
        <f>[1]!'4552.TW-Name'</f>
        <v>力達-KY</v>
      </c>
      <c r="C131">
        <f>[1]!'4552.TW-SimulatePrice'</f>
        <v>29.65</v>
      </c>
      <c r="D131">
        <f>[1]!'4552.TW-PreClose'</f>
        <v>29.55</v>
      </c>
      <c r="E131" t="str">
        <f>[1]!'4552.TW-SimulateTime'</f>
        <v>13:29:58</v>
      </c>
    </row>
    <row r="132" spans="1:5" x14ac:dyDescent="0.25">
      <c r="A132" t="str">
        <f>[1]!'4555.TW-ID'</f>
        <v>4555</v>
      </c>
      <c r="B132" t="str">
        <f>[1]!'4555.TW-Name'</f>
        <v>氣立</v>
      </c>
      <c r="C132">
        <f>[1]!'4555.TW-SimulatePrice'</f>
        <v>51.5</v>
      </c>
      <c r="D132">
        <f>[1]!'4555.TW-PreClose'</f>
        <v>51.9</v>
      </c>
      <c r="E132" t="str">
        <f>[1]!'4555.TW-SimulateTime'</f>
        <v>13:29:48</v>
      </c>
    </row>
    <row r="133" spans="1:5" x14ac:dyDescent="0.25">
      <c r="A133" t="str">
        <f>[1]!'4560.TW-ID'</f>
        <v>4560</v>
      </c>
      <c r="B133" t="str">
        <f>[1]!'4560.TW-Name'</f>
        <v>強信-KY</v>
      </c>
      <c r="C133">
        <f>[1]!'4560.TW-SimulatePrice'</f>
        <v>47.8</v>
      </c>
      <c r="D133">
        <f>[1]!'4560.TW-PreClose'</f>
        <v>47.6</v>
      </c>
      <c r="E133" t="str">
        <f>[1]!'4560.TW-SimulateTime'</f>
        <v>13:29:58</v>
      </c>
    </row>
    <row r="134" spans="1:5" x14ac:dyDescent="0.25">
      <c r="A134" t="str">
        <f>[1]!'4562.TW-ID'</f>
        <v>4562</v>
      </c>
      <c r="B134" t="str">
        <f>[1]!'4562.TW-Name'</f>
        <v>穎漢</v>
      </c>
      <c r="C134" t="str">
        <f>[1]!'4562.TW-SimulatePrice'</f>
        <v>--</v>
      </c>
      <c r="D134">
        <f>[1]!'4562.TW-PreClose'</f>
        <v>17.05</v>
      </c>
      <c r="E134" t="str">
        <f>[1]!'4562.TW-SimulateTime'</f>
        <v>--</v>
      </c>
    </row>
    <row r="135" spans="1:5" x14ac:dyDescent="0.25">
      <c r="A135" t="str">
        <f>[1]!'4564.TW-ID'</f>
        <v>4564</v>
      </c>
      <c r="B135" t="str">
        <f>[1]!'4564.TW-Name'</f>
        <v>元翎</v>
      </c>
      <c r="C135">
        <f>[1]!'4564.TW-SimulatePrice'</f>
        <v>30.05</v>
      </c>
      <c r="D135">
        <f>[1]!'4564.TW-PreClose'</f>
        <v>30.4</v>
      </c>
      <c r="E135" t="str">
        <f>[1]!'4564.TW-SimulateTime'</f>
        <v>13:29:25</v>
      </c>
    </row>
    <row r="136" spans="1:5" x14ac:dyDescent="0.25">
      <c r="A136" t="str">
        <f>[1]!'4566.TW-ID'</f>
        <v>4566</v>
      </c>
      <c r="B136" t="str">
        <f>[1]!'4566.TW-Name'</f>
        <v>時碩工業</v>
      </c>
      <c r="C136">
        <f>[1]!'4566.TW-SimulatePrice'</f>
        <v>37</v>
      </c>
      <c r="D136">
        <f>[1]!'4566.TW-PreClose'</f>
        <v>36</v>
      </c>
      <c r="E136" t="str">
        <f>[1]!'4566.TW-SimulateTime'</f>
        <v>13:29:46</v>
      </c>
    </row>
    <row r="137" spans="1:5" x14ac:dyDescent="0.25">
      <c r="A137" t="str">
        <f>[1]!'4571.TW-ID'</f>
        <v>4571</v>
      </c>
      <c r="B137" t="str">
        <f>[1]!'4571.TW-Name'</f>
        <v>鈞興-KY</v>
      </c>
      <c r="C137">
        <f>[1]!'4571.TW-SimulatePrice'</f>
        <v>60.6</v>
      </c>
      <c r="D137">
        <f>[1]!'4571.TW-PreClose'</f>
        <v>62.3</v>
      </c>
      <c r="E137" t="str">
        <f>[1]!'4571.TW-SimulateTime'</f>
        <v>13:29:40</v>
      </c>
    </row>
    <row r="138" spans="1:5" x14ac:dyDescent="0.25">
      <c r="A138" t="str">
        <f>[1]!'4572.TW-ID'</f>
        <v>4572</v>
      </c>
      <c r="B138" t="str">
        <f>[1]!'4572.TW-Name'</f>
        <v>駐龍</v>
      </c>
      <c r="C138">
        <f>[1]!'4572.TW-SimulatePrice'</f>
        <v>79.599999999999994</v>
      </c>
      <c r="D138">
        <f>[1]!'4572.TW-PreClose'</f>
        <v>80.400000000000006</v>
      </c>
      <c r="E138" t="str">
        <f>[1]!'4572.TW-SimulateTime'</f>
        <v>13:28:07</v>
      </c>
    </row>
    <row r="139" spans="1:5" x14ac:dyDescent="0.25">
      <c r="A139" t="str">
        <f>[1]!'4576.TW-ID'</f>
        <v>4576</v>
      </c>
      <c r="B139" t="str">
        <f>[1]!'4576.TW-Name'</f>
        <v>大銀微系統</v>
      </c>
      <c r="C139">
        <f>[1]!'4576.TW-SimulatePrice'</f>
        <v>70.2</v>
      </c>
      <c r="D139">
        <f>[1]!'4576.TW-PreClose'</f>
        <v>69</v>
      </c>
      <c r="E139" t="str">
        <f>[1]!'4576.TW-SimulateTime'</f>
        <v>13:29:58</v>
      </c>
    </row>
    <row r="140" spans="1:5" x14ac:dyDescent="0.25">
      <c r="A140" t="str">
        <f>[1]!'5288.TW-ID'</f>
        <v>5288</v>
      </c>
      <c r="B140" t="str">
        <f>[1]!'5288.TW-Name'</f>
        <v>豐祥-KY</v>
      </c>
      <c r="C140">
        <f>[1]!'5288.TW-SimulatePrice'</f>
        <v>92.7</v>
      </c>
      <c r="D140">
        <f>[1]!'5288.TW-PreClose'</f>
        <v>92.3</v>
      </c>
      <c r="E140" t="str">
        <f>[1]!'5288.TW-SimulateTime'</f>
        <v>13:29:56</v>
      </c>
    </row>
    <row r="141" spans="1:5" x14ac:dyDescent="0.25">
      <c r="A141" t="str">
        <f>[1]!'8222.TW-ID'</f>
        <v>8222</v>
      </c>
      <c r="B141" t="str">
        <f>[1]!'8222.TW-Name'</f>
        <v>寶一</v>
      </c>
      <c r="C141" t="str">
        <f>[1]!'8222.TW-SimulatePrice'</f>
        <v>--</v>
      </c>
      <c r="D141">
        <f>[1]!'8222.TW-PreClose'</f>
        <v>13.3</v>
      </c>
      <c r="E141" t="str">
        <f>[1]!'8222.TW-SimulateTime'</f>
        <v>--</v>
      </c>
    </row>
    <row r="142" spans="1:5" x14ac:dyDescent="0.25">
      <c r="A142" t="str">
        <f>[1]!'8374.TW-ID'</f>
        <v>8374</v>
      </c>
      <c r="B142" t="str">
        <f>[1]!'8374.TW-Name'</f>
        <v>羅昇</v>
      </c>
      <c r="C142">
        <f>[1]!'8374.TW-SimulatePrice'</f>
        <v>20.85</v>
      </c>
      <c r="D142">
        <f>[1]!'8374.TW-PreClose'</f>
        <v>20.350000000000001</v>
      </c>
      <c r="E142" t="str">
        <f>[1]!'8374.TW-SimulateTime'</f>
        <v>13:29:38</v>
      </c>
    </row>
    <row r="143" spans="1:5" x14ac:dyDescent="0.25">
      <c r="A143" t="str">
        <f>[1]!'8996.TW-ID'</f>
        <v>8996</v>
      </c>
      <c r="B143" t="str">
        <f>[1]!'8996.TW-Name'</f>
        <v>高力</v>
      </c>
      <c r="C143">
        <f>[1]!'8996.TW-SimulatePrice'</f>
        <v>62.5</v>
      </c>
      <c r="D143">
        <f>[1]!'8996.TW-PreClose'</f>
        <v>64.5</v>
      </c>
      <c r="E143" t="str">
        <f>[1]!'8996.TW-SimulateTime'</f>
        <v>13:29:59</v>
      </c>
    </row>
    <row r="144" spans="1:5" x14ac:dyDescent="0.25">
      <c r="A144" t="str">
        <f>[1]!'1603.TW-ID'</f>
        <v>1603</v>
      </c>
      <c r="B144" t="str">
        <f>[1]!'1603.TW-Name'</f>
        <v>華電</v>
      </c>
      <c r="C144">
        <f>[1]!'1603.TW-SimulatePrice'</f>
        <v>27.15</v>
      </c>
      <c r="D144">
        <f>[1]!'1603.TW-PreClose'</f>
        <v>27.2</v>
      </c>
      <c r="E144" t="str">
        <f>[1]!'1603.TW-SimulateTime'</f>
        <v>13:25:49</v>
      </c>
    </row>
    <row r="145" spans="1:5" x14ac:dyDescent="0.25">
      <c r="A145" t="str">
        <f>[1]!'1604.TW-ID'</f>
        <v>1604</v>
      </c>
      <c r="B145" t="str">
        <f>[1]!'1604.TW-Name'</f>
        <v>聲寶</v>
      </c>
      <c r="C145">
        <f>[1]!'1604.TW-SimulatePrice'</f>
        <v>19.55</v>
      </c>
      <c r="D145">
        <f>[1]!'1604.TW-PreClose'</f>
        <v>19.649999999999999</v>
      </c>
      <c r="E145" t="str">
        <f>[1]!'1604.TW-SimulateTime'</f>
        <v>13:28:53</v>
      </c>
    </row>
    <row r="146" spans="1:5" x14ac:dyDescent="0.25">
      <c r="A146" t="str">
        <f>[1]!'1605.TW-ID'</f>
        <v>1605</v>
      </c>
      <c r="B146" t="str">
        <f>[1]!'1605.TW-Name'</f>
        <v>華新</v>
      </c>
      <c r="C146">
        <f>[1]!'1605.TW-SimulatePrice'</f>
        <v>12.45</v>
      </c>
      <c r="D146">
        <f>[1]!'1605.TW-PreClose'</f>
        <v>12.55</v>
      </c>
      <c r="E146" t="str">
        <f>[1]!'1605.TW-SimulateTime'</f>
        <v>13:29:56</v>
      </c>
    </row>
    <row r="147" spans="1:5" x14ac:dyDescent="0.25">
      <c r="A147" t="str">
        <f>[1]!'1608.TW-ID'</f>
        <v>1608</v>
      </c>
      <c r="B147" t="str">
        <f>[1]!'1608.TW-Name'</f>
        <v>華榮</v>
      </c>
      <c r="C147">
        <f>[1]!'1608.TW-SimulatePrice'</f>
        <v>9.1</v>
      </c>
      <c r="D147">
        <f>[1]!'1608.TW-PreClose'</f>
        <v>9.16</v>
      </c>
      <c r="E147" t="str">
        <f>[1]!'1608.TW-SimulateTime'</f>
        <v>13:29:53</v>
      </c>
    </row>
    <row r="148" spans="1:5" x14ac:dyDescent="0.25">
      <c r="A148" t="str">
        <f>[1]!'1609.TW-ID'</f>
        <v>1609</v>
      </c>
      <c r="B148" t="str">
        <f>[1]!'1609.TW-Name'</f>
        <v>大亞</v>
      </c>
      <c r="C148">
        <f>[1]!'1609.TW-SimulatePrice'</f>
        <v>10.4</v>
      </c>
      <c r="D148">
        <f>[1]!'1609.TW-PreClose'</f>
        <v>10.5</v>
      </c>
      <c r="E148" t="str">
        <f>[1]!'1609.TW-SimulateTime'</f>
        <v>13:29:54</v>
      </c>
    </row>
    <row r="149" spans="1:5" x14ac:dyDescent="0.25">
      <c r="A149" t="str">
        <f>[1]!'1611.TW-ID'</f>
        <v>1611</v>
      </c>
      <c r="B149" t="str">
        <f>[1]!'1611.TW-Name'</f>
        <v>中電</v>
      </c>
      <c r="C149">
        <f>[1]!'1611.TW-SimulatePrice'</f>
        <v>13.1</v>
      </c>
      <c r="D149">
        <f>[1]!'1611.TW-PreClose'</f>
        <v>13.15</v>
      </c>
      <c r="E149" t="str">
        <f>[1]!'1611.TW-SimulateTime'</f>
        <v>13:29:51</v>
      </c>
    </row>
    <row r="150" spans="1:5" x14ac:dyDescent="0.25">
      <c r="A150" t="str">
        <f>[1]!'1612.TW-ID'</f>
        <v>1612</v>
      </c>
      <c r="B150" t="str">
        <f>[1]!'1612.TW-Name'</f>
        <v>宏泰</v>
      </c>
      <c r="C150">
        <f>[1]!'1612.TW-SimulatePrice'</f>
        <v>10</v>
      </c>
      <c r="D150">
        <f>[1]!'1612.TW-PreClose'</f>
        <v>10</v>
      </c>
      <c r="E150" t="str">
        <f>[1]!'1612.TW-SimulateTime'</f>
        <v>13:29:01</v>
      </c>
    </row>
    <row r="151" spans="1:5" x14ac:dyDescent="0.25">
      <c r="A151" t="str">
        <f>[1]!'1614.TW-ID'</f>
        <v>1614</v>
      </c>
      <c r="B151" t="str">
        <f>[1]!'1614.TW-Name'</f>
        <v>三洋電</v>
      </c>
      <c r="C151">
        <f>[1]!'1614.TW-SimulatePrice'</f>
        <v>30.6</v>
      </c>
      <c r="D151">
        <f>[1]!'1614.TW-PreClose'</f>
        <v>30.6</v>
      </c>
      <c r="E151" t="str">
        <f>[1]!'1614.TW-SimulateTime'</f>
        <v>13:29:36</v>
      </c>
    </row>
    <row r="152" spans="1:5" x14ac:dyDescent="0.25">
      <c r="A152" t="str">
        <f>[1]!'1615.TW-ID'</f>
        <v>1615</v>
      </c>
      <c r="B152" t="str">
        <f>[1]!'1615.TW-Name'</f>
        <v>大山</v>
      </c>
      <c r="C152">
        <f>[1]!'1615.TW-SimulatePrice'</f>
        <v>22.2</v>
      </c>
      <c r="D152">
        <f>[1]!'1615.TW-PreClose'</f>
        <v>22.4</v>
      </c>
      <c r="E152" t="str">
        <f>[1]!'1615.TW-SimulateTime'</f>
        <v>13:29:39</v>
      </c>
    </row>
    <row r="153" spans="1:5" x14ac:dyDescent="0.25">
      <c r="A153" t="str">
        <f>[1]!'1616.TW-ID'</f>
        <v>1616</v>
      </c>
      <c r="B153" t="str">
        <f>[1]!'1616.TW-Name'</f>
        <v>億泰</v>
      </c>
      <c r="C153">
        <f>[1]!'1616.TW-SimulatePrice'</f>
        <v>4.24</v>
      </c>
      <c r="D153">
        <f>[1]!'1616.TW-PreClose'</f>
        <v>4.25</v>
      </c>
      <c r="E153" t="str">
        <f>[1]!'1616.TW-SimulateTime'</f>
        <v>13:28:04</v>
      </c>
    </row>
    <row r="154" spans="1:5" x14ac:dyDescent="0.25">
      <c r="A154" t="str">
        <f>[1]!'1617.TW-ID'</f>
        <v>1617</v>
      </c>
      <c r="B154" t="str">
        <f>[1]!'1617.TW-Name'</f>
        <v>榮星</v>
      </c>
      <c r="C154">
        <f>[1]!'1617.TW-SimulatePrice'</f>
        <v>11.05</v>
      </c>
      <c r="D154">
        <f>[1]!'1617.TW-PreClose'</f>
        <v>11</v>
      </c>
      <c r="E154" t="str">
        <f>[1]!'1617.TW-SimulateTime'</f>
        <v>13:29:51</v>
      </c>
    </row>
    <row r="155" spans="1:5" x14ac:dyDescent="0.25">
      <c r="A155" t="str">
        <f>[1]!'1618.TW-ID'</f>
        <v>1618</v>
      </c>
      <c r="B155" t="str">
        <f>[1]!'1618.TW-Name'</f>
        <v>合機</v>
      </c>
      <c r="C155" t="str">
        <f>[1]!'1618.TW-SimulatePrice'</f>
        <v>--</v>
      </c>
      <c r="D155">
        <f>[1]!'1618.TW-PreClose'</f>
        <v>7.75</v>
      </c>
      <c r="E155" t="str">
        <f>[1]!'1618.TW-SimulateTime'</f>
        <v>--</v>
      </c>
    </row>
    <row r="156" spans="1:5" x14ac:dyDescent="0.25">
      <c r="A156" t="str">
        <f>[1]!'1626.TW-ID'</f>
        <v>1626</v>
      </c>
      <c r="B156" t="str">
        <f>[1]!'1626.TW-Name'</f>
        <v>艾美特-KY</v>
      </c>
      <c r="C156">
        <f>[1]!'1626.TW-SimulatePrice'</f>
        <v>25.4</v>
      </c>
      <c r="D156">
        <f>[1]!'1626.TW-PreClose'</f>
        <v>24.6</v>
      </c>
      <c r="E156" t="str">
        <f>[1]!'1626.TW-SimulateTime'</f>
        <v>13:29:56</v>
      </c>
    </row>
    <row r="157" spans="1:5" x14ac:dyDescent="0.25">
      <c r="A157" t="str">
        <f>[1]!'4930.TW-ID'</f>
        <v>4930</v>
      </c>
      <c r="B157" t="str">
        <f>[1]!'4930.TW-Name'</f>
        <v>燦星網</v>
      </c>
      <c r="C157">
        <f>[1]!'4930.TW-SimulatePrice'</f>
        <v>9.56</v>
      </c>
      <c r="D157">
        <f>[1]!'4930.TW-PreClose'</f>
        <v>9.56</v>
      </c>
      <c r="E157" t="str">
        <f>[1]!'4930.TW-SimulateTime'</f>
        <v>13:27:41</v>
      </c>
    </row>
    <row r="158" spans="1:5" x14ac:dyDescent="0.25">
      <c r="A158" t="str">
        <f>[1]!'5283.TW-ID'</f>
        <v>5283</v>
      </c>
      <c r="B158" t="str">
        <f>[1]!'5283.TW-Name'</f>
        <v>禾聯碩</v>
      </c>
      <c r="C158">
        <f>[1]!'5283.TW-SimulatePrice'</f>
        <v>99</v>
      </c>
      <c r="D158">
        <f>[1]!'5283.TW-PreClose'</f>
        <v>99.2</v>
      </c>
      <c r="E158" t="str">
        <f>[1]!'5283.TW-SimulateTime'</f>
        <v>13:28:57</v>
      </c>
    </row>
    <row r="159" spans="1:5" x14ac:dyDescent="0.25">
      <c r="A159" t="str">
        <f>[1]!'1708.TW-ID'</f>
        <v>1708</v>
      </c>
      <c r="B159" t="str">
        <f>[1]!'1708.TW-Name'</f>
        <v>東鹼</v>
      </c>
      <c r="C159">
        <f>[1]!'1708.TW-SimulatePrice'</f>
        <v>24</v>
      </c>
      <c r="D159">
        <f>[1]!'1708.TW-PreClose'</f>
        <v>23.95</v>
      </c>
      <c r="E159" t="str">
        <f>[1]!'1708.TW-SimulateTime'</f>
        <v>13:29:46</v>
      </c>
    </row>
    <row r="160" spans="1:5" x14ac:dyDescent="0.25">
      <c r="A160" t="str">
        <f>[1]!'1709.TW-ID'</f>
        <v>1709</v>
      </c>
      <c r="B160" t="str">
        <f>[1]!'1709.TW-Name'</f>
        <v>和益</v>
      </c>
      <c r="C160">
        <f>[1]!'1709.TW-SimulatePrice'</f>
        <v>12.8</v>
      </c>
      <c r="D160">
        <f>[1]!'1709.TW-PreClose'</f>
        <v>12.85</v>
      </c>
      <c r="E160" t="str">
        <f>[1]!'1709.TW-SimulateTime'</f>
        <v>13:29:56</v>
      </c>
    </row>
    <row r="161" spans="1:5" x14ac:dyDescent="0.25">
      <c r="A161" t="str">
        <f>[1]!'1710.TW-ID'</f>
        <v>1710</v>
      </c>
      <c r="B161" t="str">
        <f>[1]!'1710.TW-Name'</f>
        <v>東聯</v>
      </c>
      <c r="C161">
        <f>[1]!'1710.TW-SimulatePrice'</f>
        <v>16.3</v>
      </c>
      <c r="D161">
        <f>[1]!'1710.TW-PreClose'</f>
        <v>16.649999999999999</v>
      </c>
      <c r="E161" t="str">
        <f>[1]!'1710.TW-SimulateTime'</f>
        <v>13:29:57</v>
      </c>
    </row>
    <row r="162" spans="1:5" x14ac:dyDescent="0.25">
      <c r="A162" t="str">
        <f>[1]!'1711.TW-ID'</f>
        <v>1711</v>
      </c>
      <c r="B162" t="str">
        <f>[1]!'1711.TW-Name'</f>
        <v>永光</v>
      </c>
      <c r="C162">
        <f>[1]!'1711.TW-SimulatePrice'</f>
        <v>14.8</v>
      </c>
      <c r="D162">
        <f>[1]!'1711.TW-PreClose'</f>
        <v>15.05</v>
      </c>
      <c r="E162" t="str">
        <f>[1]!'1711.TW-SimulateTime'</f>
        <v>13:29:56</v>
      </c>
    </row>
    <row r="163" spans="1:5" x14ac:dyDescent="0.25">
      <c r="A163" t="str">
        <f>[1]!'1712.TW-ID'</f>
        <v>1712</v>
      </c>
      <c r="B163" t="str">
        <f>[1]!'1712.TW-Name'</f>
        <v>興農</v>
      </c>
      <c r="C163">
        <f>[1]!'1712.TW-SimulatePrice'</f>
        <v>18.05</v>
      </c>
      <c r="D163">
        <f>[1]!'1712.TW-PreClose'</f>
        <v>18.149999999999999</v>
      </c>
      <c r="E163" t="str">
        <f>[1]!'1712.TW-SimulateTime'</f>
        <v>13:29:59</v>
      </c>
    </row>
    <row r="164" spans="1:5" x14ac:dyDescent="0.25">
      <c r="A164" t="str">
        <f>[1]!'1713.TW-ID'</f>
        <v>1713</v>
      </c>
      <c r="B164" t="str">
        <f>[1]!'1713.TW-Name'</f>
        <v>國化</v>
      </c>
      <c r="C164">
        <f>[1]!'1713.TW-SimulatePrice'</f>
        <v>17.850000000000001</v>
      </c>
      <c r="D164">
        <f>[1]!'1713.TW-PreClose'</f>
        <v>17.850000000000001</v>
      </c>
      <c r="E164" t="str">
        <f>[1]!'1713.TW-SimulateTime'</f>
        <v>13:29:54</v>
      </c>
    </row>
    <row r="165" spans="1:5" x14ac:dyDescent="0.25">
      <c r="A165" t="str">
        <f>[1]!'1714.TW-ID'</f>
        <v>1714</v>
      </c>
      <c r="B165" t="str">
        <f>[1]!'1714.TW-Name'</f>
        <v>和桐</v>
      </c>
      <c r="C165">
        <f>[1]!'1714.TW-SimulatePrice'</f>
        <v>7.08</v>
      </c>
      <c r="D165">
        <f>[1]!'1714.TW-PreClose'</f>
        <v>7.08</v>
      </c>
      <c r="E165" t="str">
        <f>[1]!'1714.TW-SimulateTime'</f>
        <v>13:29:41</v>
      </c>
    </row>
    <row r="166" spans="1:5" x14ac:dyDescent="0.25">
      <c r="A166" t="str">
        <f>[1]!'1717.TW-ID'</f>
        <v>1717</v>
      </c>
      <c r="B166" t="str">
        <f>[1]!'1717.TW-Name'</f>
        <v>長興</v>
      </c>
      <c r="C166">
        <f>[1]!'1717.TW-SimulatePrice'</f>
        <v>29.3</v>
      </c>
      <c r="D166">
        <f>[1]!'1717.TW-PreClose'</f>
        <v>29.2</v>
      </c>
      <c r="E166" t="str">
        <f>[1]!'1717.TW-SimulateTime'</f>
        <v>13:29:48</v>
      </c>
    </row>
    <row r="167" spans="1:5" x14ac:dyDescent="0.25">
      <c r="A167" t="str">
        <f>[1]!'1718.TW-ID'</f>
        <v>1718</v>
      </c>
      <c r="B167" t="str">
        <f>[1]!'1718.TW-Name'</f>
        <v>中纖</v>
      </c>
      <c r="C167">
        <f>[1]!'1718.TW-SimulatePrice'</f>
        <v>6.13</v>
      </c>
      <c r="D167">
        <f>[1]!'1718.TW-PreClose'</f>
        <v>6.16</v>
      </c>
      <c r="E167" t="str">
        <f>[1]!'1718.TW-SimulateTime'</f>
        <v>13:29:59</v>
      </c>
    </row>
    <row r="168" spans="1:5" x14ac:dyDescent="0.25">
      <c r="A168" t="str">
        <f>[1]!'1721.TW-ID'</f>
        <v>1721</v>
      </c>
      <c r="B168" t="str">
        <f>[1]!'1721.TW-Name'</f>
        <v>三晃</v>
      </c>
      <c r="C168">
        <f>[1]!'1721.TW-SimulatePrice'</f>
        <v>9.76</v>
      </c>
      <c r="D168">
        <f>[1]!'1721.TW-PreClose'</f>
        <v>9.9</v>
      </c>
      <c r="E168" t="str">
        <f>[1]!'1721.TW-SimulateTime'</f>
        <v>13:28:35</v>
      </c>
    </row>
    <row r="169" spans="1:5" x14ac:dyDescent="0.25">
      <c r="A169" t="str">
        <f>[1]!'1722.TW-ID'</f>
        <v>1722</v>
      </c>
      <c r="B169" t="str">
        <f>[1]!'1722.TW-Name'</f>
        <v>台肥</v>
      </c>
      <c r="C169">
        <f>[1]!'1722.TW-SimulatePrice'</f>
        <v>48.95</v>
      </c>
      <c r="D169">
        <f>[1]!'1722.TW-PreClose'</f>
        <v>49.05</v>
      </c>
      <c r="E169" t="str">
        <f>[1]!'1722.TW-SimulateTime'</f>
        <v>13:29:59</v>
      </c>
    </row>
    <row r="170" spans="1:5" x14ac:dyDescent="0.25">
      <c r="A170" t="str">
        <f>[1]!'1723.TW-ID'</f>
        <v>1723</v>
      </c>
      <c r="B170" t="str">
        <f>[1]!'1723.TW-Name'</f>
        <v>中碳</v>
      </c>
      <c r="C170">
        <f>[1]!'1723.TW-SimulatePrice'</f>
        <v>101.5</v>
      </c>
      <c r="D170">
        <f>[1]!'1723.TW-PreClose'</f>
        <v>100</v>
      </c>
      <c r="E170" t="str">
        <f>[1]!'1723.TW-SimulateTime'</f>
        <v>13:29:59</v>
      </c>
    </row>
    <row r="171" spans="1:5" x14ac:dyDescent="0.25">
      <c r="A171" t="str">
        <f>[1]!'1724.TW-ID'</f>
        <v>1724</v>
      </c>
      <c r="B171" t="str">
        <f>[1]!'1724.TW-Name'</f>
        <v>台硝</v>
      </c>
      <c r="C171">
        <f>[1]!'1724.TW-SimulatePrice'</f>
        <v>12.1</v>
      </c>
      <c r="D171">
        <f>[1]!'1724.TW-PreClose'</f>
        <v>12.1</v>
      </c>
      <c r="E171" t="str">
        <f>[1]!'1724.TW-SimulateTime'</f>
        <v>13:26:13</v>
      </c>
    </row>
    <row r="172" spans="1:5" x14ac:dyDescent="0.25">
      <c r="A172" t="str">
        <f>[1]!'1725.TW-ID'</f>
        <v>1725</v>
      </c>
      <c r="B172" t="str">
        <f>[1]!'1725.TW-Name'</f>
        <v>元禎</v>
      </c>
      <c r="C172">
        <f>[1]!'1725.TW-SimulatePrice'</f>
        <v>14.75</v>
      </c>
      <c r="D172">
        <f>[1]!'1725.TW-PreClose'</f>
        <v>14.4</v>
      </c>
      <c r="E172" t="str">
        <f>[1]!'1725.TW-SimulateTime'</f>
        <v>13:29:30</v>
      </c>
    </row>
    <row r="173" spans="1:5" x14ac:dyDescent="0.25">
      <c r="A173" t="str">
        <f>[1]!'1726.TW-ID'</f>
        <v>1726</v>
      </c>
      <c r="B173" t="str">
        <f>[1]!'1726.TW-Name'</f>
        <v>永記</v>
      </c>
      <c r="C173" t="str">
        <f>[1]!'1726.TW-SimulatePrice'</f>
        <v>--</v>
      </c>
      <c r="D173">
        <f>[1]!'1726.TW-PreClose'</f>
        <v>68.7</v>
      </c>
      <c r="E173" t="str">
        <f>[1]!'1726.TW-SimulateTime'</f>
        <v>--</v>
      </c>
    </row>
    <row r="174" spans="1:5" x14ac:dyDescent="0.25">
      <c r="A174" t="str">
        <f>[1]!'1727.TW-ID'</f>
        <v>1727</v>
      </c>
      <c r="B174" t="str">
        <f>[1]!'1727.TW-Name'</f>
        <v>中華化</v>
      </c>
      <c r="C174">
        <f>[1]!'1727.TW-SimulatePrice'</f>
        <v>9.08</v>
      </c>
      <c r="D174">
        <f>[1]!'1727.TW-PreClose'</f>
        <v>9.26</v>
      </c>
      <c r="E174" t="str">
        <f>[1]!'1727.TW-SimulateTime'</f>
        <v>13:28:16</v>
      </c>
    </row>
    <row r="175" spans="1:5" x14ac:dyDescent="0.25">
      <c r="A175" t="str">
        <f>[1]!'1730.TW-ID'</f>
        <v>1730</v>
      </c>
      <c r="B175" t="str">
        <f>[1]!'1730.TW-Name'</f>
        <v>花仙子</v>
      </c>
      <c r="C175">
        <f>[1]!'1730.TW-SimulatePrice'</f>
        <v>70</v>
      </c>
      <c r="D175">
        <f>[1]!'1730.TW-PreClose'</f>
        <v>71.5</v>
      </c>
      <c r="E175" t="str">
        <f>[1]!'1730.TW-SimulateTime'</f>
        <v>13:27:52</v>
      </c>
    </row>
    <row r="176" spans="1:5" x14ac:dyDescent="0.25">
      <c r="A176" t="str">
        <f>[1]!'1732.TW-ID'</f>
        <v>1732</v>
      </c>
      <c r="B176" t="str">
        <f>[1]!'1732.TW-Name'</f>
        <v>毛寶</v>
      </c>
      <c r="C176" t="str">
        <f>[1]!'1732.TW-SimulatePrice'</f>
        <v>--</v>
      </c>
      <c r="D176">
        <f>[1]!'1732.TW-PreClose'</f>
        <v>30</v>
      </c>
      <c r="E176" t="str">
        <f>[1]!'1732.TW-SimulateTime'</f>
        <v>--</v>
      </c>
    </row>
    <row r="177" spans="1:5" x14ac:dyDescent="0.25">
      <c r="A177" t="str">
        <f>[1]!'1735.TW-ID'</f>
        <v>1735</v>
      </c>
      <c r="B177" t="str">
        <f>[1]!'1735.TW-Name'</f>
        <v>日勝化</v>
      </c>
      <c r="C177" t="str">
        <f>[1]!'1735.TW-SimulatePrice'</f>
        <v>--</v>
      </c>
      <c r="D177">
        <f>[1]!'1735.TW-PreClose'</f>
        <v>16.850000000000001</v>
      </c>
      <c r="E177" t="str">
        <f>[1]!'1735.TW-SimulateTime'</f>
        <v>--</v>
      </c>
    </row>
    <row r="178" spans="1:5" x14ac:dyDescent="0.25">
      <c r="A178" t="str">
        <f>[1]!'1773.TW-ID'</f>
        <v>1773</v>
      </c>
      <c r="B178" t="str">
        <f>[1]!'1773.TW-Name'</f>
        <v>勝一</v>
      </c>
      <c r="C178">
        <f>[1]!'1773.TW-SimulatePrice'</f>
        <v>95.7</v>
      </c>
      <c r="D178">
        <f>[1]!'1773.TW-PreClose'</f>
        <v>94.6</v>
      </c>
      <c r="E178" t="str">
        <f>[1]!'1773.TW-SimulateTime'</f>
        <v>13:29:30</v>
      </c>
    </row>
    <row r="179" spans="1:5" x14ac:dyDescent="0.25">
      <c r="A179" t="str">
        <f>[1]!'1776.TW-ID'</f>
        <v>1776</v>
      </c>
      <c r="B179" t="str">
        <f>[1]!'1776.TW-Name'</f>
        <v>展宇</v>
      </c>
      <c r="C179" t="str">
        <f>[1]!'1776.TW-SimulatePrice'</f>
        <v>--</v>
      </c>
      <c r="D179">
        <f>[1]!'1776.TW-PreClose'</f>
        <v>17.05</v>
      </c>
      <c r="E179" t="str">
        <f>[1]!'1776.TW-SimulateTime'</f>
        <v>--</v>
      </c>
    </row>
    <row r="180" spans="1:5" x14ac:dyDescent="0.25">
      <c r="A180" t="str">
        <f>[1]!'3708.TW-ID'</f>
        <v>3708</v>
      </c>
      <c r="B180" t="str">
        <f>[1]!'3708.TW-Name'</f>
        <v>上緯投控</v>
      </c>
      <c r="C180">
        <f>[1]!'3708.TW-SimulatePrice'</f>
        <v>84</v>
      </c>
      <c r="D180">
        <f>[1]!'3708.TW-PreClose'</f>
        <v>81.3</v>
      </c>
      <c r="E180" t="str">
        <f>[1]!'3708.TW-SimulateTime'</f>
        <v>13:29:55</v>
      </c>
    </row>
    <row r="181" spans="1:5" x14ac:dyDescent="0.25">
      <c r="A181" t="str">
        <f>[1]!'4720.TW-ID'</f>
        <v>4720</v>
      </c>
      <c r="B181" t="str">
        <f>[1]!'4720.TW-Name'</f>
        <v>德淵</v>
      </c>
      <c r="C181">
        <f>[1]!'4720.TW-SimulatePrice'</f>
        <v>16.2</v>
      </c>
      <c r="D181">
        <f>[1]!'4720.TW-PreClose'</f>
        <v>16.7</v>
      </c>
      <c r="E181" t="str">
        <f>[1]!'4720.TW-SimulateTime'</f>
        <v>13:29:55</v>
      </c>
    </row>
    <row r="182" spans="1:5" x14ac:dyDescent="0.25">
      <c r="A182" t="str">
        <f>[1]!'4722.TW-ID'</f>
        <v>4722</v>
      </c>
      <c r="B182" t="str">
        <f>[1]!'4722.TW-Name'</f>
        <v>國精化</v>
      </c>
      <c r="C182">
        <f>[1]!'4722.TW-SimulatePrice'</f>
        <v>27.15</v>
      </c>
      <c r="D182">
        <f>[1]!'4722.TW-PreClose'</f>
        <v>26.95</v>
      </c>
      <c r="E182" t="str">
        <f>[1]!'4722.TW-SimulateTime'</f>
        <v>13:28:51</v>
      </c>
    </row>
    <row r="183" spans="1:5" x14ac:dyDescent="0.25">
      <c r="A183" t="str">
        <f>[1]!'4725.TW-ID'</f>
        <v>4725</v>
      </c>
      <c r="B183" t="str">
        <f>[1]!'4725.TW-Name'</f>
        <v>信昌化</v>
      </c>
      <c r="C183">
        <f>[1]!'4725.TW-SimulatePrice'</f>
        <v>8.49</v>
      </c>
      <c r="D183">
        <f>[1]!'4725.TW-PreClose'</f>
        <v>8.77</v>
      </c>
      <c r="E183" t="str">
        <f>[1]!'4725.TW-SimulateTime'</f>
        <v>13:29:31</v>
      </c>
    </row>
    <row r="184" spans="1:5" x14ac:dyDescent="0.25">
      <c r="A184" t="str">
        <f>[1]!'4739.TW-ID'</f>
        <v>4739</v>
      </c>
      <c r="B184" t="str">
        <f>[1]!'4739.TW-Name'</f>
        <v>康普</v>
      </c>
      <c r="C184">
        <f>[1]!'4739.TW-SimulatePrice'</f>
        <v>58.3</v>
      </c>
      <c r="D184">
        <f>[1]!'4739.TW-PreClose'</f>
        <v>60.8</v>
      </c>
      <c r="E184" t="str">
        <f>[1]!'4739.TW-SimulateTime'</f>
        <v>13:29:53</v>
      </c>
    </row>
    <row r="185" spans="1:5" x14ac:dyDescent="0.25">
      <c r="A185" t="str">
        <f>[1]!'4755.TW-ID'</f>
        <v>4755</v>
      </c>
      <c r="B185" t="str">
        <f>[1]!'4755.TW-Name'</f>
        <v>三福化</v>
      </c>
      <c r="C185">
        <f>[1]!'4755.TW-SimulatePrice'</f>
        <v>45.4</v>
      </c>
      <c r="D185">
        <f>[1]!'4755.TW-PreClose'</f>
        <v>45.45</v>
      </c>
      <c r="E185" t="str">
        <f>[1]!'4755.TW-SimulateTime'</f>
        <v>13:26:14</v>
      </c>
    </row>
    <row r="186" spans="1:5" x14ac:dyDescent="0.25">
      <c r="A186" t="str">
        <f>[1]!'4763.TW-ID'</f>
        <v>4763</v>
      </c>
      <c r="B186" t="str">
        <f>[1]!'4763.TW-Name'</f>
        <v>材料-KY</v>
      </c>
      <c r="C186">
        <f>[1]!'4763.TW-SimulatePrice'</f>
        <v>124.5</v>
      </c>
      <c r="D186">
        <f>[1]!'4763.TW-PreClose'</f>
        <v>123.5</v>
      </c>
      <c r="E186" t="str">
        <f>[1]!'4763.TW-SimulateTime'</f>
        <v>13:29:55</v>
      </c>
    </row>
    <row r="187" spans="1:5" x14ac:dyDescent="0.25">
      <c r="A187" t="str">
        <f>[1]!'4764.TW-ID'</f>
        <v>4764</v>
      </c>
      <c r="B187" t="str">
        <f>[1]!'4764.TW-Name'</f>
        <v>雙鍵</v>
      </c>
      <c r="C187">
        <f>[1]!'4764.TW-SimulatePrice'</f>
        <v>66.599999999999994</v>
      </c>
      <c r="D187">
        <f>[1]!'4764.TW-PreClose'</f>
        <v>65.900000000000006</v>
      </c>
      <c r="E187" t="str">
        <f>[1]!'4764.TW-SimulateTime'</f>
        <v>13:28:28</v>
      </c>
    </row>
    <row r="188" spans="1:5" x14ac:dyDescent="0.25">
      <c r="A188" t="str">
        <f>[1]!'4766.TW-ID'</f>
        <v>4766</v>
      </c>
      <c r="B188" t="str">
        <f>[1]!'4766.TW-Name'</f>
        <v>南寶</v>
      </c>
      <c r="C188">
        <f>[1]!'4766.TW-SimulatePrice'</f>
        <v>120.5</v>
      </c>
      <c r="D188">
        <f>[1]!'4766.TW-PreClose'</f>
        <v>121.5</v>
      </c>
      <c r="E188" t="str">
        <f>[1]!'4766.TW-SimulateTime'</f>
        <v>13:29:58</v>
      </c>
    </row>
    <row r="189" spans="1:5" x14ac:dyDescent="0.25">
      <c r="A189" t="str">
        <f>[1]!'1598.TW-ID'</f>
        <v>1598</v>
      </c>
      <c r="B189" t="str">
        <f>[1]!'1598.TW-Name'</f>
        <v>岱宇</v>
      </c>
      <c r="C189">
        <f>[1]!'1598.TW-SimulatePrice'</f>
        <v>38.700000000000003</v>
      </c>
      <c r="D189">
        <f>[1]!'1598.TW-PreClose'</f>
        <v>37.35</v>
      </c>
      <c r="E189" t="str">
        <f>[1]!'1598.TW-SimulateTime'</f>
        <v>13:32:55</v>
      </c>
    </row>
    <row r="190" spans="1:5" x14ac:dyDescent="0.25">
      <c r="A190" t="str">
        <f>[1]!'1701.TW-ID'</f>
        <v>1701</v>
      </c>
      <c r="B190" t="str">
        <f>[1]!'1701.TW-Name'</f>
        <v>中化</v>
      </c>
      <c r="C190">
        <f>[1]!'1701.TW-SimulatePrice'</f>
        <v>21.25</v>
      </c>
      <c r="D190">
        <f>[1]!'1701.TW-PreClose'</f>
        <v>21.45</v>
      </c>
      <c r="E190" t="str">
        <f>[1]!'1701.TW-SimulateTime'</f>
        <v>13:29:57</v>
      </c>
    </row>
    <row r="191" spans="1:5" x14ac:dyDescent="0.25">
      <c r="A191" t="str">
        <f>[1]!'1707.TW-ID'</f>
        <v>1707</v>
      </c>
      <c r="B191" t="str">
        <f>[1]!'1707.TW-Name'</f>
        <v>葡萄王</v>
      </c>
      <c r="C191">
        <f>[1]!'1707.TW-SimulatePrice'</f>
        <v>192</v>
      </c>
      <c r="D191">
        <f>[1]!'1707.TW-PreClose'</f>
        <v>194</v>
      </c>
      <c r="E191" t="str">
        <f>[1]!'1707.TW-SimulateTime'</f>
        <v>13:29:59</v>
      </c>
    </row>
    <row r="192" spans="1:5" x14ac:dyDescent="0.25">
      <c r="A192" t="str">
        <f>[1]!'1720.TW-ID'</f>
        <v>1720</v>
      </c>
      <c r="B192" t="str">
        <f>[1]!'1720.TW-Name'</f>
        <v>生達</v>
      </c>
      <c r="C192">
        <f>[1]!'1720.TW-SimulatePrice'</f>
        <v>38.75</v>
      </c>
      <c r="D192">
        <f>[1]!'1720.TW-PreClose'</f>
        <v>39.700000000000003</v>
      </c>
      <c r="E192" t="str">
        <f>[1]!'1720.TW-SimulateTime'</f>
        <v>13:29:57</v>
      </c>
    </row>
    <row r="193" spans="1:5" x14ac:dyDescent="0.25">
      <c r="A193" t="str">
        <f>[1]!'1731.TW-ID'</f>
        <v>1731</v>
      </c>
      <c r="B193" t="str">
        <f>[1]!'1731.TW-Name'</f>
        <v>美吾華</v>
      </c>
      <c r="C193">
        <f>[1]!'1731.TW-SimulatePrice'</f>
        <v>13.65</v>
      </c>
      <c r="D193">
        <f>[1]!'1731.TW-PreClose'</f>
        <v>13.65</v>
      </c>
      <c r="E193" t="str">
        <f>[1]!'1731.TW-SimulateTime'</f>
        <v>13:29:56</v>
      </c>
    </row>
    <row r="194" spans="1:5" x14ac:dyDescent="0.25">
      <c r="A194" t="str">
        <f>[1]!'1733.TW-ID'</f>
        <v>1733</v>
      </c>
      <c r="B194" t="str">
        <f>[1]!'1733.TW-Name'</f>
        <v>五鼎</v>
      </c>
      <c r="C194">
        <f>[1]!'1733.TW-SimulatePrice'</f>
        <v>25.05</v>
      </c>
      <c r="D194">
        <f>[1]!'1733.TW-PreClose'</f>
        <v>22.8</v>
      </c>
      <c r="E194" t="str">
        <f>[1]!'1733.TW-SimulateTime'</f>
        <v>13:29:50</v>
      </c>
    </row>
    <row r="195" spans="1:5" x14ac:dyDescent="0.25">
      <c r="A195" t="str">
        <f>[1]!'1734.TW-ID'</f>
        <v>1734</v>
      </c>
      <c r="B195" t="str">
        <f>[1]!'1734.TW-Name'</f>
        <v>杏輝</v>
      </c>
      <c r="C195">
        <f>[1]!'1734.TW-SimulatePrice'</f>
        <v>20.3</v>
      </c>
      <c r="D195">
        <f>[1]!'1734.TW-PreClose'</f>
        <v>20.350000000000001</v>
      </c>
      <c r="E195" t="str">
        <f>[1]!'1734.TW-SimulateTime'</f>
        <v>13:29:57</v>
      </c>
    </row>
    <row r="196" spans="1:5" x14ac:dyDescent="0.25">
      <c r="A196" t="str">
        <f>[1]!'1736.TW-ID'</f>
        <v>1736</v>
      </c>
      <c r="B196" t="str">
        <f>[1]!'1736.TW-Name'</f>
        <v>喬山</v>
      </c>
      <c r="C196">
        <f>[1]!'1736.TW-SimulatePrice'</f>
        <v>58.5</v>
      </c>
      <c r="D196">
        <f>[1]!'1736.TW-PreClose'</f>
        <v>59.1</v>
      </c>
      <c r="E196" t="str">
        <f>[1]!'1736.TW-SimulateTime'</f>
        <v>13:29:47</v>
      </c>
    </row>
    <row r="197" spans="1:5" x14ac:dyDescent="0.25">
      <c r="A197" t="str">
        <f>[1]!'1760.TW-ID'</f>
        <v>1760</v>
      </c>
      <c r="B197" t="str">
        <f>[1]!'1760.TW-Name'</f>
        <v>寶齡富錦</v>
      </c>
      <c r="C197">
        <f>[1]!'1760.TW-SimulatePrice'</f>
        <v>146</v>
      </c>
      <c r="D197">
        <f>[1]!'1760.TW-PreClose'</f>
        <v>142</v>
      </c>
      <c r="E197" t="str">
        <f>[1]!'1760.TW-SimulateTime'</f>
        <v>13:29:57</v>
      </c>
    </row>
    <row r="198" spans="1:5" x14ac:dyDescent="0.25">
      <c r="A198" t="str">
        <f>[1]!'1762.TW-ID'</f>
        <v>1762</v>
      </c>
      <c r="B198" t="str">
        <f>[1]!'1762.TW-Name'</f>
        <v>中化生</v>
      </c>
      <c r="C198">
        <f>[1]!'1762.TW-SimulatePrice'</f>
        <v>64</v>
      </c>
      <c r="D198">
        <f>[1]!'1762.TW-PreClose'</f>
        <v>66.3</v>
      </c>
      <c r="E198" t="str">
        <f>[1]!'1762.TW-SimulateTime'</f>
        <v>13:29:57</v>
      </c>
    </row>
    <row r="199" spans="1:5" x14ac:dyDescent="0.25">
      <c r="A199" t="str">
        <f>[1]!'1783.TW-ID'</f>
        <v>1783</v>
      </c>
      <c r="B199" t="str">
        <f>[1]!'1783.TW-Name'</f>
        <v>和康生</v>
      </c>
      <c r="C199">
        <f>[1]!'1783.TW-SimulatePrice'</f>
        <v>25</v>
      </c>
      <c r="D199">
        <f>[1]!'1783.TW-PreClose'</f>
        <v>25.3</v>
      </c>
      <c r="E199" t="str">
        <f>[1]!'1783.TW-SimulateTime'</f>
        <v>13:28:55</v>
      </c>
    </row>
    <row r="200" spans="1:5" x14ac:dyDescent="0.25">
      <c r="A200" t="str">
        <f>[1]!'1786.TW-ID'</f>
        <v>1786</v>
      </c>
      <c r="B200" t="str">
        <f>[1]!'1786.TW-Name'</f>
        <v>科妍</v>
      </c>
      <c r="C200">
        <f>[1]!'1786.TW-SimulatePrice'</f>
        <v>61.7</v>
      </c>
      <c r="D200">
        <f>[1]!'1786.TW-PreClose'</f>
        <v>62</v>
      </c>
      <c r="E200" t="str">
        <f>[1]!'1786.TW-SimulateTime'</f>
        <v>13:29:50</v>
      </c>
    </row>
    <row r="201" spans="1:5" x14ac:dyDescent="0.25">
      <c r="A201" t="str">
        <f>[1]!'1789.TW-ID'</f>
        <v>1789</v>
      </c>
      <c r="B201" t="str">
        <f>[1]!'1789.TW-Name'</f>
        <v>神隆</v>
      </c>
      <c r="C201">
        <f>[1]!'1789.TW-SimulatePrice'</f>
        <v>30.9</v>
      </c>
      <c r="D201">
        <f>[1]!'1789.TW-PreClose'</f>
        <v>31.5</v>
      </c>
      <c r="E201" t="str">
        <f>[1]!'1789.TW-SimulateTime'</f>
        <v>13:29:53</v>
      </c>
    </row>
    <row r="202" spans="1:5" x14ac:dyDescent="0.25">
      <c r="A202" t="str">
        <f>[1]!'1795.TW-ID'</f>
        <v>1795</v>
      </c>
      <c r="B202" t="str">
        <f>[1]!'1795.TW-Name'</f>
        <v>美時</v>
      </c>
      <c r="C202">
        <f>[1]!'1795.TW-SimulatePrice'</f>
        <v>75</v>
      </c>
      <c r="D202">
        <f>[1]!'1795.TW-PreClose'</f>
        <v>75.099999999999994</v>
      </c>
      <c r="E202" t="str">
        <f>[1]!'1795.TW-SimulateTime'</f>
        <v>13:29:55</v>
      </c>
    </row>
    <row r="203" spans="1:5" x14ac:dyDescent="0.25">
      <c r="A203" t="str">
        <f>[1]!'3164.TW-ID'</f>
        <v>3164</v>
      </c>
      <c r="B203" t="str">
        <f>[1]!'3164.TW-Name'</f>
        <v>景岳</v>
      </c>
      <c r="C203" t="str">
        <f>[1]!'3164.TW-SimulatePrice'</f>
        <v>--</v>
      </c>
      <c r="D203">
        <f>[1]!'3164.TW-PreClose'</f>
        <v>23.8</v>
      </c>
      <c r="E203" t="str">
        <f>[1]!'3164.TW-SimulateTime'</f>
        <v>--</v>
      </c>
    </row>
    <row r="204" spans="1:5" x14ac:dyDescent="0.25">
      <c r="A204" t="str">
        <f>[1]!'3705.TW-ID'</f>
        <v>3705</v>
      </c>
      <c r="B204" t="str">
        <f>[1]!'3705.TW-Name'</f>
        <v>永信</v>
      </c>
      <c r="C204">
        <f>[1]!'3705.TW-SimulatePrice'</f>
        <v>47.5</v>
      </c>
      <c r="D204">
        <f>[1]!'3705.TW-PreClose'</f>
        <v>47.5</v>
      </c>
      <c r="E204" t="str">
        <f>[1]!'3705.TW-SimulateTime'</f>
        <v>13:29:44</v>
      </c>
    </row>
    <row r="205" spans="1:5" x14ac:dyDescent="0.25">
      <c r="A205" t="str">
        <f>[1]!'4104.TW-ID'</f>
        <v>4104</v>
      </c>
      <c r="B205" t="str">
        <f>[1]!'4104.TW-Name'</f>
        <v>佳醫</v>
      </c>
      <c r="C205">
        <f>[1]!'4104.TW-SimulatePrice'</f>
        <v>54.9</v>
      </c>
      <c r="D205">
        <f>[1]!'4104.TW-PreClose'</f>
        <v>54.9</v>
      </c>
      <c r="E205" t="str">
        <f>[1]!'4104.TW-SimulateTime'</f>
        <v>13:29:56</v>
      </c>
    </row>
    <row r="206" spans="1:5" x14ac:dyDescent="0.25">
      <c r="A206" t="str">
        <f>[1]!'4106.TW-ID'</f>
        <v>4106</v>
      </c>
      <c r="B206" t="str">
        <f>[1]!'4106.TW-Name'</f>
        <v>雃博</v>
      </c>
      <c r="C206">
        <f>[1]!'4106.TW-SimulatePrice'</f>
        <v>31.95</v>
      </c>
      <c r="D206">
        <f>[1]!'4106.TW-PreClose'</f>
        <v>29.05</v>
      </c>
      <c r="E206" t="str">
        <f>[1]!'4106.TW-SimulateTime'</f>
        <v>13:29:56</v>
      </c>
    </row>
    <row r="207" spans="1:5" x14ac:dyDescent="0.25">
      <c r="A207" t="str">
        <f>[1]!'4108.TW-ID'</f>
        <v>4108</v>
      </c>
      <c r="B207" t="str">
        <f>[1]!'4108.TW-Name'</f>
        <v>懷特</v>
      </c>
      <c r="C207">
        <f>[1]!'4108.TW-SimulatePrice'</f>
        <v>18.850000000000001</v>
      </c>
      <c r="D207">
        <f>[1]!'4108.TW-PreClose'</f>
        <v>18.850000000000001</v>
      </c>
      <c r="E207" t="str">
        <f>[1]!'4108.TW-SimulateTime'</f>
        <v>13:29:59</v>
      </c>
    </row>
    <row r="208" spans="1:5" x14ac:dyDescent="0.25">
      <c r="A208" t="str">
        <f>[1]!'4119.TW-ID'</f>
        <v>4119</v>
      </c>
      <c r="B208" t="str">
        <f>[1]!'4119.TW-Name'</f>
        <v>旭富</v>
      </c>
      <c r="C208">
        <f>[1]!'4119.TW-SimulatePrice'</f>
        <v>139</v>
      </c>
      <c r="D208">
        <f>[1]!'4119.TW-PreClose'</f>
        <v>135</v>
      </c>
      <c r="E208" t="str">
        <f>[1]!'4119.TW-SimulateTime'</f>
        <v>13:29:55</v>
      </c>
    </row>
    <row r="209" spans="1:5" x14ac:dyDescent="0.25">
      <c r="A209" t="str">
        <f>[1]!'4133.TW-ID'</f>
        <v>4133</v>
      </c>
      <c r="B209" t="str">
        <f>[1]!'4133.TW-Name'</f>
        <v>亞諾法</v>
      </c>
      <c r="C209">
        <f>[1]!'4133.TW-SimulatePrice'</f>
        <v>53.6</v>
      </c>
      <c r="D209">
        <f>[1]!'4133.TW-PreClose'</f>
        <v>56.5</v>
      </c>
      <c r="E209" t="str">
        <f>[1]!'4133.TW-SimulateTime'</f>
        <v>13:29:57</v>
      </c>
    </row>
    <row r="210" spans="1:5" x14ac:dyDescent="0.25">
      <c r="A210" t="str">
        <f>[1]!'4137.TW-ID'</f>
        <v>4137</v>
      </c>
      <c r="B210" t="str">
        <f>[1]!'4137.TW-Name'</f>
        <v>麗豐-KY</v>
      </c>
      <c r="C210">
        <f>[1]!'4137.TW-SimulatePrice'</f>
        <v>186</v>
      </c>
      <c r="D210">
        <f>[1]!'4137.TW-PreClose'</f>
        <v>188</v>
      </c>
      <c r="E210" t="str">
        <f>[1]!'4137.TW-SimulateTime'</f>
        <v>13:29:51</v>
      </c>
    </row>
    <row r="211" spans="1:5" x14ac:dyDescent="0.25">
      <c r="A211" t="str">
        <f>[1]!'4141.TW-ID'</f>
        <v>4141</v>
      </c>
      <c r="B211" t="str">
        <f>[1]!'4141.TW-Name'</f>
        <v>龍燈-KY</v>
      </c>
      <c r="C211">
        <f>[1]!'4141.TW-SimulatePrice'</f>
        <v>14.1</v>
      </c>
      <c r="D211">
        <f>[1]!'4141.TW-PreClose'</f>
        <v>14.1</v>
      </c>
      <c r="E211" t="str">
        <f>[1]!'4141.TW-SimulateTime'</f>
        <v>13:28:40</v>
      </c>
    </row>
    <row r="212" spans="1:5" x14ac:dyDescent="0.25">
      <c r="A212" t="str">
        <f>[1]!'4142.TW-ID'</f>
        <v>4142</v>
      </c>
      <c r="B212" t="str">
        <f>[1]!'4142.TW-Name'</f>
        <v>國光生</v>
      </c>
      <c r="C212">
        <f>[1]!'4142.TW-SimulatePrice'</f>
        <v>43.3</v>
      </c>
      <c r="D212">
        <f>[1]!'4142.TW-PreClose'</f>
        <v>42.05</v>
      </c>
      <c r="E212" t="str">
        <f>[1]!'4142.TW-SimulateTime'</f>
        <v>13:29:56</v>
      </c>
    </row>
    <row r="213" spans="1:5" x14ac:dyDescent="0.25">
      <c r="A213" t="str">
        <f>[1]!'4144.TW-ID'</f>
        <v>4144</v>
      </c>
      <c r="B213" t="str">
        <f>[1]!'4144.TW-Name'</f>
        <v>康聯-KY</v>
      </c>
      <c r="C213">
        <f>[1]!'4144.TW-SimulatePrice'</f>
        <v>20.95</v>
      </c>
      <c r="D213">
        <f>[1]!'4144.TW-PreClose'</f>
        <v>21.5</v>
      </c>
      <c r="E213" t="str">
        <f>[1]!'4144.TW-SimulateTime'</f>
        <v>13:29:56</v>
      </c>
    </row>
    <row r="214" spans="1:5" x14ac:dyDescent="0.25">
      <c r="A214" t="str">
        <f>[1]!'4148.TW-ID'</f>
        <v>4148</v>
      </c>
      <c r="B214" t="str">
        <f>[1]!'4148.TW-Name'</f>
        <v>全宇生技-KY</v>
      </c>
      <c r="C214" t="str">
        <f>[1]!'4148.TW-SimulatePrice'</f>
        <v>--</v>
      </c>
      <c r="D214">
        <f>[1]!'4148.TW-PreClose'</f>
        <v>36.5</v>
      </c>
      <c r="E214" t="str">
        <f>[1]!'4148.TW-SimulateTime'</f>
        <v>--</v>
      </c>
    </row>
    <row r="215" spans="1:5" x14ac:dyDescent="0.25">
      <c r="A215" t="str">
        <f>[1]!'4155.TW-ID'</f>
        <v>4155</v>
      </c>
      <c r="B215" t="str">
        <f>[1]!'4155.TW-Name'</f>
        <v>訊映</v>
      </c>
      <c r="C215">
        <f>[1]!'4155.TW-SimulatePrice'</f>
        <v>29.6</v>
      </c>
      <c r="D215">
        <f>[1]!'4155.TW-PreClose'</f>
        <v>29.7</v>
      </c>
      <c r="E215" t="str">
        <f>[1]!'4155.TW-SimulateTime'</f>
        <v>13:29:58</v>
      </c>
    </row>
    <row r="216" spans="1:5" x14ac:dyDescent="0.25">
      <c r="A216" t="str">
        <f>[1]!'4164.TW-ID'</f>
        <v>4164</v>
      </c>
      <c r="B216" t="str">
        <f>[1]!'4164.TW-Name'</f>
        <v>承業醫</v>
      </c>
      <c r="C216">
        <f>[1]!'4164.TW-SimulatePrice'</f>
        <v>37.799999999999997</v>
      </c>
      <c r="D216">
        <f>[1]!'4164.TW-PreClose'</f>
        <v>37.85</v>
      </c>
      <c r="E216" t="str">
        <f>[1]!'4164.TW-SimulateTime'</f>
        <v>13:28:56</v>
      </c>
    </row>
    <row r="217" spans="1:5" x14ac:dyDescent="0.25">
      <c r="A217" t="str">
        <f>[1]!'4190.TW-ID'</f>
        <v>4190</v>
      </c>
      <c r="B217" t="str">
        <f>[1]!'4190.TW-Name'</f>
        <v>佐登-KY</v>
      </c>
      <c r="C217">
        <f>[1]!'4190.TW-SimulatePrice'</f>
        <v>81.099999999999994</v>
      </c>
      <c r="D217">
        <f>[1]!'4190.TW-PreClose'</f>
        <v>82.5</v>
      </c>
      <c r="E217" t="str">
        <f>[1]!'4190.TW-SimulateTime'</f>
        <v>13:29:59</v>
      </c>
    </row>
    <row r="218" spans="1:5" x14ac:dyDescent="0.25">
      <c r="A218" t="str">
        <f>[1]!'4737.TW-ID'</f>
        <v>4737</v>
      </c>
      <c r="B218" t="str">
        <f>[1]!'4737.TW-Name'</f>
        <v>華廣</v>
      </c>
      <c r="C218">
        <f>[1]!'4737.TW-SimulatePrice'</f>
        <v>65.599999999999994</v>
      </c>
      <c r="D218">
        <f>[1]!'4737.TW-PreClose'</f>
        <v>65.599999999999994</v>
      </c>
      <c r="E218" t="str">
        <f>[1]!'4737.TW-SimulateTime'</f>
        <v>13:28:08</v>
      </c>
    </row>
    <row r="219" spans="1:5" x14ac:dyDescent="0.25">
      <c r="A219" t="str">
        <f>[1]!'4746.TW-ID'</f>
        <v>4746</v>
      </c>
      <c r="B219" t="str">
        <f>[1]!'4746.TW-Name'</f>
        <v>台耀</v>
      </c>
      <c r="C219">
        <f>[1]!'4746.TW-SimulatePrice'</f>
        <v>51.2</v>
      </c>
      <c r="D219">
        <f>[1]!'4746.TW-PreClose'</f>
        <v>52.6</v>
      </c>
      <c r="E219" t="str">
        <f>[1]!'4746.TW-SimulateTime'</f>
        <v>13:29:58</v>
      </c>
    </row>
    <row r="220" spans="1:5" x14ac:dyDescent="0.25">
      <c r="A220" t="str">
        <f>[1]!'6452.TW-ID'</f>
        <v>6452</v>
      </c>
      <c r="B220" t="str">
        <f>[1]!'6452.TW-Name'</f>
        <v>康友-KY</v>
      </c>
      <c r="C220">
        <f>[1]!'6452.TW-SimulatePrice'</f>
        <v>147.5</v>
      </c>
      <c r="D220">
        <f>[1]!'6452.TW-PreClose'</f>
        <v>152</v>
      </c>
      <c r="E220" t="str">
        <f>[1]!'6452.TW-SimulateTime'</f>
        <v>13:29:56</v>
      </c>
    </row>
    <row r="221" spans="1:5" x14ac:dyDescent="0.25">
      <c r="A221" t="str">
        <f>[1]!'6491.TW-ID'</f>
        <v>6491</v>
      </c>
      <c r="B221" t="str">
        <f>[1]!'6491.TW-Name'</f>
        <v>晶碩</v>
      </c>
      <c r="C221">
        <f>[1]!'6491.TW-SimulatePrice'</f>
        <v>120</v>
      </c>
      <c r="D221">
        <f>[1]!'6491.TW-PreClose'</f>
        <v>122.5</v>
      </c>
      <c r="E221" t="str">
        <f>[1]!'6491.TW-SimulateTime'</f>
        <v>13:29:51</v>
      </c>
    </row>
    <row r="222" spans="1:5" x14ac:dyDescent="0.25">
      <c r="A222" t="str">
        <f>[1]!'6541.TW-ID'</f>
        <v>6541</v>
      </c>
      <c r="B222" t="str">
        <f>[1]!'6541.TW-Name'</f>
        <v>泰福-KY</v>
      </c>
      <c r="C222" t="str">
        <f>[1]!'6541.TW-SimulatePrice'</f>
        <v>--</v>
      </c>
      <c r="D222">
        <f>[1]!'6541.TW-PreClose'</f>
        <v>38.299999999999997</v>
      </c>
      <c r="E222" t="str">
        <f>[1]!'6541.TW-SimulateTime'</f>
        <v>--</v>
      </c>
    </row>
    <row r="223" spans="1:5" x14ac:dyDescent="0.25">
      <c r="A223" t="str">
        <f>[1]!'6666.TW-ID'</f>
        <v>6666</v>
      </c>
      <c r="B223" t="str">
        <f>[1]!'6666.TW-Name'</f>
        <v>羅麗芬-KY</v>
      </c>
      <c r="C223">
        <f>[1]!'6666.TW-SimulatePrice'</f>
        <v>116</v>
      </c>
      <c r="D223">
        <f>[1]!'6666.TW-PreClose'</f>
        <v>119</v>
      </c>
      <c r="E223" t="str">
        <f>[1]!'6666.TW-SimulateTime'</f>
        <v>13:29:45</v>
      </c>
    </row>
    <row r="224" spans="1:5" x14ac:dyDescent="0.25">
      <c r="A224" t="str">
        <f>[1]!'1802.TW-ID'</f>
        <v>1802</v>
      </c>
      <c r="B224" t="str">
        <f>[1]!'1802.TW-Name'</f>
        <v>台玻</v>
      </c>
      <c r="C224">
        <f>[1]!'1802.TW-SimulatePrice'</f>
        <v>8.56</v>
      </c>
      <c r="D224">
        <f>[1]!'1802.TW-PreClose'</f>
        <v>8.7100000000000009</v>
      </c>
      <c r="E224" t="str">
        <f>[1]!'1802.TW-SimulateTime'</f>
        <v>13:29:42</v>
      </c>
    </row>
    <row r="225" spans="1:5" x14ac:dyDescent="0.25">
      <c r="A225" t="str">
        <f>[1]!'1806.TW-ID'</f>
        <v>1806</v>
      </c>
      <c r="B225" t="str">
        <f>[1]!'1806.TW-Name'</f>
        <v>冠軍</v>
      </c>
      <c r="C225">
        <f>[1]!'1806.TW-SimulatePrice'</f>
        <v>4.79</v>
      </c>
      <c r="D225">
        <f>[1]!'1806.TW-PreClose'</f>
        <v>4.8600000000000003</v>
      </c>
      <c r="E225" t="str">
        <f>[1]!'1806.TW-SimulateTime'</f>
        <v>13:29:13</v>
      </c>
    </row>
    <row r="226" spans="1:5" x14ac:dyDescent="0.25">
      <c r="A226" t="str">
        <f>[1]!'1809.TW-ID'</f>
        <v>1809</v>
      </c>
      <c r="B226" t="str">
        <f>[1]!'1809.TW-Name'</f>
        <v>中釉</v>
      </c>
      <c r="C226">
        <f>[1]!'1809.TW-SimulatePrice'</f>
        <v>8.75</v>
      </c>
      <c r="D226">
        <f>[1]!'1809.TW-PreClose'</f>
        <v>8.86</v>
      </c>
      <c r="E226" t="str">
        <f>[1]!'1809.TW-SimulateTime'</f>
        <v>13:28:36</v>
      </c>
    </row>
    <row r="227" spans="1:5" x14ac:dyDescent="0.25">
      <c r="A227" t="str">
        <f>[1]!'1810.TW-ID'</f>
        <v>1810</v>
      </c>
      <c r="B227" t="str">
        <f>[1]!'1810.TW-Name'</f>
        <v>和成</v>
      </c>
      <c r="C227">
        <f>[1]!'1810.TW-SimulatePrice'</f>
        <v>7.27</v>
      </c>
      <c r="D227">
        <f>[1]!'1810.TW-PreClose'</f>
        <v>7.3</v>
      </c>
      <c r="E227" t="str">
        <f>[1]!'1810.TW-SimulateTime'</f>
        <v>13:29:31</v>
      </c>
    </row>
    <row r="228" spans="1:5" x14ac:dyDescent="0.25">
      <c r="A228" t="str">
        <f>[1]!'1817.TW-ID'</f>
        <v>1817</v>
      </c>
      <c r="B228" t="str">
        <f>[1]!'1817.TW-Name'</f>
        <v>凱撒衛</v>
      </c>
      <c r="C228">
        <f>[1]!'1817.TW-SimulatePrice'</f>
        <v>29.4</v>
      </c>
      <c r="D228">
        <f>[1]!'1817.TW-PreClose'</f>
        <v>29.35</v>
      </c>
      <c r="E228" t="str">
        <f>[1]!'1817.TW-SimulateTime'</f>
        <v>13:29:57</v>
      </c>
    </row>
    <row r="229" spans="1:5" x14ac:dyDescent="0.25">
      <c r="A229" t="str">
        <f>[1]!'1902.TW-ID'</f>
        <v>1902</v>
      </c>
      <c r="B229" t="str">
        <f>[1]!'1902.TW-Name'</f>
        <v>台紙</v>
      </c>
      <c r="C229">
        <f>[1]!'1902.TW-SimulatePrice'</f>
        <v>20.65</v>
      </c>
      <c r="D229">
        <f>[1]!'1902.TW-PreClose'</f>
        <v>20.7</v>
      </c>
      <c r="E229" t="str">
        <f>[1]!'1902.TW-SimulateTime'</f>
        <v>13:29:57</v>
      </c>
    </row>
    <row r="230" spans="1:5" x14ac:dyDescent="0.25">
      <c r="A230" t="str">
        <f>[1]!'1903.TW-ID'</f>
        <v>1903</v>
      </c>
      <c r="B230" t="str">
        <f>[1]!'1903.TW-Name'</f>
        <v>士紙</v>
      </c>
      <c r="C230">
        <f>[1]!'1903.TW-SimulatePrice'</f>
        <v>40.9</v>
      </c>
      <c r="D230">
        <f>[1]!'1903.TW-PreClose'</f>
        <v>41.2</v>
      </c>
      <c r="E230" t="str">
        <f>[1]!'1903.TW-SimulateTime'</f>
        <v>13:29:24</v>
      </c>
    </row>
    <row r="231" spans="1:5" x14ac:dyDescent="0.25">
      <c r="A231" t="str">
        <f>[1]!'1904.TW-ID'</f>
        <v>1904</v>
      </c>
      <c r="B231" t="str">
        <f>[1]!'1904.TW-Name'</f>
        <v>正隆</v>
      </c>
      <c r="C231">
        <f>[1]!'1904.TW-SimulatePrice'</f>
        <v>22.2</v>
      </c>
      <c r="D231">
        <f>[1]!'1904.TW-PreClose'</f>
        <v>21.5</v>
      </c>
      <c r="E231" t="str">
        <f>[1]!'1904.TW-SimulateTime'</f>
        <v>13:29:55</v>
      </c>
    </row>
    <row r="232" spans="1:5" x14ac:dyDescent="0.25">
      <c r="A232" t="str">
        <f>[1]!'1905.TW-ID'</f>
        <v>1905</v>
      </c>
      <c r="B232" t="str">
        <f>[1]!'1905.TW-Name'</f>
        <v>華紙</v>
      </c>
      <c r="C232">
        <f>[1]!'1905.TW-SimulatePrice'</f>
        <v>7.41</v>
      </c>
      <c r="D232">
        <f>[1]!'1905.TW-PreClose'</f>
        <v>7.24</v>
      </c>
      <c r="E232" t="str">
        <f>[1]!'1905.TW-SimulateTime'</f>
        <v>13:29:51</v>
      </c>
    </row>
    <row r="233" spans="1:5" x14ac:dyDescent="0.25">
      <c r="A233" t="str">
        <f>[1]!'1906.TW-ID'</f>
        <v>1906</v>
      </c>
      <c r="B233" t="str">
        <f>[1]!'1906.TW-Name'</f>
        <v>寶隆</v>
      </c>
      <c r="C233">
        <f>[1]!'1906.TW-SimulatePrice'</f>
        <v>11.7</v>
      </c>
      <c r="D233">
        <f>[1]!'1906.TW-PreClose'</f>
        <v>12</v>
      </c>
      <c r="E233" t="str">
        <f>[1]!'1906.TW-SimulateTime'</f>
        <v>13:28:58</v>
      </c>
    </row>
    <row r="234" spans="1:5" x14ac:dyDescent="0.25">
      <c r="A234" t="str">
        <f>[1]!'1907.TW-ID'</f>
        <v>1907</v>
      </c>
      <c r="B234" t="str">
        <f>[1]!'1907.TW-Name'</f>
        <v>永豐餘</v>
      </c>
      <c r="C234">
        <f>[1]!'1907.TW-SimulatePrice'</f>
        <v>13</v>
      </c>
      <c r="D234">
        <f>[1]!'1907.TW-PreClose'</f>
        <v>12.75</v>
      </c>
      <c r="E234" t="str">
        <f>[1]!'1907.TW-SimulateTime'</f>
        <v>13:29:57</v>
      </c>
    </row>
    <row r="235" spans="1:5" x14ac:dyDescent="0.25">
      <c r="A235" t="str">
        <f>[1]!'1909.TW-ID'</f>
        <v>1909</v>
      </c>
      <c r="B235" t="str">
        <f>[1]!'1909.TW-Name'</f>
        <v>榮成</v>
      </c>
      <c r="C235">
        <f>[1]!'1909.TW-SimulatePrice'</f>
        <v>12</v>
      </c>
      <c r="D235">
        <f>[1]!'1909.TW-PreClose'</f>
        <v>12.05</v>
      </c>
      <c r="E235" t="str">
        <f>[1]!'1909.TW-SimulateTime'</f>
        <v>13:29:59</v>
      </c>
    </row>
    <row r="236" spans="1:5" x14ac:dyDescent="0.25">
      <c r="A236" t="str">
        <f>[1]!'2002.TW-ID'</f>
        <v>2002</v>
      </c>
      <c r="B236" t="str">
        <f>[1]!'2002.TW-Name'</f>
        <v>中鋼</v>
      </c>
      <c r="C236">
        <f>[1]!'2002.TW-SimulatePrice'</f>
        <v>19.55</v>
      </c>
      <c r="D236">
        <f>[1]!'2002.TW-PreClose'</f>
        <v>19.55</v>
      </c>
      <c r="E236" t="str">
        <f>[1]!'2002.TW-SimulateTime'</f>
        <v>13:29:56</v>
      </c>
    </row>
    <row r="237" spans="1:5" x14ac:dyDescent="0.25">
      <c r="A237" t="str">
        <f>[1]!'2006.TW-ID'</f>
        <v>2006</v>
      </c>
      <c r="B237" t="str">
        <f>[1]!'2006.TW-Name'</f>
        <v>東和鋼鐵</v>
      </c>
      <c r="C237">
        <f>[1]!'2006.TW-SimulatePrice'</f>
        <v>23.1</v>
      </c>
      <c r="D237">
        <f>[1]!'2006.TW-PreClose'</f>
        <v>23.05</v>
      </c>
      <c r="E237" t="str">
        <f>[1]!'2006.TW-SimulateTime'</f>
        <v>13:29:56</v>
      </c>
    </row>
    <row r="238" spans="1:5" x14ac:dyDescent="0.25">
      <c r="A238" t="str">
        <f>[1]!'2007.TW-ID'</f>
        <v>2007</v>
      </c>
      <c r="B238" t="str">
        <f>[1]!'2007.TW-Name'</f>
        <v>燁興</v>
      </c>
      <c r="C238">
        <f>[1]!'2007.TW-SimulatePrice'</f>
        <v>3.7</v>
      </c>
      <c r="D238">
        <f>[1]!'2007.TW-PreClose'</f>
        <v>3.75</v>
      </c>
      <c r="E238" t="str">
        <f>[1]!'2007.TW-SimulateTime'</f>
        <v>13:29:52</v>
      </c>
    </row>
    <row r="239" spans="1:5" x14ac:dyDescent="0.25">
      <c r="A239" t="str">
        <f>[1]!'2008.TW-ID'</f>
        <v>2008</v>
      </c>
      <c r="B239" t="str">
        <f>[1]!'2008.TW-Name'</f>
        <v>高興昌</v>
      </c>
      <c r="C239" t="str">
        <f>[1]!'2008.TW-SimulatePrice'</f>
        <v>--</v>
      </c>
      <c r="D239">
        <f>[1]!'2008.TW-PreClose'</f>
        <v>12.3</v>
      </c>
      <c r="E239" t="str">
        <f>[1]!'2008.TW-SimulateTime'</f>
        <v>--</v>
      </c>
    </row>
    <row r="240" spans="1:5" x14ac:dyDescent="0.25">
      <c r="A240" t="str">
        <f>[1]!'2009.TW-ID'</f>
        <v>2009</v>
      </c>
      <c r="B240" t="str">
        <f>[1]!'2009.TW-Name'</f>
        <v>第一銅</v>
      </c>
      <c r="C240">
        <f>[1]!'2009.TW-SimulatePrice'</f>
        <v>7.23</v>
      </c>
      <c r="D240">
        <f>[1]!'2009.TW-PreClose'</f>
        <v>7.27</v>
      </c>
      <c r="E240" t="str">
        <f>[1]!'2009.TW-SimulateTime'</f>
        <v>13:28:46</v>
      </c>
    </row>
    <row r="241" spans="1:5" x14ac:dyDescent="0.25">
      <c r="A241" t="str">
        <f>[1]!'2010.TW-ID'</f>
        <v>2010</v>
      </c>
      <c r="B241" t="str">
        <f>[1]!'2010.TW-Name'</f>
        <v>春源</v>
      </c>
      <c r="C241">
        <f>[1]!'2010.TW-SimulatePrice'</f>
        <v>9.2799999999999994</v>
      </c>
      <c r="D241">
        <f>[1]!'2010.TW-PreClose'</f>
        <v>9.2899999999999991</v>
      </c>
      <c r="E241" t="str">
        <f>[1]!'2010.TW-SimulateTime'</f>
        <v>13:27:24</v>
      </c>
    </row>
    <row r="242" spans="1:5" x14ac:dyDescent="0.25">
      <c r="A242" t="str">
        <f>[1]!'2012.TW-ID'</f>
        <v>2012</v>
      </c>
      <c r="B242" t="str">
        <f>[1]!'2012.TW-Name'</f>
        <v>春雨</v>
      </c>
      <c r="C242">
        <f>[1]!'2012.TW-SimulatePrice'</f>
        <v>17.399999999999999</v>
      </c>
      <c r="D242">
        <f>[1]!'2012.TW-PreClose'</f>
        <v>17.45</v>
      </c>
      <c r="E242" t="str">
        <f>[1]!'2012.TW-SimulateTime'</f>
        <v>13:29:12</v>
      </c>
    </row>
    <row r="243" spans="1:5" x14ac:dyDescent="0.25">
      <c r="A243" t="str">
        <f>[1]!'2013.TW-ID'</f>
        <v>2013</v>
      </c>
      <c r="B243" t="str">
        <f>[1]!'2013.TW-Name'</f>
        <v>中鋼構</v>
      </c>
      <c r="C243">
        <f>[1]!'2013.TW-SimulatePrice'</f>
        <v>24.2</v>
      </c>
      <c r="D243">
        <f>[1]!'2013.TW-PreClose'</f>
        <v>23.75</v>
      </c>
      <c r="E243" t="str">
        <f>[1]!'2013.TW-SimulateTime'</f>
        <v>13:29:52</v>
      </c>
    </row>
    <row r="244" spans="1:5" x14ac:dyDescent="0.25">
      <c r="A244" t="str">
        <f>[1]!'2014.TW-ID'</f>
        <v>2014</v>
      </c>
      <c r="B244" t="str">
        <f>[1]!'2014.TW-Name'</f>
        <v>中鴻</v>
      </c>
      <c r="C244">
        <f>[1]!'2014.TW-SimulatePrice'</f>
        <v>7.15</v>
      </c>
      <c r="D244">
        <f>[1]!'2014.TW-PreClose'</f>
        <v>7.21</v>
      </c>
      <c r="E244" t="str">
        <f>[1]!'2014.TW-SimulateTime'</f>
        <v>13:29:43</v>
      </c>
    </row>
    <row r="245" spans="1:5" x14ac:dyDescent="0.25">
      <c r="A245" t="str">
        <f>[1]!'2015.TW-ID'</f>
        <v>2015</v>
      </c>
      <c r="B245" t="str">
        <f>[1]!'2015.TW-Name'</f>
        <v>豐興</v>
      </c>
      <c r="C245">
        <f>[1]!'2015.TW-SimulatePrice'</f>
        <v>51.9</v>
      </c>
      <c r="D245">
        <f>[1]!'2015.TW-PreClose'</f>
        <v>51.7</v>
      </c>
      <c r="E245" t="str">
        <f>[1]!'2015.TW-SimulateTime'</f>
        <v>13:28:21</v>
      </c>
    </row>
    <row r="246" spans="1:5" x14ac:dyDescent="0.25">
      <c r="A246" t="str">
        <f>[1]!'2017.TW-ID'</f>
        <v>2017</v>
      </c>
      <c r="B246" t="str">
        <f>[1]!'2017.TW-Name'</f>
        <v>官田鋼</v>
      </c>
      <c r="C246">
        <f>[1]!'2017.TW-SimulatePrice'</f>
        <v>6.72</v>
      </c>
      <c r="D246">
        <f>[1]!'2017.TW-PreClose'</f>
        <v>6.69</v>
      </c>
      <c r="E246" t="str">
        <f>[1]!'2017.TW-SimulateTime'</f>
        <v>13:29:13</v>
      </c>
    </row>
    <row r="247" spans="1:5" x14ac:dyDescent="0.25">
      <c r="A247" t="str">
        <f>[1]!'2020.TW-ID'</f>
        <v>2020</v>
      </c>
      <c r="B247" t="str">
        <f>[1]!'2020.TW-Name'</f>
        <v>美亞</v>
      </c>
      <c r="C247">
        <f>[1]!'2020.TW-SimulatePrice'</f>
        <v>17.7</v>
      </c>
      <c r="D247">
        <f>[1]!'2020.TW-PreClose'</f>
        <v>17.7</v>
      </c>
      <c r="E247" t="str">
        <f>[1]!'2020.TW-SimulateTime'</f>
        <v>13:28:49</v>
      </c>
    </row>
    <row r="248" spans="1:5" x14ac:dyDescent="0.25">
      <c r="A248" t="str">
        <f>[1]!'2022.TW-ID'</f>
        <v>2022</v>
      </c>
      <c r="B248" t="str">
        <f>[1]!'2022.TW-Name'</f>
        <v>聚亨</v>
      </c>
      <c r="C248">
        <f>[1]!'2022.TW-SimulatePrice'</f>
        <v>4</v>
      </c>
      <c r="D248">
        <f>[1]!'2022.TW-PreClose'</f>
        <v>4</v>
      </c>
      <c r="E248" t="str">
        <f>[1]!'2022.TW-SimulateTime'</f>
        <v>13:29:47</v>
      </c>
    </row>
    <row r="249" spans="1:5" x14ac:dyDescent="0.25">
      <c r="A249" t="str">
        <f>[1]!'2023.TW-ID'</f>
        <v>2023</v>
      </c>
      <c r="B249" t="str">
        <f>[1]!'2023.TW-Name'</f>
        <v>燁輝</v>
      </c>
      <c r="C249">
        <f>[1]!'2023.TW-SimulatePrice'</f>
        <v>8.33</v>
      </c>
      <c r="D249">
        <f>[1]!'2023.TW-PreClose'</f>
        <v>8.33</v>
      </c>
      <c r="E249" t="str">
        <f>[1]!'2023.TW-SimulateTime'</f>
        <v>13:29:54</v>
      </c>
    </row>
    <row r="250" spans="1:5" x14ac:dyDescent="0.25">
      <c r="A250" t="str">
        <f>[1]!'2024.TW-ID'</f>
        <v>2024</v>
      </c>
      <c r="B250" t="str">
        <f>[1]!'2024.TW-Name'</f>
        <v>志聯</v>
      </c>
      <c r="C250">
        <f>[1]!'2024.TW-SimulatePrice'</f>
        <v>12.15</v>
      </c>
      <c r="D250">
        <f>[1]!'2024.TW-PreClose'</f>
        <v>12</v>
      </c>
      <c r="E250" t="str">
        <f>[1]!'2024.TW-SimulateTime'</f>
        <v>13:29:58</v>
      </c>
    </row>
    <row r="251" spans="1:5" x14ac:dyDescent="0.25">
      <c r="A251" t="str">
        <f>[1]!'2025.TW-ID'</f>
        <v>2025</v>
      </c>
      <c r="B251" t="str">
        <f>[1]!'2025.TW-Name'</f>
        <v>千興</v>
      </c>
      <c r="C251" t="str">
        <f>[1]!'2025.TW-SimulatePrice'</f>
        <v>--</v>
      </c>
      <c r="D251">
        <f>[1]!'2025.TW-PreClose'</f>
        <v>1.78</v>
      </c>
      <c r="E251" t="str">
        <f>[1]!'2025.TW-SimulateTime'</f>
        <v>--</v>
      </c>
    </row>
    <row r="252" spans="1:5" x14ac:dyDescent="0.25">
      <c r="A252" t="str">
        <f>[1]!'2027.TW-ID'</f>
        <v>2027</v>
      </c>
      <c r="B252" t="str">
        <f>[1]!'2027.TW-Name'</f>
        <v>大成鋼</v>
      </c>
      <c r="C252">
        <f>[1]!'2027.TW-SimulatePrice'</f>
        <v>25.55</v>
      </c>
      <c r="D252">
        <f>[1]!'2027.TW-PreClose'</f>
        <v>25.8</v>
      </c>
      <c r="E252" t="str">
        <f>[1]!'2027.TW-SimulateTime'</f>
        <v>13:29:59</v>
      </c>
    </row>
    <row r="253" spans="1:5" x14ac:dyDescent="0.25">
      <c r="A253" t="str">
        <f>[1]!'2028.TW-ID'</f>
        <v>2028</v>
      </c>
      <c r="B253" t="str">
        <f>[1]!'2028.TW-Name'</f>
        <v>威致</v>
      </c>
      <c r="C253" t="str">
        <f>[1]!'2028.TW-SimulatePrice'</f>
        <v>--</v>
      </c>
      <c r="D253">
        <f>[1]!'2028.TW-PreClose'</f>
        <v>9.5</v>
      </c>
      <c r="E253" t="str">
        <f>[1]!'2028.TW-SimulateTime'</f>
        <v>--</v>
      </c>
    </row>
    <row r="254" spans="1:5" x14ac:dyDescent="0.25">
      <c r="A254" t="str">
        <f>[1]!'2029.TW-ID'</f>
        <v>2029</v>
      </c>
      <c r="B254" t="str">
        <f>[1]!'2029.TW-Name'</f>
        <v>盛餘</v>
      </c>
      <c r="C254">
        <f>[1]!'2029.TW-SimulatePrice'</f>
        <v>15.8</v>
      </c>
      <c r="D254">
        <f>[1]!'2029.TW-PreClose'</f>
        <v>15.8</v>
      </c>
      <c r="E254" t="str">
        <f>[1]!'2029.TW-SimulateTime'</f>
        <v>13:29:20</v>
      </c>
    </row>
    <row r="255" spans="1:5" x14ac:dyDescent="0.25">
      <c r="A255" t="str">
        <f>[1]!'2030.TW-ID'</f>
        <v>2030</v>
      </c>
      <c r="B255" t="str">
        <f>[1]!'2030.TW-Name'</f>
        <v>彰源</v>
      </c>
      <c r="C255">
        <f>[1]!'2030.TW-SimulatePrice'</f>
        <v>10.1</v>
      </c>
      <c r="D255">
        <f>[1]!'2030.TW-PreClose'</f>
        <v>10.1</v>
      </c>
      <c r="E255" t="str">
        <f>[1]!'2030.TW-SimulateTime'</f>
        <v>13:28:35</v>
      </c>
    </row>
    <row r="256" spans="1:5" x14ac:dyDescent="0.25">
      <c r="A256" t="str">
        <f>[1]!'2031.TW-ID'</f>
        <v>2031</v>
      </c>
      <c r="B256" t="str">
        <f>[1]!'2031.TW-Name'</f>
        <v>新光鋼</v>
      </c>
      <c r="C256">
        <f>[1]!'2031.TW-SimulatePrice'</f>
        <v>23.6</v>
      </c>
      <c r="D256">
        <f>[1]!'2031.TW-PreClose'</f>
        <v>23.85</v>
      </c>
      <c r="E256" t="str">
        <f>[1]!'2031.TW-SimulateTime'</f>
        <v>13:29:56</v>
      </c>
    </row>
    <row r="257" spans="1:5" x14ac:dyDescent="0.25">
      <c r="A257" t="str">
        <f>[1]!'2032.TW-ID'</f>
        <v>2032</v>
      </c>
      <c r="B257" t="str">
        <f>[1]!'2032.TW-Name'</f>
        <v>新鋼</v>
      </c>
      <c r="C257" t="str">
        <f>[1]!'2032.TW-SimulatePrice'</f>
        <v>--</v>
      </c>
      <c r="D257">
        <f>[1]!'2032.TW-PreClose'</f>
        <v>8.23</v>
      </c>
      <c r="E257" t="str">
        <f>[1]!'2032.TW-SimulateTime'</f>
        <v>--</v>
      </c>
    </row>
    <row r="258" spans="1:5" x14ac:dyDescent="0.25">
      <c r="A258" t="str">
        <f>[1]!'2033.TW-ID'</f>
        <v>2033</v>
      </c>
      <c r="B258" t="str">
        <f>[1]!'2033.TW-Name'</f>
        <v>佳大</v>
      </c>
      <c r="C258">
        <f>[1]!'2033.TW-SimulatePrice'</f>
        <v>9.31</v>
      </c>
      <c r="D258">
        <f>[1]!'2033.TW-PreClose'</f>
        <v>9.42</v>
      </c>
      <c r="E258" t="str">
        <f>[1]!'2033.TW-SimulateTime'</f>
        <v>13:27:52</v>
      </c>
    </row>
    <row r="259" spans="1:5" x14ac:dyDescent="0.25">
      <c r="A259" t="str">
        <f>[1]!'2034.TW-ID'</f>
        <v>2034</v>
      </c>
      <c r="B259" t="str">
        <f>[1]!'2034.TW-Name'</f>
        <v>允強</v>
      </c>
      <c r="C259">
        <f>[1]!'2034.TW-SimulatePrice'</f>
        <v>23.4</v>
      </c>
      <c r="D259">
        <f>[1]!'2034.TW-PreClose'</f>
        <v>23.4</v>
      </c>
      <c r="E259" t="str">
        <f>[1]!'2034.TW-SimulateTime'</f>
        <v>13:29:30</v>
      </c>
    </row>
    <row r="260" spans="1:5" x14ac:dyDescent="0.25">
      <c r="A260" t="str">
        <f>[1]!'2038.TW-ID'</f>
        <v>2038</v>
      </c>
      <c r="B260" t="str">
        <f>[1]!'2038.TW-Name'</f>
        <v>海光</v>
      </c>
      <c r="C260">
        <f>[1]!'2038.TW-SimulatePrice'</f>
        <v>6.5</v>
      </c>
      <c r="D260">
        <f>[1]!'2038.TW-PreClose'</f>
        <v>5.91</v>
      </c>
      <c r="E260" t="str">
        <f>[1]!'2038.TW-SimulateTime'</f>
        <v>13:29:58</v>
      </c>
    </row>
    <row r="261" spans="1:5" x14ac:dyDescent="0.25">
      <c r="A261" t="str">
        <f>[1]!'2069.TW-ID'</f>
        <v>2069</v>
      </c>
      <c r="B261" t="str">
        <f>[1]!'2069.TW-Name'</f>
        <v>運錩</v>
      </c>
      <c r="C261" t="str">
        <f>[1]!'2069.TW-SimulatePrice'</f>
        <v>--</v>
      </c>
      <c r="D261">
        <f>[1]!'2069.TW-PreClose'</f>
        <v>15.95</v>
      </c>
      <c r="E261" t="str">
        <f>[1]!'2069.TW-SimulateTime'</f>
        <v>--</v>
      </c>
    </row>
    <row r="262" spans="1:5" x14ac:dyDescent="0.25">
      <c r="A262" t="str">
        <f>[1]!'3004.TW-ID'</f>
        <v>3004</v>
      </c>
      <c r="B262" t="str">
        <f>[1]!'3004.TW-Name'</f>
        <v>豐達科</v>
      </c>
      <c r="C262">
        <f>[1]!'3004.TW-SimulatePrice'</f>
        <v>52.8</v>
      </c>
      <c r="D262">
        <f>[1]!'3004.TW-PreClose'</f>
        <v>53.3</v>
      </c>
      <c r="E262" t="str">
        <f>[1]!'3004.TW-SimulateTime'</f>
        <v>13:29:57</v>
      </c>
    </row>
    <row r="263" spans="1:5" x14ac:dyDescent="0.25">
      <c r="A263" t="str">
        <f>[1]!'5007.TW-ID'</f>
        <v>5007</v>
      </c>
      <c r="B263" t="str">
        <f>[1]!'5007.TW-Name'</f>
        <v>三星</v>
      </c>
      <c r="C263">
        <f>[1]!'5007.TW-SimulatePrice'</f>
        <v>45</v>
      </c>
      <c r="D263">
        <f>[1]!'5007.TW-PreClose'</f>
        <v>45</v>
      </c>
      <c r="E263" t="str">
        <f>[1]!'5007.TW-SimulateTime'</f>
        <v>13:29:54</v>
      </c>
    </row>
    <row r="264" spans="1:5" x14ac:dyDescent="0.25">
      <c r="A264" t="str">
        <f>[1]!'5538.TW-ID'</f>
        <v>5538</v>
      </c>
      <c r="B264" t="str">
        <f>[1]!'5538.TW-Name'</f>
        <v>東明-KY</v>
      </c>
      <c r="C264" t="str">
        <f>[1]!'5538.TW-SimulatePrice'</f>
        <v>--</v>
      </c>
      <c r="D264">
        <f>[1]!'5538.TW-PreClose'</f>
        <v>30.7</v>
      </c>
      <c r="E264" t="str">
        <f>[1]!'5538.TW-SimulateTime'</f>
        <v>--</v>
      </c>
    </row>
    <row r="265" spans="1:5" x14ac:dyDescent="0.25">
      <c r="A265" t="str">
        <f>[1]!'9958.TW-ID'</f>
        <v>9958</v>
      </c>
      <c r="B265" t="str">
        <f>[1]!'9958.TW-Name'</f>
        <v>世紀鋼</v>
      </c>
      <c r="C265">
        <f>[1]!'9958.TW-SimulatePrice'</f>
        <v>83.2</v>
      </c>
      <c r="D265">
        <f>[1]!'9958.TW-PreClose'</f>
        <v>84.2</v>
      </c>
      <c r="E265" t="str">
        <f>[1]!'9958.TW-SimulateTime'</f>
        <v>13:29:57</v>
      </c>
    </row>
    <row r="266" spans="1:5" x14ac:dyDescent="0.25">
      <c r="A266" t="str">
        <f>[1]!'2101.TW-ID'</f>
        <v>2101</v>
      </c>
      <c r="B266" t="str">
        <f>[1]!'2101.TW-Name'</f>
        <v>南港</v>
      </c>
      <c r="C266">
        <f>[1]!'2101.TW-SimulatePrice'</f>
        <v>38.1</v>
      </c>
      <c r="D266">
        <f>[1]!'2101.TW-PreClose'</f>
        <v>38.200000000000003</v>
      </c>
      <c r="E266" t="str">
        <f>[1]!'2101.TW-SimulateTime'</f>
        <v>13:29:55</v>
      </c>
    </row>
    <row r="267" spans="1:5" x14ac:dyDescent="0.25">
      <c r="A267" t="str">
        <f>[1]!'2102.TW-ID'</f>
        <v>2102</v>
      </c>
      <c r="B267" t="str">
        <f>[1]!'2102.TW-Name'</f>
        <v>泰豐</v>
      </c>
      <c r="C267">
        <f>[1]!'2102.TW-SimulatePrice'</f>
        <v>15.4</v>
      </c>
      <c r="D267">
        <f>[1]!'2102.TW-PreClose'</f>
        <v>15.5</v>
      </c>
      <c r="E267" t="str">
        <f>[1]!'2102.TW-SimulateTime'</f>
        <v>13:29:56</v>
      </c>
    </row>
    <row r="268" spans="1:5" x14ac:dyDescent="0.25">
      <c r="A268" t="str">
        <f>[1]!'2103.TW-ID'</f>
        <v>2103</v>
      </c>
      <c r="B268" t="str">
        <f>[1]!'2103.TW-Name'</f>
        <v>台橡</v>
      </c>
      <c r="C268">
        <f>[1]!'2103.TW-SimulatePrice'</f>
        <v>16.100000000000001</v>
      </c>
      <c r="D268">
        <f>[1]!'2103.TW-PreClose'</f>
        <v>16.2</v>
      </c>
      <c r="E268" t="str">
        <f>[1]!'2103.TW-SimulateTime'</f>
        <v>13:29:59</v>
      </c>
    </row>
    <row r="269" spans="1:5" x14ac:dyDescent="0.25">
      <c r="A269" t="str">
        <f>[1]!'2104.TW-ID'</f>
        <v>2104</v>
      </c>
      <c r="B269" t="str">
        <f>[1]!'2104.TW-Name'</f>
        <v>國際中橡</v>
      </c>
      <c r="C269">
        <f>[1]!'2104.TW-SimulatePrice'</f>
        <v>19.899999999999999</v>
      </c>
      <c r="D269">
        <f>[1]!'2104.TW-PreClose'</f>
        <v>19.899999999999999</v>
      </c>
      <c r="E269" t="str">
        <f>[1]!'2104.TW-SimulateTime'</f>
        <v>13:29:51</v>
      </c>
    </row>
    <row r="270" spans="1:5" x14ac:dyDescent="0.25">
      <c r="A270" t="str">
        <f>[1]!'2105.TW-ID'</f>
        <v>2105</v>
      </c>
      <c r="B270" t="str">
        <f>[1]!'2105.TW-Name'</f>
        <v>正新</v>
      </c>
      <c r="C270">
        <f>[1]!'2105.TW-SimulatePrice'</f>
        <v>31.8</v>
      </c>
      <c r="D270">
        <f>[1]!'2105.TW-PreClose'</f>
        <v>32</v>
      </c>
      <c r="E270" t="str">
        <f>[1]!'2105.TW-SimulateTime'</f>
        <v>13:29:55</v>
      </c>
    </row>
    <row r="271" spans="1:5" x14ac:dyDescent="0.25">
      <c r="A271" t="str">
        <f>[1]!'2106.TW-ID'</f>
        <v>2106</v>
      </c>
      <c r="B271" t="str">
        <f>[1]!'2106.TW-Name'</f>
        <v>建大</v>
      </c>
      <c r="C271">
        <f>[1]!'2106.TW-SimulatePrice'</f>
        <v>28.9</v>
      </c>
      <c r="D271">
        <f>[1]!'2106.TW-PreClose'</f>
        <v>26.3</v>
      </c>
      <c r="E271" t="str">
        <f>[1]!'2106.TW-SimulateTime'</f>
        <v>13:29:58</v>
      </c>
    </row>
    <row r="272" spans="1:5" x14ac:dyDescent="0.25">
      <c r="A272" t="str">
        <f>[1]!'2107.TW-ID'</f>
        <v>2107</v>
      </c>
      <c r="B272" t="str">
        <f>[1]!'2107.TW-Name'</f>
        <v>厚生</v>
      </c>
      <c r="C272">
        <f>[1]!'2107.TW-SimulatePrice'</f>
        <v>17.95</v>
      </c>
      <c r="D272">
        <f>[1]!'2107.TW-PreClose'</f>
        <v>17.899999999999999</v>
      </c>
      <c r="E272" t="str">
        <f>[1]!'2107.TW-SimulateTime'</f>
        <v>13:29:39</v>
      </c>
    </row>
    <row r="273" spans="1:5" x14ac:dyDescent="0.25">
      <c r="A273" t="str">
        <f>[1]!'2108.TW-ID'</f>
        <v>2108</v>
      </c>
      <c r="B273" t="str">
        <f>[1]!'2108.TW-Name'</f>
        <v>南帝</v>
      </c>
      <c r="C273">
        <f>[1]!'2108.TW-SimulatePrice'</f>
        <v>36.5</v>
      </c>
      <c r="D273">
        <f>[1]!'2108.TW-PreClose'</f>
        <v>36.299999999999997</v>
      </c>
      <c r="E273" t="str">
        <f>[1]!'2108.TW-SimulateTime'</f>
        <v>13:29:58</v>
      </c>
    </row>
    <row r="274" spans="1:5" x14ac:dyDescent="0.25">
      <c r="A274" t="str">
        <f>[1]!'2109.TW-ID'</f>
        <v>2109</v>
      </c>
      <c r="B274" t="str">
        <f>[1]!'2109.TW-Name'</f>
        <v>華豐</v>
      </c>
      <c r="C274">
        <f>[1]!'2109.TW-SimulatePrice'</f>
        <v>12.85</v>
      </c>
      <c r="D274">
        <f>[1]!'2109.TW-PreClose'</f>
        <v>12.85</v>
      </c>
      <c r="E274" t="str">
        <f>[1]!'2109.TW-SimulateTime'</f>
        <v>13:29:41</v>
      </c>
    </row>
    <row r="275" spans="1:5" x14ac:dyDescent="0.25">
      <c r="A275" t="str">
        <f>[1]!'2114.TW-ID'</f>
        <v>2114</v>
      </c>
      <c r="B275" t="str">
        <f>[1]!'2114.TW-Name'</f>
        <v>鑫永銓</v>
      </c>
      <c r="C275" t="str">
        <f>[1]!'2114.TW-SimulatePrice'</f>
        <v>--</v>
      </c>
      <c r="D275">
        <f>[1]!'2114.TW-PreClose'</f>
        <v>80</v>
      </c>
      <c r="E275" t="str">
        <f>[1]!'2114.TW-SimulateTime'</f>
        <v>--</v>
      </c>
    </row>
    <row r="276" spans="1:5" x14ac:dyDescent="0.25">
      <c r="A276" t="str">
        <f>[1]!'6582.TW-ID'</f>
        <v>6582</v>
      </c>
      <c r="B276" t="str">
        <f>[1]!'6582.TW-Name'</f>
        <v>申豐</v>
      </c>
      <c r="C276">
        <f>[1]!'6582.TW-SimulatePrice'</f>
        <v>107.5</v>
      </c>
      <c r="D276">
        <f>[1]!'6582.TW-PreClose'</f>
        <v>108</v>
      </c>
      <c r="E276" t="str">
        <f>[1]!'6582.TW-SimulateTime'</f>
        <v>13:29:56</v>
      </c>
    </row>
    <row r="277" spans="1:5" x14ac:dyDescent="0.25">
      <c r="A277" t="str">
        <f>[1]!'1319.TW-ID'</f>
        <v>1319</v>
      </c>
      <c r="B277" t="str">
        <f>[1]!'1319.TW-Name'</f>
        <v>東陽</v>
      </c>
      <c r="C277">
        <f>[1]!'1319.TW-SimulatePrice'</f>
        <v>34.799999999999997</v>
      </c>
      <c r="D277">
        <f>[1]!'1319.TW-PreClose'</f>
        <v>35.299999999999997</v>
      </c>
      <c r="E277" t="str">
        <f>[1]!'1319.TW-SimulateTime'</f>
        <v>13:29:45</v>
      </c>
    </row>
    <row r="278" spans="1:5" x14ac:dyDescent="0.25">
      <c r="A278" t="str">
        <f>[1]!'1338.TW-ID'</f>
        <v>1338</v>
      </c>
      <c r="B278" t="str">
        <f>[1]!'1338.TW-Name'</f>
        <v>廣華-KY</v>
      </c>
      <c r="C278">
        <f>[1]!'1338.TW-SimulatePrice'</f>
        <v>49.4</v>
      </c>
      <c r="D278">
        <f>[1]!'1338.TW-PreClose'</f>
        <v>50</v>
      </c>
      <c r="E278" t="str">
        <f>[1]!'1338.TW-SimulateTime'</f>
        <v>13:29:59</v>
      </c>
    </row>
    <row r="279" spans="1:5" x14ac:dyDescent="0.25">
      <c r="A279" t="str">
        <f>[1]!'1339.TW-ID'</f>
        <v>1339</v>
      </c>
      <c r="B279" t="str">
        <f>[1]!'1339.TW-Name'</f>
        <v>昭輝</v>
      </c>
      <c r="C279">
        <f>[1]!'1339.TW-SimulatePrice'</f>
        <v>38.4</v>
      </c>
      <c r="D279">
        <f>[1]!'1339.TW-PreClose'</f>
        <v>38.950000000000003</v>
      </c>
      <c r="E279" t="str">
        <f>[1]!'1339.TW-SimulateTime'</f>
        <v>13:28:49</v>
      </c>
    </row>
    <row r="280" spans="1:5" x14ac:dyDescent="0.25">
      <c r="A280" t="str">
        <f>[1]!'1512.TW-ID'</f>
        <v>1512</v>
      </c>
      <c r="B280" t="str">
        <f>[1]!'1512.TW-Name'</f>
        <v>瑞利</v>
      </c>
      <c r="C280" t="str">
        <f>[1]!'1512.TW-SimulatePrice'</f>
        <v>--</v>
      </c>
      <c r="D280">
        <f>[1]!'1512.TW-PreClose'</f>
        <v>3.86</v>
      </c>
      <c r="E280" t="str">
        <f>[1]!'1512.TW-SimulateTime'</f>
        <v>--</v>
      </c>
    </row>
    <row r="281" spans="1:5" x14ac:dyDescent="0.25">
      <c r="A281" t="str">
        <f>[1]!'1521.TW-ID'</f>
        <v>1521</v>
      </c>
      <c r="B281" t="str">
        <f>[1]!'1521.TW-Name'</f>
        <v>大億</v>
      </c>
      <c r="C281" t="str">
        <f>[1]!'1521.TW-SimulatePrice'</f>
        <v>--</v>
      </c>
      <c r="D281">
        <f>[1]!'1521.TW-PreClose'</f>
        <v>57.1</v>
      </c>
      <c r="E281" t="str">
        <f>[1]!'1521.TW-SimulateTime'</f>
        <v>--</v>
      </c>
    </row>
    <row r="282" spans="1:5" x14ac:dyDescent="0.25">
      <c r="A282" t="str">
        <f>[1]!'1522.TW-ID'</f>
        <v>1522</v>
      </c>
      <c r="B282" t="str">
        <f>[1]!'1522.TW-Name'</f>
        <v>堤維西</v>
      </c>
      <c r="C282">
        <f>[1]!'1522.TW-SimulatePrice'</f>
        <v>22.8</v>
      </c>
      <c r="D282">
        <f>[1]!'1522.TW-PreClose'</f>
        <v>23</v>
      </c>
      <c r="E282" t="str">
        <f>[1]!'1522.TW-SimulateTime'</f>
        <v>13:29:50</v>
      </c>
    </row>
    <row r="283" spans="1:5" x14ac:dyDescent="0.25">
      <c r="A283" t="str">
        <f>[1]!'1524.TW-ID'</f>
        <v>1524</v>
      </c>
      <c r="B283" t="str">
        <f>[1]!'1524.TW-Name'</f>
        <v>耿鼎</v>
      </c>
      <c r="C283">
        <f>[1]!'1524.TW-SimulatePrice'</f>
        <v>8.85</v>
      </c>
      <c r="D283">
        <f>[1]!'1524.TW-PreClose'</f>
        <v>8.65</v>
      </c>
      <c r="E283" t="str">
        <f>[1]!'1524.TW-SimulateTime'</f>
        <v>13:29:50</v>
      </c>
    </row>
    <row r="284" spans="1:5" x14ac:dyDescent="0.25">
      <c r="A284" t="str">
        <f>[1]!'1525.TW-ID'</f>
        <v>1525</v>
      </c>
      <c r="B284" t="str">
        <f>[1]!'1525.TW-Name'</f>
        <v>江申</v>
      </c>
      <c r="C284">
        <f>[1]!'1525.TW-SimulatePrice'</f>
        <v>42.8</v>
      </c>
      <c r="D284">
        <f>[1]!'1525.TW-PreClose'</f>
        <v>43.15</v>
      </c>
      <c r="E284" t="str">
        <f>[1]!'1525.TW-SimulateTime'</f>
        <v>13:29:15</v>
      </c>
    </row>
    <row r="285" spans="1:5" x14ac:dyDescent="0.25">
      <c r="A285" t="str">
        <f>[1]!'1533.TW-ID'</f>
        <v>1533</v>
      </c>
      <c r="B285" t="str">
        <f>[1]!'1533.TW-Name'</f>
        <v>車王電</v>
      </c>
      <c r="C285">
        <f>[1]!'1533.TW-SimulatePrice'</f>
        <v>26</v>
      </c>
      <c r="D285">
        <f>[1]!'1533.TW-PreClose'</f>
        <v>26.25</v>
      </c>
      <c r="E285" t="str">
        <f>[1]!'1533.TW-SimulateTime'</f>
        <v>13:28:29</v>
      </c>
    </row>
    <row r="286" spans="1:5" x14ac:dyDescent="0.25">
      <c r="A286" t="str">
        <f>[1]!'1536.TW-ID'</f>
        <v>1536</v>
      </c>
      <c r="B286" t="str">
        <f>[1]!'1536.TW-Name'</f>
        <v>和大</v>
      </c>
      <c r="C286">
        <f>[1]!'1536.TW-SimulatePrice'</f>
        <v>92.1</v>
      </c>
      <c r="D286">
        <f>[1]!'1536.TW-PreClose'</f>
        <v>93.9</v>
      </c>
      <c r="E286" t="str">
        <f>[1]!'1536.TW-SimulateTime'</f>
        <v>13:29:37</v>
      </c>
    </row>
    <row r="287" spans="1:5" x14ac:dyDescent="0.25">
      <c r="A287" t="str">
        <f>[1]!'1568.TW-ID'</f>
        <v>1568</v>
      </c>
      <c r="B287" t="str">
        <f>[1]!'1568.TW-Name'</f>
        <v>倉佑</v>
      </c>
      <c r="C287">
        <f>[1]!'1568.TW-SimulatePrice'</f>
        <v>14.4</v>
      </c>
      <c r="D287">
        <f>[1]!'1568.TW-PreClose'</f>
        <v>14.2</v>
      </c>
      <c r="E287" t="str">
        <f>[1]!'1568.TW-SimulateTime'</f>
        <v>13:29:49</v>
      </c>
    </row>
    <row r="288" spans="1:5" x14ac:dyDescent="0.25">
      <c r="A288" t="str">
        <f>[1]!'1587.TW-ID'</f>
        <v>1587</v>
      </c>
      <c r="B288" t="str">
        <f>[1]!'1587.TW-Name'</f>
        <v>吉茂</v>
      </c>
      <c r="C288" t="str">
        <f>[1]!'1587.TW-SimulatePrice'</f>
        <v>--</v>
      </c>
      <c r="D288">
        <f>[1]!'1587.TW-PreClose'</f>
        <v>12.7</v>
      </c>
      <c r="E288" t="str">
        <f>[1]!'1587.TW-SimulateTime'</f>
        <v>--</v>
      </c>
    </row>
    <row r="289" spans="1:5" x14ac:dyDescent="0.25">
      <c r="A289" t="str">
        <f>[1]!'1592.TW-ID'</f>
        <v>1592</v>
      </c>
      <c r="B289" t="str">
        <f>[1]!'1592.TW-Name'</f>
        <v>英瑞-KY</v>
      </c>
      <c r="C289">
        <f>[1]!'1592.TW-SimulatePrice'</f>
        <v>10.55</v>
      </c>
      <c r="D289">
        <f>[1]!'1592.TW-PreClose'</f>
        <v>10.6</v>
      </c>
      <c r="E289" t="str">
        <f>[1]!'1592.TW-SimulateTime'</f>
        <v>13:29:58</v>
      </c>
    </row>
    <row r="290" spans="1:5" x14ac:dyDescent="0.25">
      <c r="A290" t="str">
        <f>[1]!'2115.TW-ID'</f>
        <v>2115</v>
      </c>
      <c r="B290" t="str">
        <f>[1]!'2115.TW-Name'</f>
        <v>六暉-KY</v>
      </c>
      <c r="C290">
        <f>[1]!'2115.TW-SimulatePrice'</f>
        <v>39.25</v>
      </c>
      <c r="D290">
        <f>[1]!'2115.TW-PreClose'</f>
        <v>39</v>
      </c>
      <c r="E290" t="str">
        <f>[1]!'2115.TW-SimulateTime'</f>
        <v>13:29:44</v>
      </c>
    </row>
    <row r="291" spans="1:5" x14ac:dyDescent="0.25">
      <c r="A291" t="str">
        <f>[1]!'2201.TW-ID'</f>
        <v>2201</v>
      </c>
      <c r="B291" t="str">
        <f>[1]!'2201.TW-Name'</f>
        <v>裕隆</v>
      </c>
      <c r="C291">
        <f>[1]!'2201.TW-SimulatePrice'</f>
        <v>16.899999999999999</v>
      </c>
      <c r="D291">
        <f>[1]!'2201.TW-PreClose'</f>
        <v>16.7</v>
      </c>
      <c r="E291" t="str">
        <f>[1]!'2201.TW-SimulateTime'</f>
        <v>13:29:58</v>
      </c>
    </row>
    <row r="292" spans="1:5" x14ac:dyDescent="0.25">
      <c r="A292" t="str">
        <f>[1]!'2204.TW-ID'</f>
        <v>2204</v>
      </c>
      <c r="B292" t="str">
        <f>[1]!'2204.TW-Name'</f>
        <v>中華</v>
      </c>
      <c r="C292">
        <f>[1]!'2204.TW-SimulatePrice'</f>
        <v>32.450000000000003</v>
      </c>
      <c r="D292">
        <f>[1]!'2204.TW-PreClose'</f>
        <v>29.5</v>
      </c>
      <c r="E292" t="str">
        <f>[1]!'2204.TW-SimulateTime'</f>
        <v>13:29:37</v>
      </c>
    </row>
    <row r="293" spans="1:5" x14ac:dyDescent="0.25">
      <c r="A293" t="str">
        <f>[1]!'2206.TW-ID'</f>
        <v>2206</v>
      </c>
      <c r="B293" t="str">
        <f>[1]!'2206.TW-Name'</f>
        <v>三陽工業</v>
      </c>
      <c r="C293">
        <f>[1]!'2206.TW-SimulatePrice'</f>
        <v>19.8</v>
      </c>
      <c r="D293">
        <f>[1]!'2206.TW-PreClose'</f>
        <v>19.8</v>
      </c>
      <c r="E293" t="str">
        <f>[1]!'2206.TW-SimulateTime'</f>
        <v>13:29:57</v>
      </c>
    </row>
    <row r="294" spans="1:5" x14ac:dyDescent="0.25">
      <c r="A294" t="str">
        <f>[1]!'2207.TW-ID'</f>
        <v>2207</v>
      </c>
      <c r="B294" t="str">
        <f>[1]!'2207.TW-Name'</f>
        <v>和泰車</v>
      </c>
      <c r="C294">
        <f>[1]!'2207.TW-SimulatePrice'</f>
        <v>508</v>
      </c>
      <c r="D294">
        <f>[1]!'2207.TW-PreClose'</f>
        <v>515</v>
      </c>
      <c r="E294" t="str">
        <f>[1]!'2207.TW-SimulateTime'</f>
        <v>13:29:55</v>
      </c>
    </row>
    <row r="295" spans="1:5" x14ac:dyDescent="0.25">
      <c r="A295" t="str">
        <f>[1]!'2227.TW-ID'</f>
        <v>2227</v>
      </c>
      <c r="B295" t="str">
        <f>[1]!'2227.TW-Name'</f>
        <v>裕日車</v>
      </c>
      <c r="C295">
        <f>[1]!'2227.TW-SimulatePrice'</f>
        <v>258.5</v>
      </c>
      <c r="D295">
        <f>[1]!'2227.TW-PreClose'</f>
        <v>258.5</v>
      </c>
      <c r="E295" t="str">
        <f>[1]!'2227.TW-SimulateTime'</f>
        <v>13:29:17</v>
      </c>
    </row>
    <row r="296" spans="1:5" x14ac:dyDescent="0.25">
      <c r="A296" t="str">
        <f>[1]!'2228.TW-ID'</f>
        <v>2228</v>
      </c>
      <c r="B296" t="str">
        <f>[1]!'2228.TW-Name'</f>
        <v>劍麟</v>
      </c>
      <c r="C296">
        <f>[1]!'2228.TW-SimulatePrice'</f>
        <v>84.6</v>
      </c>
      <c r="D296">
        <f>[1]!'2228.TW-PreClose'</f>
        <v>85.2</v>
      </c>
      <c r="E296" t="str">
        <f>[1]!'2228.TW-SimulateTime'</f>
        <v>13:29:57</v>
      </c>
    </row>
    <row r="297" spans="1:5" x14ac:dyDescent="0.25">
      <c r="A297" t="str">
        <f>[1]!'2231.TW-ID'</f>
        <v>2231</v>
      </c>
      <c r="B297" t="str">
        <f>[1]!'2231.TW-Name'</f>
        <v>為升</v>
      </c>
      <c r="C297">
        <f>[1]!'2231.TW-SimulatePrice'</f>
        <v>151.5</v>
      </c>
      <c r="D297">
        <f>[1]!'2231.TW-PreClose'</f>
        <v>155</v>
      </c>
      <c r="E297" t="str">
        <f>[1]!'2231.TW-SimulateTime'</f>
        <v>13:29:55</v>
      </c>
    </row>
    <row r="298" spans="1:5" x14ac:dyDescent="0.25">
      <c r="A298" t="str">
        <f>[1]!'2233.TW-ID'</f>
        <v>2233</v>
      </c>
      <c r="B298" t="str">
        <f>[1]!'2233.TW-Name'</f>
        <v>宇隆</v>
      </c>
      <c r="C298">
        <f>[1]!'2233.TW-SimulatePrice'</f>
        <v>58.8</v>
      </c>
      <c r="D298">
        <f>[1]!'2233.TW-PreClose'</f>
        <v>59.1</v>
      </c>
      <c r="E298" t="str">
        <f>[1]!'2233.TW-SimulateTime'</f>
        <v>13:29:17</v>
      </c>
    </row>
    <row r="299" spans="1:5" x14ac:dyDescent="0.25">
      <c r="A299" t="str">
        <f>[1]!'2236.TW-ID'</f>
        <v>2236</v>
      </c>
      <c r="B299" t="str">
        <f>[1]!'2236.TW-Name'</f>
        <v>百達-KY</v>
      </c>
      <c r="C299">
        <f>[1]!'2236.TW-SimulatePrice'</f>
        <v>15.55</v>
      </c>
      <c r="D299">
        <f>[1]!'2236.TW-PreClose'</f>
        <v>15.65</v>
      </c>
      <c r="E299" t="str">
        <f>[1]!'2236.TW-SimulateTime'</f>
        <v>13:28:26</v>
      </c>
    </row>
    <row r="300" spans="1:5" x14ac:dyDescent="0.25">
      <c r="A300" t="str">
        <f>[1]!'2239.TW-ID'</f>
        <v>2239</v>
      </c>
      <c r="B300" t="str">
        <f>[1]!'2239.TW-Name'</f>
        <v>英利-KY</v>
      </c>
      <c r="C300">
        <f>[1]!'2239.TW-SimulatePrice'</f>
        <v>57.8</v>
      </c>
      <c r="D300">
        <f>[1]!'2239.TW-PreClose'</f>
        <v>60.6</v>
      </c>
      <c r="E300" t="str">
        <f>[1]!'2239.TW-SimulateTime'</f>
        <v>13:29:51</v>
      </c>
    </row>
    <row r="301" spans="1:5" x14ac:dyDescent="0.25">
      <c r="A301" t="str">
        <f>[1]!'2243.TW-ID'</f>
        <v>2243</v>
      </c>
      <c r="B301" t="str">
        <f>[1]!'2243.TW-Name'</f>
        <v>宏旭-KY</v>
      </c>
      <c r="C301">
        <f>[1]!'2243.TW-SimulatePrice'</f>
        <v>9.9</v>
      </c>
      <c r="D301">
        <f>[1]!'2243.TW-PreClose'</f>
        <v>9.89</v>
      </c>
      <c r="E301" t="str">
        <f>[1]!'2243.TW-SimulateTime'</f>
        <v>13:29:58</v>
      </c>
    </row>
    <row r="302" spans="1:5" x14ac:dyDescent="0.25">
      <c r="A302" t="str">
        <f>[1]!'2497.TW-ID'</f>
        <v>2497</v>
      </c>
      <c r="B302" t="str">
        <f>[1]!'2497.TW-Name'</f>
        <v>怡利電</v>
      </c>
      <c r="C302">
        <f>[1]!'2497.TW-SimulatePrice'</f>
        <v>16</v>
      </c>
      <c r="D302">
        <f>[1]!'2497.TW-PreClose'</f>
        <v>16.05</v>
      </c>
      <c r="E302" t="str">
        <f>[1]!'2497.TW-SimulateTime'</f>
        <v>13:27:48</v>
      </c>
    </row>
    <row r="303" spans="1:5" x14ac:dyDescent="0.25">
      <c r="A303" t="str">
        <f>[1]!'3346.TW-ID'</f>
        <v>3346</v>
      </c>
      <c r="B303" t="str">
        <f>[1]!'3346.TW-Name'</f>
        <v>麗清</v>
      </c>
      <c r="C303">
        <f>[1]!'3346.TW-SimulatePrice'</f>
        <v>25.3</v>
      </c>
      <c r="D303">
        <f>[1]!'3346.TW-PreClose'</f>
        <v>26.35</v>
      </c>
      <c r="E303" t="str">
        <f>[1]!'3346.TW-SimulateTime'</f>
        <v>13:29:46</v>
      </c>
    </row>
    <row r="304" spans="1:5" x14ac:dyDescent="0.25">
      <c r="A304" t="str">
        <f>[1]!'4551.TW-ID'</f>
        <v>4551</v>
      </c>
      <c r="B304" t="str">
        <f>[1]!'4551.TW-Name'</f>
        <v>智伸科</v>
      </c>
      <c r="C304">
        <f>[1]!'4551.TW-SimulatePrice'</f>
        <v>120.5</v>
      </c>
      <c r="D304">
        <f>[1]!'4551.TW-PreClose'</f>
        <v>122.5</v>
      </c>
      <c r="E304" t="str">
        <f>[1]!'4551.TW-SimulateTime'</f>
        <v>13:29:50</v>
      </c>
    </row>
    <row r="305" spans="1:5" x14ac:dyDescent="0.25">
      <c r="A305" t="str">
        <f>[1]!'4557.TW-ID'</f>
        <v>4557</v>
      </c>
      <c r="B305" t="str">
        <f>[1]!'4557.TW-Name'</f>
        <v>永新-KY</v>
      </c>
      <c r="C305">
        <f>[1]!'4557.TW-SimulatePrice'</f>
        <v>67.7</v>
      </c>
      <c r="D305">
        <f>[1]!'4557.TW-PreClose'</f>
        <v>67.599999999999994</v>
      </c>
      <c r="E305" t="str">
        <f>[1]!'4557.TW-SimulateTime'</f>
        <v>13:28:22</v>
      </c>
    </row>
    <row r="306" spans="1:5" x14ac:dyDescent="0.25">
      <c r="A306" t="str">
        <f>[1]!'4581.TW-ID'</f>
        <v>4581</v>
      </c>
      <c r="B306" t="str">
        <f>[1]!'4581.TW-Name'</f>
        <v>光隆精密-KY</v>
      </c>
      <c r="C306">
        <f>[1]!'4581.TW-SimulatePrice'</f>
        <v>38.85</v>
      </c>
      <c r="D306">
        <f>[1]!'4581.TW-PreClose'</f>
        <v>38.5</v>
      </c>
      <c r="E306" t="str">
        <f>[1]!'4581.TW-SimulateTime'</f>
        <v>13:29:52</v>
      </c>
    </row>
    <row r="307" spans="1:5" x14ac:dyDescent="0.25">
      <c r="A307" t="str">
        <f>[1]!'6288.TW-ID'</f>
        <v>6288</v>
      </c>
      <c r="B307" t="str">
        <f>[1]!'6288.TW-Name'</f>
        <v>聯嘉</v>
      </c>
      <c r="C307">
        <f>[1]!'6288.TW-SimulatePrice'</f>
        <v>18.649999999999999</v>
      </c>
      <c r="D307">
        <f>[1]!'6288.TW-PreClose'</f>
        <v>18.7</v>
      </c>
      <c r="E307" t="str">
        <f>[1]!'6288.TW-SimulateTime'</f>
        <v>13:29:33</v>
      </c>
    </row>
    <row r="308" spans="1:5" x14ac:dyDescent="0.25">
      <c r="A308" t="str">
        <f>[1]!'6605.TW-ID'</f>
        <v>6605</v>
      </c>
      <c r="B308" t="str">
        <f>[1]!'6605.TW-Name'</f>
        <v>帝寶</v>
      </c>
      <c r="C308">
        <f>[1]!'6605.TW-SimulatePrice'</f>
        <v>45.7</v>
      </c>
      <c r="D308">
        <f>[1]!'6605.TW-PreClose'</f>
        <v>45</v>
      </c>
      <c r="E308" t="str">
        <f>[1]!'6605.TW-SimulateTime'</f>
        <v>13:29:20</v>
      </c>
    </row>
    <row r="309" spans="1:5" x14ac:dyDescent="0.25">
      <c r="A309" t="str">
        <f>[1]!'2302.TW-ID'</f>
        <v>2302</v>
      </c>
      <c r="B309" t="str">
        <f>[1]!'2302.TW-Name'</f>
        <v>麗正</v>
      </c>
      <c r="C309">
        <f>[1]!'2302.TW-SimulatePrice'</f>
        <v>7.08</v>
      </c>
      <c r="D309">
        <f>[1]!'2302.TW-PreClose'</f>
        <v>7.12</v>
      </c>
      <c r="E309" t="str">
        <f>[1]!'2302.TW-SimulateTime'</f>
        <v>13:29:37</v>
      </c>
    </row>
    <row r="310" spans="1:5" x14ac:dyDescent="0.25">
      <c r="A310" t="str">
        <f>[1]!'2303.TW-ID'</f>
        <v>2303</v>
      </c>
      <c r="B310" t="str">
        <f>[1]!'2303.TW-Name'</f>
        <v>聯電</v>
      </c>
      <c r="C310">
        <f>[1]!'2303.TW-SimulatePrice'</f>
        <v>15.4</v>
      </c>
      <c r="D310">
        <f>[1]!'2303.TW-PreClose'</f>
        <v>15.35</v>
      </c>
      <c r="E310" t="str">
        <f>[1]!'2303.TW-SimulateTime'</f>
        <v>13:29:59</v>
      </c>
    </row>
    <row r="311" spans="1:5" x14ac:dyDescent="0.25">
      <c r="A311" t="str">
        <f>[1]!'2329.TW-ID'</f>
        <v>2329</v>
      </c>
      <c r="B311" t="str">
        <f>[1]!'2329.TW-Name'</f>
        <v>華泰</v>
      </c>
      <c r="C311">
        <f>[1]!'2329.TW-SimulatePrice'</f>
        <v>11.5</v>
      </c>
      <c r="D311">
        <f>[1]!'2329.TW-PreClose'</f>
        <v>11.7</v>
      </c>
      <c r="E311" t="str">
        <f>[1]!'2329.TW-SimulateTime'</f>
        <v>13:29:56</v>
      </c>
    </row>
    <row r="312" spans="1:5" x14ac:dyDescent="0.25">
      <c r="A312" t="str">
        <f>[1]!'2330.TW-ID'</f>
        <v>2330</v>
      </c>
      <c r="B312" t="str">
        <f>[1]!'2330.TW-Name'</f>
        <v>台積電</v>
      </c>
      <c r="C312">
        <f>[1]!'2330.TW-SimulatePrice'</f>
        <v>298</v>
      </c>
      <c r="D312">
        <f>[1]!'2330.TW-PreClose'</f>
        <v>293</v>
      </c>
      <c r="E312" t="str">
        <f>[1]!'2330.TW-SimulateTime'</f>
        <v>13:29:57</v>
      </c>
    </row>
    <row r="313" spans="1:5" x14ac:dyDescent="0.25">
      <c r="A313" t="str">
        <f>[1]!'2337.TW-ID'</f>
        <v>2337</v>
      </c>
      <c r="B313" t="str">
        <f>[1]!'2337.TW-Name'</f>
        <v>旺宏</v>
      </c>
      <c r="C313">
        <f>[1]!'2337.TW-SimulatePrice'</f>
        <v>32.5</v>
      </c>
      <c r="D313">
        <f>[1]!'2337.TW-PreClose'</f>
        <v>32.65</v>
      </c>
      <c r="E313" t="str">
        <f>[1]!'2337.TW-SimulateTime'</f>
        <v>13:29:57</v>
      </c>
    </row>
    <row r="314" spans="1:5" x14ac:dyDescent="0.25">
      <c r="A314" t="str">
        <f>[1]!'2338.TW-ID'</f>
        <v>2338</v>
      </c>
      <c r="B314" t="str">
        <f>[1]!'2338.TW-Name'</f>
        <v>光罩</v>
      </c>
      <c r="C314">
        <f>[1]!'2338.TW-SimulatePrice'</f>
        <v>26.9</v>
      </c>
      <c r="D314">
        <f>[1]!'2338.TW-PreClose'</f>
        <v>28.95</v>
      </c>
      <c r="E314" t="str">
        <f>[1]!'2338.TW-SimulateTime'</f>
        <v>13:29:59</v>
      </c>
    </row>
    <row r="315" spans="1:5" x14ac:dyDescent="0.25">
      <c r="A315" t="str">
        <f>[1]!'2342.TW-ID'</f>
        <v>2342</v>
      </c>
      <c r="B315" t="str">
        <f>[1]!'2342.TW-Name'</f>
        <v>茂矽</v>
      </c>
      <c r="C315">
        <f>[1]!'2342.TW-SimulatePrice'</f>
        <v>28.1</v>
      </c>
      <c r="D315">
        <f>[1]!'2342.TW-PreClose'</f>
        <v>27.9</v>
      </c>
      <c r="E315" t="str">
        <f>[1]!'2342.TW-SimulateTime'</f>
        <v>13:29:56</v>
      </c>
    </row>
    <row r="316" spans="1:5" x14ac:dyDescent="0.25">
      <c r="A316" t="str">
        <f>[1]!'2344.TW-ID'</f>
        <v>2344</v>
      </c>
      <c r="B316" t="str">
        <f>[1]!'2344.TW-Name'</f>
        <v>華邦電</v>
      </c>
      <c r="C316">
        <f>[1]!'2344.TW-SimulatePrice'</f>
        <v>12.9</v>
      </c>
      <c r="D316">
        <f>[1]!'2344.TW-PreClose'</f>
        <v>12.8</v>
      </c>
      <c r="E316" t="str">
        <f>[1]!'2344.TW-SimulateTime'</f>
        <v>13:29:55</v>
      </c>
    </row>
    <row r="317" spans="1:5" x14ac:dyDescent="0.25">
      <c r="A317" t="str">
        <f>[1]!'2351.TW-ID'</f>
        <v>2351</v>
      </c>
      <c r="B317" t="str">
        <f>[1]!'2351.TW-Name'</f>
        <v>順德</v>
      </c>
      <c r="C317">
        <f>[1]!'2351.TW-SimulatePrice'</f>
        <v>43.95</v>
      </c>
      <c r="D317">
        <f>[1]!'2351.TW-PreClose'</f>
        <v>44.25</v>
      </c>
      <c r="E317" t="str">
        <f>[1]!'2351.TW-SimulateTime'</f>
        <v>13:29:51</v>
      </c>
    </row>
    <row r="318" spans="1:5" x14ac:dyDescent="0.25">
      <c r="A318" t="str">
        <f>[1]!'2363.TW-ID'</f>
        <v>2363</v>
      </c>
      <c r="B318" t="str">
        <f>[1]!'2363.TW-Name'</f>
        <v>矽統</v>
      </c>
      <c r="C318">
        <f>[1]!'2363.TW-SimulatePrice'</f>
        <v>11.75</v>
      </c>
      <c r="D318">
        <f>[1]!'2363.TW-PreClose'</f>
        <v>11.55</v>
      </c>
      <c r="E318" t="str">
        <f>[1]!'2363.TW-SimulateTime'</f>
        <v>13:29:58</v>
      </c>
    </row>
    <row r="319" spans="1:5" x14ac:dyDescent="0.25">
      <c r="A319" t="str">
        <f>[1]!'2369.TW-ID'</f>
        <v>2369</v>
      </c>
      <c r="B319" t="str">
        <f>[1]!'2369.TW-Name'</f>
        <v>菱生</v>
      </c>
      <c r="C319">
        <f>[1]!'2369.TW-SimulatePrice'</f>
        <v>9.41</v>
      </c>
      <c r="D319">
        <f>[1]!'2369.TW-PreClose'</f>
        <v>9.52</v>
      </c>
      <c r="E319" t="str">
        <f>[1]!'2369.TW-SimulateTime'</f>
        <v>13:29:37</v>
      </c>
    </row>
    <row r="320" spans="1:5" x14ac:dyDescent="0.25">
      <c r="A320" t="str">
        <f>[1]!'2379.TW-ID'</f>
        <v>2379</v>
      </c>
      <c r="B320" t="str">
        <f>[1]!'2379.TW-Name'</f>
        <v>瑞昱</v>
      </c>
      <c r="C320">
        <f>[1]!'2379.TW-SimulatePrice'</f>
        <v>245.5</v>
      </c>
      <c r="D320">
        <f>[1]!'2379.TW-PreClose'</f>
        <v>246</v>
      </c>
      <c r="E320" t="str">
        <f>[1]!'2379.TW-SimulateTime'</f>
        <v>13:29:56</v>
      </c>
    </row>
    <row r="321" spans="1:5" x14ac:dyDescent="0.25">
      <c r="A321" t="str">
        <f>[1]!'2388.TW-ID'</f>
        <v>2388</v>
      </c>
      <c r="B321" t="str">
        <f>[1]!'2388.TW-Name'</f>
        <v>威盛</v>
      </c>
      <c r="C321">
        <f>[1]!'2388.TW-SimulatePrice'</f>
        <v>27.7</v>
      </c>
      <c r="D321">
        <f>[1]!'2388.TW-PreClose'</f>
        <v>28.25</v>
      </c>
      <c r="E321" t="str">
        <f>[1]!'2388.TW-SimulateTime'</f>
        <v>13:29:40</v>
      </c>
    </row>
    <row r="322" spans="1:5" x14ac:dyDescent="0.25">
      <c r="A322" t="str">
        <f>[1]!'2401.TW-ID'</f>
        <v>2401</v>
      </c>
      <c r="B322" t="str">
        <f>[1]!'2401.TW-Name'</f>
        <v>凌陽</v>
      </c>
      <c r="C322">
        <f>[1]!'2401.TW-SimulatePrice'</f>
        <v>10.15</v>
      </c>
      <c r="D322">
        <f>[1]!'2401.TW-PreClose'</f>
        <v>10.5</v>
      </c>
      <c r="E322" t="str">
        <f>[1]!'2401.TW-SimulateTime'</f>
        <v>13:29:59</v>
      </c>
    </row>
    <row r="323" spans="1:5" x14ac:dyDescent="0.25">
      <c r="A323" t="str">
        <f>[1]!'2408.TW-ID'</f>
        <v>2408</v>
      </c>
      <c r="B323" t="str">
        <f>[1]!'2408.TW-Name'</f>
        <v>南亞科</v>
      </c>
      <c r="C323">
        <f>[1]!'2408.TW-SimulatePrice'</f>
        <v>60.1</v>
      </c>
      <c r="D323">
        <f>[1]!'2408.TW-PreClose'</f>
        <v>60</v>
      </c>
      <c r="E323" t="str">
        <f>[1]!'2408.TW-SimulateTime'</f>
        <v>13:29:58</v>
      </c>
    </row>
    <row r="324" spans="1:5" x14ac:dyDescent="0.25">
      <c r="A324" t="str">
        <f>[1]!'2434.TW-ID'</f>
        <v>2434</v>
      </c>
      <c r="B324" t="str">
        <f>[1]!'2434.TW-Name'</f>
        <v>統懋</v>
      </c>
      <c r="C324" t="str">
        <f>[1]!'2434.TW-SimulatePrice'</f>
        <v>--</v>
      </c>
      <c r="D324">
        <f>[1]!'2434.TW-PreClose'</f>
        <v>5.93</v>
      </c>
      <c r="E324" t="str">
        <f>[1]!'2434.TW-SimulateTime'</f>
        <v>--</v>
      </c>
    </row>
    <row r="325" spans="1:5" x14ac:dyDescent="0.25">
      <c r="A325" t="str">
        <f>[1]!'2436.TW-ID'</f>
        <v>2436</v>
      </c>
      <c r="B325" t="str">
        <f>[1]!'2436.TW-Name'</f>
        <v>偉詮電</v>
      </c>
      <c r="C325">
        <f>[1]!'2436.TW-SimulatePrice'</f>
        <v>25.2</v>
      </c>
      <c r="D325">
        <f>[1]!'2436.TW-PreClose'</f>
        <v>25.45</v>
      </c>
      <c r="E325" t="str">
        <f>[1]!'2436.TW-SimulateTime'</f>
        <v>13:29:40</v>
      </c>
    </row>
    <row r="326" spans="1:5" x14ac:dyDescent="0.25">
      <c r="A326" t="str">
        <f>[1]!'2441.TW-ID'</f>
        <v>2441</v>
      </c>
      <c r="B326" t="str">
        <f>[1]!'2441.TW-Name'</f>
        <v>超豐</v>
      </c>
      <c r="C326">
        <f>[1]!'2441.TW-SimulatePrice'</f>
        <v>44.1</v>
      </c>
      <c r="D326">
        <f>[1]!'2441.TW-PreClose'</f>
        <v>44.25</v>
      </c>
      <c r="E326" t="str">
        <f>[1]!'2441.TW-SimulateTime'</f>
        <v>13:29:57</v>
      </c>
    </row>
    <row r="327" spans="1:5" x14ac:dyDescent="0.25">
      <c r="A327" t="str">
        <f>[1]!'2449.TW-ID'</f>
        <v>2449</v>
      </c>
      <c r="B327" t="str">
        <f>[1]!'2449.TW-Name'</f>
        <v>京元電子</v>
      </c>
      <c r="C327">
        <f>[1]!'2449.TW-SimulatePrice'</f>
        <v>35.549999999999997</v>
      </c>
      <c r="D327">
        <f>[1]!'2449.TW-PreClose'</f>
        <v>36.1</v>
      </c>
      <c r="E327" t="str">
        <f>[1]!'2449.TW-SimulateTime'</f>
        <v>13:29:58</v>
      </c>
    </row>
    <row r="328" spans="1:5" x14ac:dyDescent="0.25">
      <c r="A328" t="str">
        <f>[1]!'2451.TW-ID'</f>
        <v>2451</v>
      </c>
      <c r="B328" t="str">
        <f>[1]!'2451.TW-Name'</f>
        <v>創見</v>
      </c>
      <c r="C328">
        <f>[1]!'2451.TW-SimulatePrice'</f>
        <v>69</v>
      </c>
      <c r="D328">
        <f>[1]!'2451.TW-PreClose'</f>
        <v>69.2</v>
      </c>
      <c r="E328" t="str">
        <f>[1]!'2451.TW-SimulateTime'</f>
        <v>13:29:50</v>
      </c>
    </row>
    <row r="329" spans="1:5" x14ac:dyDescent="0.25">
      <c r="A329" t="str">
        <f>[1]!'2454.TW-ID'</f>
        <v>2454</v>
      </c>
      <c r="B329" t="str">
        <f>[1]!'2454.TW-Name'</f>
        <v>聯發科</v>
      </c>
      <c r="C329">
        <f>[1]!'2454.TW-SimulatePrice'</f>
        <v>411</v>
      </c>
      <c r="D329">
        <f>[1]!'2454.TW-PreClose'</f>
        <v>411</v>
      </c>
      <c r="E329" t="str">
        <f>[1]!'2454.TW-SimulateTime'</f>
        <v>13:29:59</v>
      </c>
    </row>
    <row r="330" spans="1:5" x14ac:dyDescent="0.25">
      <c r="A330" t="str">
        <f>[1]!'2458.TW-ID'</f>
        <v>2458</v>
      </c>
      <c r="B330" t="str">
        <f>[1]!'2458.TW-Name'</f>
        <v>義隆</v>
      </c>
      <c r="C330">
        <f>[1]!'2458.TW-SimulatePrice'</f>
        <v>91.6</v>
      </c>
      <c r="D330">
        <f>[1]!'2458.TW-PreClose'</f>
        <v>94.2</v>
      </c>
      <c r="E330" t="str">
        <f>[1]!'2458.TW-SimulateTime'</f>
        <v>13:29:55</v>
      </c>
    </row>
    <row r="331" spans="1:5" x14ac:dyDescent="0.25">
      <c r="A331" t="str">
        <f>[1]!'2481.TW-ID'</f>
        <v>2481</v>
      </c>
      <c r="B331" t="str">
        <f>[1]!'2481.TW-Name'</f>
        <v>強茂</v>
      </c>
      <c r="C331">
        <f>[1]!'2481.TW-SimulatePrice'</f>
        <v>23.25</v>
      </c>
      <c r="D331">
        <f>[1]!'2481.TW-PreClose'</f>
        <v>24.2</v>
      </c>
      <c r="E331" t="str">
        <f>[1]!'2481.TW-SimulateTime'</f>
        <v>13:29:57</v>
      </c>
    </row>
    <row r="332" spans="1:5" x14ac:dyDescent="0.25">
      <c r="A332" t="str">
        <f>[1]!'3006.TW-ID'</f>
        <v>3006</v>
      </c>
      <c r="B332" t="str">
        <f>[1]!'3006.TW-Name'</f>
        <v>晶豪科</v>
      </c>
      <c r="C332">
        <f>[1]!'3006.TW-SimulatePrice'</f>
        <v>42.55</v>
      </c>
      <c r="D332">
        <f>[1]!'3006.TW-PreClose'</f>
        <v>42</v>
      </c>
      <c r="E332" t="str">
        <f>[1]!'3006.TW-SimulateTime'</f>
        <v>13:29:58</v>
      </c>
    </row>
    <row r="333" spans="1:5" x14ac:dyDescent="0.25">
      <c r="A333" t="str">
        <f>[1]!'3014.TW-ID'</f>
        <v>3014</v>
      </c>
      <c r="B333" t="str">
        <f>[1]!'3014.TW-Name'</f>
        <v>聯陽</v>
      </c>
      <c r="C333">
        <f>[1]!'3014.TW-SimulatePrice'</f>
        <v>54.9</v>
      </c>
      <c r="D333">
        <f>[1]!'3014.TW-PreClose'</f>
        <v>53.1</v>
      </c>
      <c r="E333" t="str">
        <f>[1]!'3014.TW-SimulateTime'</f>
        <v>13:29:58</v>
      </c>
    </row>
    <row r="334" spans="1:5" x14ac:dyDescent="0.25">
      <c r="A334" t="str">
        <f>[1]!'3016.TW-ID'</f>
        <v>3016</v>
      </c>
      <c r="B334" t="str">
        <f>[1]!'3016.TW-Name'</f>
        <v>嘉晶</v>
      </c>
      <c r="C334">
        <f>[1]!'3016.TW-SimulatePrice'</f>
        <v>59</v>
      </c>
      <c r="D334">
        <f>[1]!'3016.TW-PreClose'</f>
        <v>56.2</v>
      </c>
      <c r="E334" t="str">
        <f>[1]!'3016.TW-SimulateTime'</f>
        <v>13:29:59</v>
      </c>
    </row>
    <row r="335" spans="1:5" x14ac:dyDescent="0.25">
      <c r="A335" t="str">
        <f>[1]!'3034.TW-ID'</f>
        <v>3034</v>
      </c>
      <c r="B335" t="str">
        <f>[1]!'3034.TW-Name'</f>
        <v>聯詠</v>
      </c>
      <c r="C335">
        <f>[1]!'3034.TW-SimulatePrice'</f>
        <v>204</v>
      </c>
      <c r="D335">
        <f>[1]!'3034.TW-PreClose'</f>
        <v>203.5</v>
      </c>
      <c r="E335" t="str">
        <f>[1]!'3034.TW-SimulateTime'</f>
        <v>13:29:56</v>
      </c>
    </row>
    <row r="336" spans="1:5" x14ac:dyDescent="0.25">
      <c r="A336" t="str">
        <f>[1]!'3035.TW-ID'</f>
        <v>3035</v>
      </c>
      <c r="B336" t="str">
        <f>[1]!'3035.TW-Name'</f>
        <v>智原</v>
      </c>
      <c r="C336">
        <f>[1]!'3035.TW-SimulatePrice'</f>
        <v>41.35</v>
      </c>
      <c r="D336">
        <f>[1]!'3035.TW-PreClose'</f>
        <v>42.1</v>
      </c>
      <c r="E336" t="str">
        <f>[1]!'3035.TW-SimulateTime'</f>
        <v>13:29:55</v>
      </c>
    </row>
    <row r="337" spans="1:5" x14ac:dyDescent="0.25">
      <c r="A337" t="str">
        <f>[1]!'3041.TW-ID'</f>
        <v>3041</v>
      </c>
      <c r="B337" t="str">
        <f>[1]!'3041.TW-Name'</f>
        <v>揚智</v>
      </c>
      <c r="C337">
        <f>[1]!'3041.TW-SimulatePrice'</f>
        <v>17.05</v>
      </c>
      <c r="D337">
        <f>[1]!'3041.TW-PreClose'</f>
        <v>16.5</v>
      </c>
      <c r="E337" t="str">
        <f>[1]!'3041.TW-SimulateTime'</f>
        <v>13:29:57</v>
      </c>
    </row>
    <row r="338" spans="1:5" x14ac:dyDescent="0.25">
      <c r="A338" t="str">
        <f>[1]!'3054.TW-ID'</f>
        <v>3054</v>
      </c>
      <c r="B338" t="str">
        <f>[1]!'3054.TW-Name'</f>
        <v>立萬利</v>
      </c>
      <c r="C338" t="str">
        <f>[1]!'3054.TW-SimulatePrice'</f>
        <v>--</v>
      </c>
      <c r="D338">
        <f>[1]!'3054.TW-PreClose'</f>
        <v>23.75</v>
      </c>
      <c r="E338" t="str">
        <f>[1]!'3054.TW-SimulateTime'</f>
        <v>--</v>
      </c>
    </row>
    <row r="339" spans="1:5" x14ac:dyDescent="0.25">
      <c r="A339" t="str">
        <f>[1]!'3094.TW-ID'</f>
        <v>3094</v>
      </c>
      <c r="B339" t="str">
        <f>[1]!'3094.TW-Name'</f>
        <v>聯傑</v>
      </c>
      <c r="C339">
        <f>[1]!'3094.TW-SimulatePrice'</f>
        <v>17.7</v>
      </c>
      <c r="D339">
        <f>[1]!'3094.TW-PreClose'</f>
        <v>17.600000000000001</v>
      </c>
      <c r="E339" t="str">
        <f>[1]!'3094.TW-SimulateTime'</f>
        <v>13:29:59</v>
      </c>
    </row>
    <row r="340" spans="1:5" x14ac:dyDescent="0.25">
      <c r="A340" t="str">
        <f>[1]!'3189.TW-ID'</f>
        <v>3189</v>
      </c>
      <c r="B340" t="str">
        <f>[1]!'3189.TW-Name'</f>
        <v>景碩</v>
      </c>
      <c r="C340">
        <f>[1]!'3189.TW-SimulatePrice'</f>
        <v>50.7</v>
      </c>
      <c r="D340">
        <f>[1]!'3189.TW-PreClose'</f>
        <v>51</v>
      </c>
      <c r="E340" t="str">
        <f>[1]!'3189.TW-SimulateTime'</f>
        <v>13:29:55</v>
      </c>
    </row>
    <row r="341" spans="1:5" x14ac:dyDescent="0.25">
      <c r="A341" t="str">
        <f>[1]!'3257.TW-ID'</f>
        <v>3257</v>
      </c>
      <c r="B341" t="str">
        <f>[1]!'3257.TW-Name'</f>
        <v>虹冠電</v>
      </c>
      <c r="C341">
        <f>[1]!'3257.TW-SimulatePrice'</f>
        <v>60.9</v>
      </c>
      <c r="D341">
        <f>[1]!'3257.TW-PreClose'</f>
        <v>60.3</v>
      </c>
      <c r="E341" t="str">
        <f>[1]!'3257.TW-SimulateTime'</f>
        <v>13:29:57</v>
      </c>
    </row>
    <row r="342" spans="1:5" x14ac:dyDescent="0.25">
      <c r="A342" t="str">
        <f>[1]!'3413.TW-ID'</f>
        <v>3413</v>
      </c>
      <c r="B342" t="str">
        <f>[1]!'3413.TW-Name'</f>
        <v>京鼎</v>
      </c>
      <c r="C342">
        <f>[1]!'3413.TW-SimulatePrice'</f>
        <v>166</v>
      </c>
      <c r="D342">
        <f>[1]!'3413.TW-PreClose'</f>
        <v>167</v>
      </c>
      <c r="E342" t="str">
        <f>[1]!'3413.TW-SimulateTime'</f>
        <v>13:29:57</v>
      </c>
    </row>
    <row r="343" spans="1:5" x14ac:dyDescent="0.25">
      <c r="A343" t="str">
        <f>[1]!'3443.TW-ID'</f>
        <v>3443</v>
      </c>
      <c r="B343" t="str">
        <f>[1]!'3443.TW-Name'</f>
        <v>創意</v>
      </c>
      <c r="C343">
        <f>[1]!'3443.TW-SimulatePrice'</f>
        <v>216</v>
      </c>
      <c r="D343">
        <f>[1]!'3443.TW-PreClose'</f>
        <v>217.5</v>
      </c>
      <c r="E343" t="str">
        <f>[1]!'3443.TW-SimulateTime'</f>
        <v>13:29:58</v>
      </c>
    </row>
    <row r="344" spans="1:5" x14ac:dyDescent="0.25">
      <c r="A344" t="str">
        <f>[1]!'3530.TW-ID'</f>
        <v>3530</v>
      </c>
      <c r="B344" t="str">
        <f>[1]!'3530.TW-Name'</f>
        <v>晶相光</v>
      </c>
      <c r="C344">
        <f>[1]!'3530.TW-SimulatePrice'</f>
        <v>80</v>
      </c>
      <c r="D344">
        <f>[1]!'3530.TW-PreClose'</f>
        <v>81.2</v>
      </c>
      <c r="E344" t="str">
        <f>[1]!'3530.TW-SimulateTime'</f>
        <v>13:29:45</v>
      </c>
    </row>
    <row r="345" spans="1:5" x14ac:dyDescent="0.25">
      <c r="A345" t="str">
        <f>[1]!'3532.TW-ID'</f>
        <v>3532</v>
      </c>
      <c r="B345" t="str">
        <f>[1]!'3532.TW-Name'</f>
        <v>台勝科</v>
      </c>
      <c r="C345">
        <f>[1]!'3532.TW-SimulatePrice'</f>
        <v>152</v>
      </c>
      <c r="D345">
        <f>[1]!'3532.TW-PreClose'</f>
        <v>156</v>
      </c>
      <c r="E345" t="str">
        <f>[1]!'3532.TW-SimulateTime'</f>
        <v>13:29:58</v>
      </c>
    </row>
    <row r="346" spans="1:5" x14ac:dyDescent="0.25">
      <c r="A346" t="str">
        <f>[1]!'3536.TW-ID'</f>
        <v>3536</v>
      </c>
      <c r="B346" t="str">
        <f>[1]!'3536.TW-Name'</f>
        <v>誠創</v>
      </c>
      <c r="C346" t="str">
        <f>[1]!'3536.TW-SimulatePrice'</f>
        <v>--</v>
      </c>
      <c r="D346">
        <f>[1]!'3536.TW-PreClose'</f>
        <v>2.91</v>
      </c>
      <c r="E346" t="str">
        <f>[1]!'3536.TW-SimulateTime'</f>
        <v>--</v>
      </c>
    </row>
    <row r="347" spans="1:5" x14ac:dyDescent="0.25">
      <c r="A347" t="str">
        <f>[1]!'3545.TW-ID'</f>
        <v>3545</v>
      </c>
      <c r="B347" t="str">
        <f>[1]!'3545.TW-Name'</f>
        <v>敦泰</v>
      </c>
      <c r="C347">
        <f>[1]!'3545.TW-SimulatePrice'</f>
        <v>31.2</v>
      </c>
      <c r="D347">
        <f>[1]!'3545.TW-PreClose'</f>
        <v>31.15</v>
      </c>
      <c r="E347" t="str">
        <f>[1]!'3545.TW-SimulateTime'</f>
        <v>13:29:59</v>
      </c>
    </row>
    <row r="348" spans="1:5" x14ac:dyDescent="0.25">
      <c r="A348" t="str">
        <f>[1]!'3583.TW-ID'</f>
        <v>3583</v>
      </c>
      <c r="B348" t="str">
        <f>[1]!'3583.TW-Name'</f>
        <v>辛耘</v>
      </c>
      <c r="C348">
        <f>[1]!'3583.TW-SimulatePrice'</f>
        <v>46.05</v>
      </c>
      <c r="D348">
        <f>[1]!'3583.TW-PreClose'</f>
        <v>47.1</v>
      </c>
      <c r="E348" t="str">
        <f>[1]!'3583.TW-SimulateTime'</f>
        <v>13:29:25</v>
      </c>
    </row>
    <row r="349" spans="1:5" x14ac:dyDescent="0.25">
      <c r="A349" t="str">
        <f>[1]!'3588.TW-ID'</f>
        <v>3588</v>
      </c>
      <c r="B349" t="str">
        <f>[1]!'3588.TW-Name'</f>
        <v>通嘉</v>
      </c>
      <c r="C349">
        <f>[1]!'3588.TW-SimulatePrice'</f>
        <v>29.55</v>
      </c>
      <c r="D349">
        <f>[1]!'3588.TW-PreClose'</f>
        <v>29.45</v>
      </c>
      <c r="E349" t="str">
        <f>[1]!'3588.TW-SimulateTime'</f>
        <v>13:29:47</v>
      </c>
    </row>
    <row r="350" spans="1:5" x14ac:dyDescent="0.25">
      <c r="A350" t="str">
        <f>[1]!'3661.TW-ID'</f>
        <v>3661</v>
      </c>
      <c r="B350" t="str">
        <f>[1]!'3661.TW-Name'</f>
        <v>世芯-KY</v>
      </c>
      <c r="C350">
        <f>[1]!'3661.TW-SimulatePrice'</f>
        <v>297.5</v>
      </c>
      <c r="D350">
        <f>[1]!'3661.TW-PreClose'</f>
        <v>274</v>
      </c>
      <c r="E350" t="str">
        <f>[1]!'3661.TW-SimulateTime'</f>
        <v>13:29:59</v>
      </c>
    </row>
    <row r="351" spans="1:5" x14ac:dyDescent="0.25">
      <c r="A351" t="str">
        <f>[1]!'3686.TW-ID'</f>
        <v>3686</v>
      </c>
      <c r="B351" t="str">
        <f>[1]!'3686.TW-Name'</f>
        <v>達能</v>
      </c>
      <c r="C351">
        <f>[1]!'3686.TW-SimulatePrice'</f>
        <v>3.94</v>
      </c>
      <c r="D351">
        <f>[1]!'3686.TW-PreClose'</f>
        <v>3.95</v>
      </c>
      <c r="E351" t="str">
        <f>[1]!'3686.TW-SimulateTime'</f>
        <v>13:28:05</v>
      </c>
    </row>
    <row r="352" spans="1:5" x14ac:dyDescent="0.25">
      <c r="A352" t="str">
        <f>[1]!'3711.TW-ID'</f>
        <v>3711</v>
      </c>
      <c r="B352" t="str">
        <f>[1]!'3711.TW-Name'</f>
        <v>日月光投控</v>
      </c>
      <c r="C352">
        <f>[1]!'3711.TW-SimulatePrice'</f>
        <v>66.400000000000006</v>
      </c>
      <c r="D352">
        <f>[1]!'3711.TW-PreClose'</f>
        <v>66.5</v>
      </c>
      <c r="E352" t="str">
        <f>[1]!'3711.TW-SimulateTime'</f>
        <v>13:29:59</v>
      </c>
    </row>
    <row r="353" spans="1:5" x14ac:dyDescent="0.25">
      <c r="A353" t="str">
        <f>[1]!'4919.TW-ID'</f>
        <v>4919</v>
      </c>
      <c r="B353" t="str">
        <f>[1]!'4919.TW-Name'</f>
        <v>新唐</v>
      </c>
      <c r="C353">
        <f>[1]!'4919.TW-SimulatePrice'</f>
        <v>36</v>
      </c>
      <c r="D353">
        <f>[1]!'4919.TW-PreClose'</f>
        <v>36.85</v>
      </c>
      <c r="E353" t="str">
        <f>[1]!'4919.TW-SimulateTime'</f>
        <v>13:29:46</v>
      </c>
    </row>
    <row r="354" spans="1:5" x14ac:dyDescent="0.25">
      <c r="A354" t="str">
        <f>[1]!'4952.TW-ID'</f>
        <v>4952</v>
      </c>
      <c r="B354" t="str">
        <f>[1]!'4952.TW-Name'</f>
        <v>凌通</v>
      </c>
      <c r="C354">
        <f>[1]!'4952.TW-SimulatePrice'</f>
        <v>28.75</v>
      </c>
      <c r="D354">
        <f>[1]!'4952.TW-PreClose'</f>
        <v>28.8</v>
      </c>
      <c r="E354" t="str">
        <f>[1]!'4952.TW-SimulateTime'</f>
        <v>13:28:29</v>
      </c>
    </row>
    <row r="355" spans="1:5" x14ac:dyDescent="0.25">
      <c r="A355" t="str">
        <f>[1]!'4961.TW-ID'</f>
        <v>4961</v>
      </c>
      <c r="B355" t="str">
        <f>[1]!'4961.TW-Name'</f>
        <v>天鈺</v>
      </c>
      <c r="C355">
        <f>[1]!'4961.TW-SimulatePrice'</f>
        <v>26.3</v>
      </c>
      <c r="D355">
        <f>[1]!'4961.TW-PreClose'</f>
        <v>26.95</v>
      </c>
      <c r="E355" t="str">
        <f>[1]!'4961.TW-SimulateTime'</f>
        <v>13:29:28</v>
      </c>
    </row>
    <row r="356" spans="1:5" x14ac:dyDescent="0.25">
      <c r="A356" t="str">
        <f>[1]!'4967.TW-ID'</f>
        <v>4967</v>
      </c>
      <c r="B356" t="str">
        <f>[1]!'4967.TW-Name'</f>
        <v>十銓</v>
      </c>
      <c r="C356">
        <f>[1]!'4967.TW-SimulatePrice'</f>
        <v>37.85</v>
      </c>
      <c r="D356">
        <f>[1]!'4967.TW-PreClose'</f>
        <v>38.5</v>
      </c>
      <c r="E356" t="str">
        <f>[1]!'4967.TW-SimulateTime'</f>
        <v>13:29:54</v>
      </c>
    </row>
    <row r="357" spans="1:5" x14ac:dyDescent="0.25">
      <c r="A357" t="str">
        <f>[1]!'4968.TW-ID'</f>
        <v>4968</v>
      </c>
      <c r="B357" t="str">
        <f>[1]!'4968.TW-Name'</f>
        <v>立積</v>
      </c>
      <c r="C357">
        <f>[1]!'4968.TW-SimulatePrice'</f>
        <v>165</v>
      </c>
      <c r="D357">
        <f>[1]!'4968.TW-PreClose'</f>
        <v>166</v>
      </c>
      <c r="E357" t="str">
        <f>[1]!'4968.TW-SimulateTime'</f>
        <v>13:29:59</v>
      </c>
    </row>
    <row r="358" spans="1:5" x14ac:dyDescent="0.25">
      <c r="A358" t="str">
        <f>[1]!'5269.TW-ID'</f>
        <v>5269</v>
      </c>
      <c r="B358" t="str">
        <f>[1]!'5269.TW-Name'</f>
        <v>祥碩</v>
      </c>
      <c r="C358">
        <f>[1]!'5269.TW-SimulatePrice'</f>
        <v>1050</v>
      </c>
      <c r="D358">
        <f>[1]!'5269.TW-PreClose'</f>
        <v>956</v>
      </c>
      <c r="E358" t="str">
        <f>[1]!'5269.TW-SimulateTime'</f>
        <v>13:29:55</v>
      </c>
    </row>
    <row r="359" spans="1:5" x14ac:dyDescent="0.25">
      <c r="A359" t="str">
        <f>[1]!'5285.TW-ID'</f>
        <v>5285</v>
      </c>
      <c r="B359" t="str">
        <f>[1]!'5285.TW-Name'</f>
        <v>界霖</v>
      </c>
      <c r="C359">
        <f>[1]!'5285.TW-SimulatePrice'</f>
        <v>40.85</v>
      </c>
      <c r="D359">
        <f>[1]!'5285.TW-PreClose'</f>
        <v>41.9</v>
      </c>
      <c r="E359" t="str">
        <f>[1]!'5285.TW-SimulateTime'</f>
        <v>13:29:58</v>
      </c>
    </row>
    <row r="360" spans="1:5" x14ac:dyDescent="0.25">
      <c r="A360" t="str">
        <f>[1]!'5305.TW-ID'</f>
        <v>5305</v>
      </c>
      <c r="B360" t="str">
        <f>[1]!'5305.TW-Name'</f>
        <v>敦南</v>
      </c>
      <c r="C360">
        <f>[1]!'5305.TW-SimulatePrice'</f>
        <v>41.45</v>
      </c>
      <c r="D360">
        <f>[1]!'5305.TW-PreClose'</f>
        <v>41.35</v>
      </c>
      <c r="E360" t="str">
        <f>[1]!'5305.TW-SimulateTime'</f>
        <v>13:29:44</v>
      </c>
    </row>
    <row r="361" spans="1:5" x14ac:dyDescent="0.25">
      <c r="A361" t="str">
        <f>[1]!'5471.TW-ID'</f>
        <v>5471</v>
      </c>
      <c r="B361" t="str">
        <f>[1]!'5471.TW-Name'</f>
        <v>松翰</v>
      </c>
      <c r="C361">
        <f>[1]!'5471.TW-SimulatePrice'</f>
        <v>57.5</v>
      </c>
      <c r="D361">
        <f>[1]!'5471.TW-PreClose'</f>
        <v>59.8</v>
      </c>
      <c r="E361" t="str">
        <f>[1]!'5471.TW-SimulateTime'</f>
        <v>13:29:57</v>
      </c>
    </row>
    <row r="362" spans="1:5" x14ac:dyDescent="0.25">
      <c r="A362" t="str">
        <f>[1]!'6202.TW-ID'</f>
        <v>6202</v>
      </c>
      <c r="B362" t="str">
        <f>[1]!'6202.TW-Name'</f>
        <v>盛群</v>
      </c>
      <c r="C362">
        <f>[1]!'6202.TW-SimulatePrice'</f>
        <v>64.2</v>
      </c>
      <c r="D362">
        <f>[1]!'6202.TW-PreClose'</f>
        <v>65</v>
      </c>
      <c r="E362" t="str">
        <f>[1]!'6202.TW-SimulateTime'</f>
        <v>13:29:59</v>
      </c>
    </row>
    <row r="363" spans="1:5" x14ac:dyDescent="0.25">
      <c r="A363" t="str">
        <f>[1]!'6239.TW-ID'</f>
        <v>6239</v>
      </c>
      <c r="B363" t="str">
        <f>[1]!'6239.TW-Name'</f>
        <v>力成</v>
      </c>
      <c r="C363">
        <f>[1]!'6239.TW-SimulatePrice'</f>
        <v>102.5</v>
      </c>
      <c r="D363">
        <f>[1]!'6239.TW-PreClose'</f>
        <v>104</v>
      </c>
      <c r="E363" t="str">
        <f>[1]!'6239.TW-SimulateTime'</f>
        <v>13:29:57</v>
      </c>
    </row>
    <row r="364" spans="1:5" x14ac:dyDescent="0.25">
      <c r="A364" t="str">
        <f>[1]!'6243.TW-ID'</f>
        <v>6243</v>
      </c>
      <c r="B364" t="str">
        <f>[1]!'6243.TW-Name'</f>
        <v>迅杰</v>
      </c>
      <c r="C364">
        <f>[1]!'6243.TW-SimulatePrice'</f>
        <v>9.18</v>
      </c>
      <c r="D364">
        <f>[1]!'6243.TW-PreClose'</f>
        <v>9.14</v>
      </c>
      <c r="E364" t="str">
        <f>[1]!'6243.TW-SimulateTime'</f>
        <v>13:27:47</v>
      </c>
    </row>
    <row r="365" spans="1:5" x14ac:dyDescent="0.25">
      <c r="A365" t="str">
        <f>[1]!'6257.TW-ID'</f>
        <v>6257</v>
      </c>
      <c r="B365" t="str">
        <f>[1]!'6257.TW-Name'</f>
        <v>矽格</v>
      </c>
      <c r="C365">
        <f>[1]!'6257.TW-SimulatePrice'</f>
        <v>37.200000000000003</v>
      </c>
      <c r="D365">
        <f>[1]!'6257.TW-PreClose'</f>
        <v>37.4</v>
      </c>
      <c r="E365" t="str">
        <f>[1]!'6257.TW-SimulateTime'</f>
        <v>13:29:59</v>
      </c>
    </row>
    <row r="366" spans="1:5" x14ac:dyDescent="0.25">
      <c r="A366" t="str">
        <f>[1]!'6271.TW-ID'</f>
        <v>6271</v>
      </c>
      <c r="B366" t="str">
        <f>[1]!'6271.TW-Name'</f>
        <v>同欣電</v>
      </c>
      <c r="C366">
        <f>[1]!'6271.TW-SimulatePrice'</f>
        <v>135.5</v>
      </c>
      <c r="D366">
        <f>[1]!'6271.TW-PreClose'</f>
        <v>131</v>
      </c>
      <c r="E366" t="str">
        <f>[1]!'6271.TW-SimulateTime'</f>
        <v>13:29:56</v>
      </c>
    </row>
    <row r="367" spans="1:5" x14ac:dyDescent="0.25">
      <c r="A367" t="str">
        <f>[1]!'6415.TW-ID'</f>
        <v>6415</v>
      </c>
      <c r="B367" t="str">
        <f>[1]!'6415.TW-Name'</f>
        <v>矽力-KY</v>
      </c>
      <c r="C367">
        <f>[1]!'6415.TW-SimulatePrice'</f>
        <v>1470</v>
      </c>
      <c r="D367">
        <f>[1]!'6415.TW-PreClose'</f>
        <v>1370</v>
      </c>
      <c r="E367" t="str">
        <f>[1]!'6415.TW-SimulateTime'</f>
        <v>13:29:56</v>
      </c>
    </row>
    <row r="368" spans="1:5" x14ac:dyDescent="0.25">
      <c r="A368" t="str">
        <f>[1]!'6451.TW-ID'</f>
        <v>6451</v>
      </c>
      <c r="B368" t="str">
        <f>[1]!'6451.TW-Name'</f>
        <v>訊芯-KY</v>
      </c>
      <c r="C368">
        <f>[1]!'6451.TW-SimulatePrice'</f>
        <v>104</v>
      </c>
      <c r="D368">
        <f>[1]!'6451.TW-PreClose'</f>
        <v>103</v>
      </c>
      <c r="E368" t="str">
        <f>[1]!'6451.TW-SimulateTime'</f>
        <v>13:29:53</v>
      </c>
    </row>
    <row r="369" spans="1:5" x14ac:dyDescent="0.25">
      <c r="A369" t="str">
        <f>[1]!'6525.TW-ID'</f>
        <v>6525</v>
      </c>
      <c r="B369" t="str">
        <f>[1]!'6525.TW-Name'</f>
        <v>捷敏-KY</v>
      </c>
      <c r="C369">
        <f>[1]!'6525.TW-SimulatePrice'</f>
        <v>58.7</v>
      </c>
      <c r="D369">
        <f>[1]!'6525.TW-PreClose'</f>
        <v>59.2</v>
      </c>
      <c r="E369" t="str">
        <f>[1]!'6525.TW-SimulateTime'</f>
        <v>13:29:31</v>
      </c>
    </row>
    <row r="370" spans="1:5" x14ac:dyDescent="0.25">
      <c r="A370" t="str">
        <f>[1]!'6531.TW-ID'</f>
        <v>6531</v>
      </c>
      <c r="B370" t="str">
        <f>[1]!'6531.TW-Name'</f>
        <v>愛普</v>
      </c>
      <c r="C370" t="str">
        <f>[1]!'6531.TW-SimulatePrice'</f>
        <v>--</v>
      </c>
      <c r="D370">
        <f>[1]!'6531.TW-PreClose'</f>
        <v>226</v>
      </c>
      <c r="E370" t="str">
        <f>[1]!'6531.TW-SimulateTime'</f>
        <v>--</v>
      </c>
    </row>
    <row r="371" spans="1:5" x14ac:dyDescent="0.25">
      <c r="A371" t="str">
        <f>[1]!'6533.TW-ID'</f>
        <v>6533</v>
      </c>
      <c r="B371" t="str">
        <f>[1]!'6533.TW-Name'</f>
        <v>晶心科</v>
      </c>
      <c r="C371">
        <f>[1]!'6533.TW-SimulatePrice'</f>
        <v>101.5</v>
      </c>
      <c r="D371">
        <f>[1]!'6533.TW-PreClose'</f>
        <v>103</v>
      </c>
      <c r="E371" t="str">
        <f>[1]!'6533.TW-SimulateTime'</f>
        <v>13:29:59</v>
      </c>
    </row>
    <row r="372" spans="1:5" x14ac:dyDescent="0.25">
      <c r="A372" t="str">
        <f>[1]!'6552.TW-ID'</f>
        <v>6552</v>
      </c>
      <c r="B372" t="str">
        <f>[1]!'6552.TW-Name'</f>
        <v>易華電</v>
      </c>
      <c r="C372">
        <f>[1]!'6552.TW-SimulatePrice'</f>
        <v>59.5</v>
      </c>
      <c r="D372">
        <f>[1]!'6552.TW-PreClose'</f>
        <v>58.4</v>
      </c>
      <c r="E372" t="str">
        <f>[1]!'6552.TW-SimulateTime'</f>
        <v>13:29:56</v>
      </c>
    </row>
    <row r="373" spans="1:5" x14ac:dyDescent="0.25">
      <c r="A373" t="str">
        <f>[1]!'6573.TW-ID'</f>
        <v>6573</v>
      </c>
      <c r="B373" t="str">
        <f>[1]!'6573.TW-Name'</f>
        <v>虹揚-KY</v>
      </c>
      <c r="C373">
        <f>[1]!'6573.TW-SimulatePrice'</f>
        <v>18.100000000000001</v>
      </c>
      <c r="D373">
        <f>[1]!'6573.TW-PreClose'</f>
        <v>18.2</v>
      </c>
      <c r="E373" t="str">
        <f>[1]!'6573.TW-SimulateTime'</f>
        <v>13:29:29</v>
      </c>
    </row>
    <row r="374" spans="1:5" x14ac:dyDescent="0.25">
      <c r="A374" t="str">
        <f>[1]!'8016.TW-ID'</f>
        <v>8016</v>
      </c>
      <c r="B374" t="str">
        <f>[1]!'8016.TW-Name'</f>
        <v>矽創</v>
      </c>
      <c r="C374">
        <f>[1]!'8016.TW-SimulatePrice'</f>
        <v>142</v>
      </c>
      <c r="D374">
        <f>[1]!'8016.TW-PreClose'</f>
        <v>143</v>
      </c>
      <c r="E374" t="str">
        <f>[1]!'8016.TW-SimulateTime'</f>
        <v>13:29:59</v>
      </c>
    </row>
    <row r="375" spans="1:5" x14ac:dyDescent="0.25">
      <c r="A375" t="str">
        <f>[1]!'8028.TW-ID'</f>
        <v>8028</v>
      </c>
      <c r="B375" t="str">
        <f>[1]!'8028.TW-Name'</f>
        <v>昇陽半導體</v>
      </c>
      <c r="C375">
        <f>[1]!'8028.TW-SimulatePrice'</f>
        <v>47.75</v>
      </c>
      <c r="D375">
        <f>[1]!'8028.TW-PreClose'</f>
        <v>48.85</v>
      </c>
      <c r="E375" t="str">
        <f>[1]!'8028.TW-SimulateTime'</f>
        <v>13:29:56</v>
      </c>
    </row>
    <row r="376" spans="1:5" x14ac:dyDescent="0.25">
      <c r="A376" t="str">
        <f>[1]!'8081.TW-ID'</f>
        <v>8081</v>
      </c>
      <c r="B376" t="str">
        <f>[1]!'8081.TW-Name'</f>
        <v>致新</v>
      </c>
      <c r="C376">
        <f>[1]!'8081.TW-SimulatePrice'</f>
        <v>139</v>
      </c>
      <c r="D376">
        <f>[1]!'8081.TW-PreClose'</f>
        <v>133.5</v>
      </c>
      <c r="E376" t="str">
        <f>[1]!'8081.TW-SimulateTime'</f>
        <v>13:29:58</v>
      </c>
    </row>
    <row r="377" spans="1:5" x14ac:dyDescent="0.25">
      <c r="A377" t="str">
        <f>[1]!'8110.TW-ID'</f>
        <v>8110</v>
      </c>
      <c r="B377" t="str">
        <f>[1]!'8110.TW-Name'</f>
        <v>華東</v>
      </c>
      <c r="C377">
        <f>[1]!'8110.TW-SimulatePrice'</f>
        <v>9.9</v>
      </c>
      <c r="D377">
        <f>[1]!'8110.TW-PreClose'</f>
        <v>10.15</v>
      </c>
      <c r="E377" t="str">
        <f>[1]!'8110.TW-SimulateTime'</f>
        <v>13:29:58</v>
      </c>
    </row>
    <row r="378" spans="1:5" x14ac:dyDescent="0.25">
      <c r="A378" t="str">
        <f>[1]!'8131.TW-ID'</f>
        <v>8131</v>
      </c>
      <c r="B378" t="str">
        <f>[1]!'8131.TW-Name'</f>
        <v>福懋科</v>
      </c>
      <c r="C378">
        <f>[1]!'8131.TW-SimulatePrice'</f>
        <v>37.299999999999997</v>
      </c>
      <c r="D378">
        <f>[1]!'8131.TW-PreClose'</f>
        <v>37.200000000000003</v>
      </c>
      <c r="E378" t="str">
        <f>[1]!'8131.TW-SimulateTime'</f>
        <v>13:29:57</v>
      </c>
    </row>
    <row r="379" spans="1:5" x14ac:dyDescent="0.25">
      <c r="A379" t="str">
        <f>[1]!'8150.TW-ID'</f>
        <v>8150</v>
      </c>
      <c r="B379" t="str">
        <f>[1]!'8150.TW-Name'</f>
        <v>南茂</v>
      </c>
      <c r="C379">
        <f>[1]!'8150.TW-SimulatePrice'</f>
        <v>30.8</v>
      </c>
      <c r="D379">
        <f>[1]!'8150.TW-PreClose'</f>
        <v>31.15</v>
      </c>
      <c r="E379" t="str">
        <f>[1]!'8150.TW-SimulateTime'</f>
        <v>13:29:56</v>
      </c>
    </row>
    <row r="380" spans="1:5" x14ac:dyDescent="0.25">
      <c r="A380" t="str">
        <f>[1]!'8261.TW-ID'</f>
        <v>8261</v>
      </c>
      <c r="B380" t="str">
        <f>[1]!'8261.TW-Name'</f>
        <v>富鼎</v>
      </c>
      <c r="C380">
        <f>[1]!'8261.TW-SimulatePrice'</f>
        <v>24.3</v>
      </c>
      <c r="D380">
        <f>[1]!'8261.TW-PreClose'</f>
        <v>24.7</v>
      </c>
      <c r="E380" t="str">
        <f>[1]!'8261.TW-SimulateTime'</f>
        <v>13:29:39</v>
      </c>
    </row>
    <row r="381" spans="1:5" x14ac:dyDescent="0.25">
      <c r="A381" t="str">
        <f>[1]!'8271.TW-ID'</f>
        <v>8271</v>
      </c>
      <c r="B381" t="str">
        <f>[1]!'8271.TW-Name'</f>
        <v>宇瞻</v>
      </c>
      <c r="C381">
        <f>[1]!'8271.TW-SimulatePrice'</f>
        <v>47.95</v>
      </c>
      <c r="D381">
        <f>[1]!'8271.TW-PreClose'</f>
        <v>47.4</v>
      </c>
      <c r="E381" t="str">
        <f>[1]!'8271.TW-SimulateTime'</f>
        <v>13:29:50</v>
      </c>
    </row>
    <row r="382" spans="1:5" x14ac:dyDescent="0.25">
      <c r="A382" t="str">
        <f>[1]!'2301.TW-ID'</f>
        <v>2301</v>
      </c>
      <c r="B382" t="str">
        <f>[1]!'2301.TW-Name'</f>
        <v>光寶科</v>
      </c>
      <c r="C382">
        <f>[1]!'2301.TW-SimulatePrice'</f>
        <v>46.1</v>
      </c>
      <c r="D382">
        <f>[1]!'2301.TW-PreClose'</f>
        <v>46.85</v>
      </c>
      <c r="E382" t="str">
        <f>[1]!'2301.TW-SimulateTime'</f>
        <v>13:29:57</v>
      </c>
    </row>
    <row r="383" spans="1:5" x14ac:dyDescent="0.25">
      <c r="A383" t="str">
        <f>[1]!'2305.TW-ID'</f>
        <v>2305</v>
      </c>
      <c r="B383" t="str">
        <f>[1]!'2305.TW-Name'</f>
        <v>全友</v>
      </c>
      <c r="C383">
        <f>[1]!'2305.TW-SimulatePrice'</f>
        <v>5.27</v>
      </c>
      <c r="D383">
        <f>[1]!'2305.TW-PreClose'</f>
        <v>5.36</v>
      </c>
      <c r="E383" t="str">
        <f>[1]!'2305.TW-SimulateTime'</f>
        <v>13:29:56</v>
      </c>
    </row>
    <row r="384" spans="1:5" x14ac:dyDescent="0.25">
      <c r="A384" t="str">
        <f>[1]!'2324.TW-ID'</f>
        <v>2324</v>
      </c>
      <c r="B384" t="str">
        <f>[1]!'2324.TW-Name'</f>
        <v>仁寶</v>
      </c>
      <c r="C384">
        <f>[1]!'2324.TW-SimulatePrice'</f>
        <v>18.45</v>
      </c>
      <c r="D384">
        <f>[1]!'2324.TW-PreClose'</f>
        <v>18.600000000000001</v>
      </c>
      <c r="E384" t="str">
        <f>[1]!'2324.TW-SimulateTime'</f>
        <v>13:29:56</v>
      </c>
    </row>
    <row r="385" spans="1:5" x14ac:dyDescent="0.25">
      <c r="A385" t="str">
        <f>[1]!'2331.TW-ID'</f>
        <v>2331</v>
      </c>
      <c r="B385" t="str">
        <f>[1]!'2331.TW-Name'</f>
        <v>精英</v>
      </c>
      <c r="C385">
        <f>[1]!'2331.TW-SimulatePrice'</f>
        <v>11.3</v>
      </c>
      <c r="D385">
        <f>[1]!'2331.TW-PreClose'</f>
        <v>11.3</v>
      </c>
      <c r="E385" t="str">
        <f>[1]!'2331.TW-SimulateTime'</f>
        <v>13:29:57</v>
      </c>
    </row>
    <row r="386" spans="1:5" x14ac:dyDescent="0.25">
      <c r="A386" t="str">
        <f>[1]!'2352.TW-ID'</f>
        <v>2352</v>
      </c>
      <c r="B386" t="str">
        <f>[1]!'2352.TW-Name'</f>
        <v>佳世達</v>
      </c>
      <c r="C386">
        <f>[1]!'2352.TW-SimulatePrice'</f>
        <v>16.25</v>
      </c>
      <c r="D386">
        <f>[1]!'2352.TW-PreClose'</f>
        <v>16.2</v>
      </c>
      <c r="E386" t="str">
        <f>[1]!'2352.TW-SimulateTime'</f>
        <v>13:29:48</v>
      </c>
    </row>
    <row r="387" spans="1:5" x14ac:dyDescent="0.25">
      <c r="A387" t="str">
        <f>[1]!'2353.TW-ID'</f>
        <v>2353</v>
      </c>
      <c r="B387" t="str">
        <f>[1]!'2353.TW-Name'</f>
        <v>宏碁</v>
      </c>
      <c r="C387">
        <f>[1]!'2353.TW-SimulatePrice'</f>
        <v>16.25</v>
      </c>
      <c r="D387">
        <f>[1]!'2353.TW-PreClose'</f>
        <v>16.149999999999999</v>
      </c>
      <c r="E387" t="str">
        <f>[1]!'2353.TW-SimulateTime'</f>
        <v>13:29:57</v>
      </c>
    </row>
    <row r="388" spans="1:5" x14ac:dyDescent="0.25">
      <c r="A388" t="str">
        <f>[1]!'2356.TW-ID'</f>
        <v>2356</v>
      </c>
      <c r="B388" t="str">
        <f>[1]!'2356.TW-Name'</f>
        <v>英業達</v>
      </c>
      <c r="C388">
        <f>[1]!'2356.TW-SimulatePrice'</f>
        <v>23.65</v>
      </c>
      <c r="D388">
        <f>[1]!'2356.TW-PreClose'</f>
        <v>23.55</v>
      </c>
      <c r="E388" t="str">
        <f>[1]!'2356.TW-SimulateTime'</f>
        <v>13:29:55</v>
      </c>
    </row>
    <row r="389" spans="1:5" x14ac:dyDescent="0.25">
      <c r="A389" t="str">
        <f>[1]!'2357.TW-ID'</f>
        <v>2357</v>
      </c>
      <c r="B389" t="str">
        <f>[1]!'2357.TW-Name'</f>
        <v>華碩</v>
      </c>
      <c r="C389">
        <f>[1]!'2357.TW-SimulatePrice'</f>
        <v>207</v>
      </c>
      <c r="D389">
        <f>[1]!'2357.TW-PreClose'</f>
        <v>208</v>
      </c>
      <c r="E389" t="str">
        <f>[1]!'2357.TW-SimulateTime'</f>
        <v>13:29:59</v>
      </c>
    </row>
    <row r="390" spans="1:5" x14ac:dyDescent="0.25">
      <c r="A390" t="str">
        <f>[1]!'2362.TW-ID'</f>
        <v>2362</v>
      </c>
      <c r="B390" t="str">
        <f>[1]!'2362.TW-Name'</f>
        <v>藍天</v>
      </c>
      <c r="C390">
        <f>[1]!'2362.TW-SimulatePrice'</f>
        <v>29.75</v>
      </c>
      <c r="D390">
        <f>[1]!'2362.TW-PreClose'</f>
        <v>29.8</v>
      </c>
      <c r="E390" t="str">
        <f>[1]!'2362.TW-SimulateTime'</f>
        <v>13:29:56</v>
      </c>
    </row>
    <row r="391" spans="1:5" x14ac:dyDescent="0.25">
      <c r="A391" t="str">
        <f>[1]!'2364.TW-ID'</f>
        <v>2364</v>
      </c>
      <c r="B391" t="str">
        <f>[1]!'2364.TW-Name'</f>
        <v>倫飛</v>
      </c>
      <c r="C391" t="str">
        <f>[1]!'2364.TW-SimulatePrice'</f>
        <v>--</v>
      </c>
      <c r="D391">
        <f>[1]!'2364.TW-PreClose'</f>
        <v>2.11</v>
      </c>
      <c r="E391" t="str">
        <f>[1]!'2364.TW-SimulateTime'</f>
        <v>--</v>
      </c>
    </row>
    <row r="392" spans="1:5" x14ac:dyDescent="0.25">
      <c r="A392" t="str">
        <f>[1]!'2365.TW-ID'</f>
        <v>2365</v>
      </c>
      <c r="B392" t="str">
        <f>[1]!'2365.TW-Name'</f>
        <v>昆盈</v>
      </c>
      <c r="C392">
        <f>[1]!'2365.TW-SimulatePrice'</f>
        <v>7.94</v>
      </c>
      <c r="D392">
        <f>[1]!'2365.TW-PreClose'</f>
        <v>7.83</v>
      </c>
      <c r="E392" t="str">
        <f>[1]!'2365.TW-SimulateTime'</f>
        <v>13:29:58</v>
      </c>
    </row>
    <row r="393" spans="1:5" x14ac:dyDescent="0.25">
      <c r="A393" t="str">
        <f>[1]!'2376.TW-ID'</f>
        <v>2376</v>
      </c>
      <c r="B393" t="str">
        <f>[1]!'2376.TW-Name'</f>
        <v>技嘉</v>
      </c>
      <c r="C393">
        <f>[1]!'2376.TW-SimulatePrice'</f>
        <v>62.4</v>
      </c>
      <c r="D393">
        <f>[1]!'2376.TW-PreClose'</f>
        <v>58.9</v>
      </c>
      <c r="E393" t="str">
        <f>[1]!'2376.TW-SimulateTime'</f>
        <v>13:29:58</v>
      </c>
    </row>
    <row r="394" spans="1:5" x14ac:dyDescent="0.25">
      <c r="A394" t="str">
        <f>[1]!'2377.TW-ID'</f>
        <v>2377</v>
      </c>
      <c r="B394" t="str">
        <f>[1]!'2377.TW-Name'</f>
        <v>微星</v>
      </c>
      <c r="C394">
        <f>[1]!'2377.TW-SimulatePrice'</f>
        <v>103.5</v>
      </c>
      <c r="D394">
        <f>[1]!'2377.TW-PreClose'</f>
        <v>102.5</v>
      </c>
      <c r="E394" t="str">
        <f>[1]!'2377.TW-SimulateTime'</f>
        <v>13:29:55</v>
      </c>
    </row>
    <row r="395" spans="1:5" x14ac:dyDescent="0.25">
      <c r="A395" t="str">
        <f>[1]!'2380.TW-ID'</f>
        <v>2380</v>
      </c>
      <c r="B395" t="str">
        <f>[1]!'2380.TW-Name'</f>
        <v>虹光</v>
      </c>
      <c r="C395">
        <f>[1]!'2380.TW-SimulatePrice'</f>
        <v>3.64</v>
      </c>
      <c r="D395">
        <f>[1]!'2380.TW-PreClose'</f>
        <v>3.7</v>
      </c>
      <c r="E395" t="str">
        <f>[1]!'2380.TW-SimulateTime'</f>
        <v>13:29:59</v>
      </c>
    </row>
    <row r="396" spans="1:5" x14ac:dyDescent="0.25">
      <c r="A396" t="str">
        <f>[1]!'2382.TW-ID'</f>
        <v>2382</v>
      </c>
      <c r="B396" t="str">
        <f>[1]!'2382.TW-Name'</f>
        <v>廣達</v>
      </c>
      <c r="C396">
        <f>[1]!'2382.TW-SimulatePrice'</f>
        <v>65.099999999999994</v>
      </c>
      <c r="D396">
        <f>[1]!'2382.TW-PreClose'</f>
        <v>65</v>
      </c>
      <c r="E396" t="str">
        <f>[1]!'2382.TW-SimulateTime'</f>
        <v>13:29:57</v>
      </c>
    </row>
    <row r="397" spans="1:5" x14ac:dyDescent="0.25">
      <c r="A397" t="str">
        <f>[1]!'2387.TW-ID'</f>
        <v>2387</v>
      </c>
      <c r="B397" t="str">
        <f>[1]!'2387.TW-Name'</f>
        <v>精元</v>
      </c>
      <c r="C397">
        <f>[1]!'2387.TW-SimulatePrice'</f>
        <v>28.85</v>
      </c>
      <c r="D397">
        <f>[1]!'2387.TW-PreClose'</f>
        <v>29.9</v>
      </c>
      <c r="E397" t="str">
        <f>[1]!'2387.TW-SimulateTime'</f>
        <v>13:29:56</v>
      </c>
    </row>
    <row r="398" spans="1:5" x14ac:dyDescent="0.25">
      <c r="A398" t="str">
        <f>[1]!'2395.TW-ID'</f>
        <v>2395</v>
      </c>
      <c r="B398" t="str">
        <f>[1]!'2395.TW-Name'</f>
        <v>研華</v>
      </c>
      <c r="C398">
        <f>[1]!'2395.TW-SimulatePrice'</f>
        <v>278</v>
      </c>
      <c r="D398">
        <f>[1]!'2395.TW-PreClose'</f>
        <v>283</v>
      </c>
      <c r="E398" t="str">
        <f>[1]!'2395.TW-SimulateTime'</f>
        <v>13:29:55</v>
      </c>
    </row>
    <row r="399" spans="1:5" x14ac:dyDescent="0.25">
      <c r="A399" t="str">
        <f>[1]!'2397.TW-ID'</f>
        <v>2397</v>
      </c>
      <c r="B399" t="str">
        <f>[1]!'2397.TW-Name'</f>
        <v>友通</v>
      </c>
      <c r="C399">
        <f>[1]!'2397.TW-SimulatePrice'</f>
        <v>75.3</v>
      </c>
      <c r="D399">
        <f>[1]!'2397.TW-PreClose'</f>
        <v>75.8</v>
      </c>
      <c r="E399" t="str">
        <f>[1]!'2397.TW-SimulateTime'</f>
        <v>13:28:53</v>
      </c>
    </row>
    <row r="400" spans="1:5" x14ac:dyDescent="0.25">
      <c r="A400" t="str">
        <f>[1]!'2399.TW-ID'</f>
        <v>2399</v>
      </c>
      <c r="B400" t="str">
        <f>[1]!'2399.TW-Name'</f>
        <v>映泰</v>
      </c>
      <c r="C400">
        <f>[1]!'2399.TW-SimulatePrice'</f>
        <v>9.6999999999999993</v>
      </c>
      <c r="D400">
        <f>[1]!'2399.TW-PreClose'</f>
        <v>9.81</v>
      </c>
      <c r="E400" t="str">
        <f>[1]!'2399.TW-SimulateTime'</f>
        <v>13:29:47</v>
      </c>
    </row>
    <row r="401" spans="1:5" x14ac:dyDescent="0.25">
      <c r="A401" t="str">
        <f>[1]!'2405.TW-ID'</f>
        <v>2405</v>
      </c>
      <c r="B401" t="str">
        <f>[1]!'2405.TW-Name'</f>
        <v>浩鑫</v>
      </c>
      <c r="C401">
        <f>[1]!'2405.TW-SimulatePrice'</f>
        <v>9.6199999999999992</v>
      </c>
      <c r="D401">
        <f>[1]!'2405.TW-PreClose'</f>
        <v>9.82</v>
      </c>
      <c r="E401" t="str">
        <f>[1]!'2405.TW-SimulateTime'</f>
        <v>13:29:54</v>
      </c>
    </row>
    <row r="402" spans="1:5" x14ac:dyDescent="0.25">
      <c r="A402" t="str">
        <f>[1]!'2417.TW-ID'</f>
        <v>2417</v>
      </c>
      <c r="B402" t="str">
        <f>[1]!'2417.TW-Name'</f>
        <v>圓剛</v>
      </c>
      <c r="C402">
        <f>[1]!'2417.TW-SimulatePrice'</f>
        <v>12.75</v>
      </c>
      <c r="D402">
        <f>[1]!'2417.TW-PreClose'</f>
        <v>12.8</v>
      </c>
      <c r="E402" t="str">
        <f>[1]!'2417.TW-SimulateTime'</f>
        <v>13:29:58</v>
      </c>
    </row>
    <row r="403" spans="1:5" x14ac:dyDescent="0.25">
      <c r="A403" t="str">
        <f>[1]!'2424.TW-ID'</f>
        <v>2424</v>
      </c>
      <c r="B403" t="str">
        <f>[1]!'2424.TW-Name'</f>
        <v>隴華</v>
      </c>
      <c r="C403" t="str">
        <f>[1]!'2424.TW-SimulatePrice'</f>
        <v>--</v>
      </c>
      <c r="D403">
        <f>[1]!'2424.TW-PreClose'</f>
        <v>17.649999999999999</v>
      </c>
      <c r="E403" t="str">
        <f>[1]!'2424.TW-SimulateTime'</f>
        <v>--</v>
      </c>
    </row>
    <row r="404" spans="1:5" x14ac:dyDescent="0.25">
      <c r="A404" t="str">
        <f>[1]!'2425.TW-ID'</f>
        <v>2425</v>
      </c>
      <c r="B404" t="str">
        <f>[1]!'2425.TW-Name'</f>
        <v>承啟</v>
      </c>
      <c r="C404">
        <f>[1]!'2425.TW-SimulatePrice'</f>
        <v>25.15</v>
      </c>
      <c r="D404">
        <f>[1]!'2425.TW-PreClose'</f>
        <v>25.15</v>
      </c>
      <c r="E404" t="str">
        <f>[1]!'2425.TW-SimulateTime'</f>
        <v>13:29:54</v>
      </c>
    </row>
    <row r="405" spans="1:5" x14ac:dyDescent="0.25">
      <c r="A405" t="str">
        <f>[1]!'2442.TW-ID'</f>
        <v>2442</v>
      </c>
      <c r="B405" t="str">
        <f>[1]!'2442.TW-Name'</f>
        <v>新美齊</v>
      </c>
      <c r="C405">
        <f>[1]!'2442.TW-SimulatePrice'</f>
        <v>7.67</v>
      </c>
      <c r="D405">
        <f>[1]!'2442.TW-PreClose'</f>
        <v>8.06</v>
      </c>
      <c r="E405" t="str">
        <f>[1]!'2442.TW-SimulateTime'</f>
        <v>13:29:52</v>
      </c>
    </row>
    <row r="406" spans="1:5" x14ac:dyDescent="0.25">
      <c r="A406" t="str">
        <f>[1]!'2465.TW-ID'</f>
        <v>2465</v>
      </c>
      <c r="B406" t="str">
        <f>[1]!'2465.TW-Name'</f>
        <v>麗臺</v>
      </c>
      <c r="C406">
        <f>[1]!'2465.TW-SimulatePrice'</f>
        <v>9.6999999999999993</v>
      </c>
      <c r="D406">
        <f>[1]!'2465.TW-PreClose'</f>
        <v>9.7200000000000006</v>
      </c>
      <c r="E406" t="str">
        <f>[1]!'2465.TW-SimulateTime'</f>
        <v>13:28:31</v>
      </c>
    </row>
    <row r="407" spans="1:5" x14ac:dyDescent="0.25">
      <c r="A407" t="str">
        <f>[1]!'3002.TW-ID'</f>
        <v>3002</v>
      </c>
      <c r="B407" t="str">
        <f>[1]!'3002.TW-Name'</f>
        <v>歐格</v>
      </c>
      <c r="C407">
        <f>[1]!'3002.TW-SimulatePrice'</f>
        <v>10.5</v>
      </c>
      <c r="D407">
        <f>[1]!'3002.TW-PreClose'</f>
        <v>10.85</v>
      </c>
      <c r="E407" t="str">
        <f>[1]!'3002.TW-SimulateTime'</f>
        <v>13:29:54</v>
      </c>
    </row>
    <row r="408" spans="1:5" x14ac:dyDescent="0.25">
      <c r="A408" t="str">
        <f>[1]!'3005.TW-ID'</f>
        <v>3005</v>
      </c>
      <c r="B408" t="str">
        <f>[1]!'3005.TW-Name'</f>
        <v>神基</v>
      </c>
      <c r="C408">
        <f>[1]!'3005.TW-SimulatePrice'</f>
        <v>45.15</v>
      </c>
      <c r="D408">
        <f>[1]!'3005.TW-PreClose'</f>
        <v>46.1</v>
      </c>
      <c r="E408" t="str">
        <f>[1]!'3005.TW-SimulateTime'</f>
        <v>13:29:59</v>
      </c>
    </row>
    <row r="409" spans="1:5" x14ac:dyDescent="0.25">
      <c r="A409" t="str">
        <f>[1]!'3013.TW-ID'</f>
        <v>3013</v>
      </c>
      <c r="B409" t="str">
        <f>[1]!'3013.TW-Name'</f>
        <v>晟銘電</v>
      </c>
      <c r="C409">
        <f>[1]!'3013.TW-SimulatePrice'</f>
        <v>12.45</v>
      </c>
      <c r="D409">
        <f>[1]!'3013.TW-PreClose'</f>
        <v>12.55</v>
      </c>
      <c r="E409" t="str">
        <f>[1]!'3013.TW-SimulateTime'</f>
        <v>13:29:56</v>
      </c>
    </row>
    <row r="410" spans="1:5" x14ac:dyDescent="0.25">
      <c r="A410" t="str">
        <f>[1]!'3017.TW-ID'</f>
        <v>3017</v>
      </c>
      <c r="B410" t="str">
        <f>[1]!'3017.TW-Name'</f>
        <v>奇鋐</v>
      </c>
      <c r="C410">
        <f>[1]!'3017.TW-SimulatePrice'</f>
        <v>38.4</v>
      </c>
      <c r="D410">
        <f>[1]!'3017.TW-PreClose'</f>
        <v>39.15</v>
      </c>
      <c r="E410" t="str">
        <f>[1]!'3017.TW-SimulateTime'</f>
        <v>13:29:55</v>
      </c>
    </row>
    <row r="411" spans="1:5" x14ac:dyDescent="0.25">
      <c r="A411" t="str">
        <f>[1]!'3022.TW-ID'</f>
        <v>3022</v>
      </c>
      <c r="B411" t="str">
        <f>[1]!'3022.TW-Name'</f>
        <v>威強電</v>
      </c>
      <c r="C411">
        <f>[1]!'3022.TW-SimulatePrice'</f>
        <v>40.1</v>
      </c>
      <c r="D411">
        <f>[1]!'3022.TW-PreClose'</f>
        <v>40.9</v>
      </c>
      <c r="E411" t="str">
        <f>[1]!'3022.TW-SimulateTime'</f>
        <v>13:29:59</v>
      </c>
    </row>
    <row r="412" spans="1:5" x14ac:dyDescent="0.25">
      <c r="A412" t="str">
        <f>[1]!'3046.TW-ID'</f>
        <v>3046</v>
      </c>
      <c r="B412" t="str">
        <f>[1]!'3046.TW-Name'</f>
        <v>建碁</v>
      </c>
      <c r="C412">
        <f>[1]!'3046.TW-SimulatePrice'</f>
        <v>12</v>
      </c>
      <c r="D412">
        <f>[1]!'3046.TW-PreClose'</f>
        <v>12</v>
      </c>
      <c r="E412" t="str">
        <f>[1]!'3046.TW-SimulateTime'</f>
        <v>13:29:03</v>
      </c>
    </row>
    <row r="413" spans="1:5" x14ac:dyDescent="0.25">
      <c r="A413" t="str">
        <f>[1]!'3057.TW-ID'</f>
        <v>3057</v>
      </c>
      <c r="B413" t="str">
        <f>[1]!'3057.TW-Name'</f>
        <v>喬鼎</v>
      </c>
      <c r="C413">
        <f>[1]!'3057.TW-SimulatePrice'</f>
        <v>4.55</v>
      </c>
      <c r="D413">
        <f>[1]!'3057.TW-PreClose'</f>
        <v>4.51</v>
      </c>
      <c r="E413" t="str">
        <f>[1]!'3057.TW-SimulateTime'</f>
        <v>13:29:50</v>
      </c>
    </row>
    <row r="414" spans="1:5" x14ac:dyDescent="0.25">
      <c r="A414" t="str">
        <f>[1]!'3060.TW-ID'</f>
        <v>3060</v>
      </c>
      <c r="B414" t="str">
        <f>[1]!'3060.TW-Name'</f>
        <v>銘異</v>
      </c>
      <c r="C414">
        <f>[1]!'3060.TW-SimulatePrice'</f>
        <v>12.9</v>
      </c>
      <c r="D414">
        <f>[1]!'3060.TW-PreClose'</f>
        <v>13.1</v>
      </c>
      <c r="E414" t="str">
        <f>[1]!'3060.TW-SimulateTime'</f>
        <v>13:29:53</v>
      </c>
    </row>
    <row r="415" spans="1:5" x14ac:dyDescent="0.25">
      <c r="A415" t="str">
        <f>[1]!'3231.TW-ID'</f>
        <v>3231</v>
      </c>
      <c r="B415" t="str">
        <f>[1]!'3231.TW-Name'</f>
        <v>緯創</v>
      </c>
      <c r="C415">
        <f>[1]!'3231.TW-SimulatePrice'</f>
        <v>28.15</v>
      </c>
      <c r="D415">
        <f>[1]!'3231.TW-PreClose'</f>
        <v>27.95</v>
      </c>
      <c r="E415" t="str">
        <f>[1]!'3231.TW-SimulateTime'</f>
        <v>13:29:55</v>
      </c>
    </row>
    <row r="416" spans="1:5" x14ac:dyDescent="0.25">
      <c r="A416" t="str">
        <f>[1]!'3416.TW-ID'</f>
        <v>3416</v>
      </c>
      <c r="B416" t="str">
        <f>[1]!'3416.TW-Name'</f>
        <v>融程電</v>
      </c>
      <c r="C416">
        <f>[1]!'3416.TW-SimulatePrice'</f>
        <v>53.6</v>
      </c>
      <c r="D416">
        <f>[1]!'3416.TW-PreClose'</f>
        <v>52.9</v>
      </c>
      <c r="E416" t="str">
        <f>[1]!'3416.TW-SimulateTime'</f>
        <v>13:29:55</v>
      </c>
    </row>
    <row r="417" spans="1:5" x14ac:dyDescent="0.25">
      <c r="A417" t="str">
        <f>[1]!'3494.TW-ID'</f>
        <v>3494</v>
      </c>
      <c r="B417" t="str">
        <f>[1]!'3494.TW-Name'</f>
        <v>誠研</v>
      </c>
      <c r="C417">
        <f>[1]!'3494.TW-SimulatePrice'</f>
        <v>3.46</v>
      </c>
      <c r="D417">
        <f>[1]!'3494.TW-PreClose'</f>
        <v>3.56</v>
      </c>
      <c r="E417" t="str">
        <f>[1]!'3494.TW-SimulateTime'</f>
        <v>13:29:26</v>
      </c>
    </row>
    <row r="418" spans="1:5" x14ac:dyDescent="0.25">
      <c r="A418" t="str">
        <f>[1]!'3515.TW-ID'</f>
        <v>3515</v>
      </c>
      <c r="B418" t="str">
        <f>[1]!'3515.TW-Name'</f>
        <v>華擎</v>
      </c>
      <c r="C418">
        <f>[1]!'3515.TW-SimulatePrice'</f>
        <v>128.5</v>
      </c>
      <c r="D418">
        <f>[1]!'3515.TW-PreClose'</f>
        <v>128</v>
      </c>
      <c r="E418" t="str">
        <f>[1]!'3515.TW-SimulateTime'</f>
        <v>13:29:59</v>
      </c>
    </row>
    <row r="419" spans="1:5" x14ac:dyDescent="0.25">
      <c r="A419" t="str">
        <f>[1]!'3701.TW-ID'</f>
        <v>3701</v>
      </c>
      <c r="B419" t="str">
        <f>[1]!'3701.TW-Name'</f>
        <v>大眾控</v>
      </c>
      <c r="C419" t="str">
        <f>[1]!'3701.TW-SimulatePrice'</f>
        <v>--</v>
      </c>
      <c r="D419">
        <f>[1]!'3701.TW-PreClose'</f>
        <v>13.75</v>
      </c>
      <c r="E419" t="str">
        <f>[1]!'3701.TW-SimulateTime'</f>
        <v>--</v>
      </c>
    </row>
    <row r="420" spans="1:5" x14ac:dyDescent="0.25">
      <c r="A420" t="str">
        <f>[1]!'3706.TW-ID'</f>
        <v>3706</v>
      </c>
      <c r="B420" t="str">
        <f>[1]!'3706.TW-Name'</f>
        <v>神達</v>
      </c>
      <c r="C420">
        <f>[1]!'3706.TW-SimulatePrice'</f>
        <v>29.8</v>
      </c>
      <c r="D420">
        <f>[1]!'3706.TW-PreClose'</f>
        <v>30.1</v>
      </c>
      <c r="E420" t="str">
        <f>[1]!'3706.TW-SimulateTime'</f>
        <v>13:29:56</v>
      </c>
    </row>
    <row r="421" spans="1:5" x14ac:dyDescent="0.25">
      <c r="A421" t="str">
        <f>[1]!'3712.TW-ID'</f>
        <v>3712</v>
      </c>
      <c r="B421" t="str">
        <f>[1]!'3712.TW-Name'</f>
        <v>永崴投控</v>
      </c>
      <c r="C421">
        <f>[1]!'3712.TW-SimulatePrice'</f>
        <v>13.7</v>
      </c>
      <c r="D421">
        <f>[1]!'3712.TW-PreClose'</f>
        <v>13.6</v>
      </c>
      <c r="E421" t="str">
        <f>[1]!'3712.TW-SimulateTime'</f>
        <v>13:28:36</v>
      </c>
    </row>
    <row r="422" spans="1:5" x14ac:dyDescent="0.25">
      <c r="A422" t="str">
        <f>[1]!'4916.TW-ID'</f>
        <v>4916</v>
      </c>
      <c r="B422" t="str">
        <f>[1]!'4916.TW-Name'</f>
        <v>事欣科</v>
      </c>
      <c r="C422">
        <f>[1]!'4916.TW-SimulatePrice'</f>
        <v>26.3</v>
      </c>
      <c r="D422">
        <f>[1]!'4916.TW-PreClose'</f>
        <v>26.5</v>
      </c>
      <c r="E422" t="str">
        <f>[1]!'4916.TW-SimulateTime'</f>
        <v>13:29:37</v>
      </c>
    </row>
    <row r="423" spans="1:5" x14ac:dyDescent="0.25">
      <c r="A423" t="str">
        <f>[1]!'4938.TW-ID'</f>
        <v>4938</v>
      </c>
      <c r="B423" t="str">
        <f>[1]!'4938.TW-Name'</f>
        <v>和碩</v>
      </c>
      <c r="C423">
        <f>[1]!'4938.TW-SimulatePrice'</f>
        <v>62.6</v>
      </c>
      <c r="D423">
        <f>[1]!'4938.TW-PreClose'</f>
        <v>66</v>
      </c>
      <c r="E423" t="str">
        <f>[1]!'4938.TW-SimulateTime'</f>
        <v>13:29:58</v>
      </c>
    </row>
    <row r="424" spans="1:5" x14ac:dyDescent="0.25">
      <c r="A424" t="str">
        <f>[1]!'5215.TW-ID'</f>
        <v>5215</v>
      </c>
      <c r="B424" t="str">
        <f>[1]!'5215.TW-Name'</f>
        <v>科嘉-KY</v>
      </c>
      <c r="C424">
        <f>[1]!'5215.TW-SimulatePrice'</f>
        <v>72</v>
      </c>
      <c r="D424">
        <f>[1]!'5215.TW-PreClose'</f>
        <v>69.8</v>
      </c>
      <c r="E424" t="str">
        <f>[1]!'5215.TW-SimulateTime'</f>
        <v>13:29:53</v>
      </c>
    </row>
    <row r="425" spans="1:5" x14ac:dyDescent="0.25">
      <c r="A425" t="str">
        <f>[1]!'5258.TW-ID'</f>
        <v>5258</v>
      </c>
      <c r="B425" t="str">
        <f>[1]!'5258.TW-Name'</f>
        <v>虹堡</v>
      </c>
      <c r="C425">
        <f>[1]!'5258.TW-SimulatePrice'</f>
        <v>23.8</v>
      </c>
      <c r="D425">
        <f>[1]!'5258.TW-PreClose'</f>
        <v>24.55</v>
      </c>
      <c r="E425" t="str">
        <f>[1]!'5258.TW-SimulateTime'</f>
        <v>13:29:43</v>
      </c>
    </row>
    <row r="426" spans="1:5" x14ac:dyDescent="0.25">
      <c r="A426" t="str">
        <f>[1]!'5264.TW-ID'</f>
        <v>5264</v>
      </c>
      <c r="B426" t="str">
        <f>[1]!'5264.TW-Name'</f>
        <v>鎧勝-KY</v>
      </c>
      <c r="C426">
        <f>[1]!'5264.TW-SimulatePrice'</f>
        <v>42.4</v>
      </c>
      <c r="D426">
        <f>[1]!'5264.TW-PreClose'</f>
        <v>42.6</v>
      </c>
      <c r="E426" t="str">
        <f>[1]!'5264.TW-SimulateTime'</f>
        <v>13:29:30</v>
      </c>
    </row>
    <row r="427" spans="1:5" x14ac:dyDescent="0.25">
      <c r="A427" t="str">
        <f>[1]!'6117.TW-ID'</f>
        <v>6117</v>
      </c>
      <c r="B427" t="str">
        <f>[1]!'6117.TW-Name'</f>
        <v>迎廣</v>
      </c>
      <c r="C427" t="str">
        <f>[1]!'6117.TW-SimulatePrice'</f>
        <v>--</v>
      </c>
      <c r="D427">
        <f>[1]!'6117.TW-PreClose'</f>
        <v>15.8</v>
      </c>
      <c r="E427" t="str">
        <f>[1]!'6117.TW-SimulateTime'</f>
        <v>--</v>
      </c>
    </row>
    <row r="428" spans="1:5" x14ac:dyDescent="0.25">
      <c r="A428" t="str">
        <f>[1]!'6128.TW-ID'</f>
        <v>6128</v>
      </c>
      <c r="B428" t="str">
        <f>[1]!'6128.TW-Name'</f>
        <v>上福</v>
      </c>
      <c r="C428">
        <f>[1]!'6128.TW-SimulatePrice'</f>
        <v>28.5</v>
      </c>
      <c r="D428">
        <f>[1]!'6128.TW-PreClose'</f>
        <v>28.6</v>
      </c>
      <c r="E428" t="str">
        <f>[1]!'6128.TW-SimulateTime'</f>
        <v>13:28:35</v>
      </c>
    </row>
    <row r="429" spans="1:5" x14ac:dyDescent="0.25">
      <c r="A429" t="str">
        <f>[1]!'6166.TW-ID'</f>
        <v>6166</v>
      </c>
      <c r="B429" t="str">
        <f>[1]!'6166.TW-Name'</f>
        <v>凌華</v>
      </c>
      <c r="C429">
        <f>[1]!'6166.TW-SimulatePrice'</f>
        <v>65.5</v>
      </c>
      <c r="D429">
        <f>[1]!'6166.TW-PreClose'</f>
        <v>65.5</v>
      </c>
      <c r="E429" t="str">
        <f>[1]!'6166.TW-SimulateTime'</f>
        <v>13:29:46</v>
      </c>
    </row>
    <row r="430" spans="1:5" x14ac:dyDescent="0.25">
      <c r="A430" t="str">
        <f>[1]!'6172.TW-ID'</f>
        <v>6172</v>
      </c>
      <c r="B430" t="str">
        <f>[1]!'6172.TW-Name'</f>
        <v>互億</v>
      </c>
      <c r="C430">
        <f>[1]!'6172.TW-SimulatePrice'</f>
        <v>23</v>
      </c>
      <c r="D430">
        <f>[1]!'6172.TW-PreClose'</f>
        <v>23.55</v>
      </c>
      <c r="E430" t="str">
        <f>[1]!'6172.TW-SimulateTime'</f>
        <v>13:29:14</v>
      </c>
    </row>
    <row r="431" spans="1:5" x14ac:dyDescent="0.25">
      <c r="A431" t="str">
        <f>[1]!'6206.TW-ID'</f>
        <v>6206</v>
      </c>
      <c r="B431" t="str">
        <f>[1]!'6206.TW-Name'</f>
        <v>飛捷</v>
      </c>
      <c r="C431">
        <f>[1]!'6206.TW-SimulatePrice'</f>
        <v>67.5</v>
      </c>
      <c r="D431">
        <f>[1]!'6206.TW-PreClose'</f>
        <v>67.400000000000006</v>
      </c>
      <c r="E431" t="str">
        <f>[1]!'6206.TW-SimulateTime'</f>
        <v>13:28:06</v>
      </c>
    </row>
    <row r="432" spans="1:5" x14ac:dyDescent="0.25">
      <c r="A432" t="str">
        <f>[1]!'6230.TW-ID'</f>
        <v>6230</v>
      </c>
      <c r="B432" t="str">
        <f>[1]!'6230.TW-Name'</f>
        <v>超眾</v>
      </c>
      <c r="C432">
        <f>[1]!'6230.TW-SimulatePrice'</f>
        <v>238</v>
      </c>
      <c r="D432">
        <f>[1]!'6230.TW-PreClose'</f>
        <v>238</v>
      </c>
      <c r="E432" t="str">
        <f>[1]!'6230.TW-SimulateTime'</f>
        <v>13:29:47</v>
      </c>
    </row>
    <row r="433" spans="1:5" x14ac:dyDescent="0.25">
      <c r="A433" t="str">
        <f>[1]!'6235.TW-ID'</f>
        <v>6235</v>
      </c>
      <c r="B433" t="str">
        <f>[1]!'6235.TW-Name'</f>
        <v>華孚</v>
      </c>
      <c r="C433">
        <f>[1]!'6235.TW-SimulatePrice'</f>
        <v>10.050000000000001</v>
      </c>
      <c r="D433">
        <f>[1]!'6235.TW-PreClose'</f>
        <v>10.15</v>
      </c>
      <c r="E433" t="str">
        <f>[1]!'6235.TW-SimulateTime'</f>
        <v>13:29:47</v>
      </c>
    </row>
    <row r="434" spans="1:5" x14ac:dyDescent="0.25">
      <c r="A434" t="str">
        <f>[1]!'6277.TW-ID'</f>
        <v>6277</v>
      </c>
      <c r="B434" t="str">
        <f>[1]!'6277.TW-Name'</f>
        <v>宏正</v>
      </c>
      <c r="C434">
        <f>[1]!'6277.TW-SimulatePrice'</f>
        <v>87.5</v>
      </c>
      <c r="D434">
        <f>[1]!'6277.TW-PreClose'</f>
        <v>89.3</v>
      </c>
      <c r="E434" t="str">
        <f>[1]!'6277.TW-SimulateTime'</f>
        <v>13:29:50</v>
      </c>
    </row>
    <row r="435" spans="1:5" x14ac:dyDescent="0.25">
      <c r="A435" t="str">
        <f>[1]!'6414.TW-ID'</f>
        <v>6414</v>
      </c>
      <c r="B435" t="str">
        <f>[1]!'6414.TW-Name'</f>
        <v>樺漢</v>
      </c>
      <c r="C435">
        <f>[1]!'6414.TW-SimulatePrice'</f>
        <v>184</v>
      </c>
      <c r="D435">
        <f>[1]!'6414.TW-PreClose'</f>
        <v>191</v>
      </c>
      <c r="E435" t="str">
        <f>[1]!'6414.TW-SimulateTime'</f>
        <v>13:29:57</v>
      </c>
    </row>
    <row r="436" spans="1:5" x14ac:dyDescent="0.25">
      <c r="A436" t="str">
        <f>[1]!'6579.TW-ID'</f>
        <v>6579</v>
      </c>
      <c r="B436" t="str">
        <f>[1]!'6579.TW-Name'</f>
        <v>研揚</v>
      </c>
      <c r="C436">
        <f>[1]!'6579.TW-SimulatePrice'</f>
        <v>63.5</v>
      </c>
      <c r="D436">
        <f>[1]!'6579.TW-PreClose'</f>
        <v>63.6</v>
      </c>
      <c r="E436" t="str">
        <f>[1]!'6579.TW-SimulateTime'</f>
        <v>13:29:44</v>
      </c>
    </row>
    <row r="437" spans="1:5" x14ac:dyDescent="0.25">
      <c r="A437" t="str">
        <f>[1]!'6591.TW-ID'</f>
        <v>6591</v>
      </c>
      <c r="B437" t="str">
        <f>[1]!'6591.TW-Name'</f>
        <v>動力-KY</v>
      </c>
      <c r="C437">
        <f>[1]!'6591.TW-SimulatePrice'</f>
        <v>44.95</v>
      </c>
      <c r="D437">
        <f>[1]!'6591.TW-PreClose'</f>
        <v>43.8</v>
      </c>
      <c r="E437" t="str">
        <f>[1]!'6591.TW-SimulateTime'</f>
        <v>13:29:33</v>
      </c>
    </row>
    <row r="438" spans="1:5" x14ac:dyDescent="0.25">
      <c r="A438" t="str">
        <f>[1]!'6669.TW-ID'</f>
        <v>6669</v>
      </c>
      <c r="B438" t="str">
        <f>[1]!'6669.TW-Name'</f>
        <v>緯穎</v>
      </c>
      <c r="C438">
        <f>[1]!'6669.TW-SimulatePrice'</f>
        <v>829</v>
      </c>
      <c r="D438">
        <f>[1]!'6669.TW-PreClose'</f>
        <v>801</v>
      </c>
      <c r="E438" t="str">
        <f>[1]!'6669.TW-SimulateTime'</f>
        <v>13:29:58</v>
      </c>
    </row>
    <row r="439" spans="1:5" x14ac:dyDescent="0.25">
      <c r="A439" t="str">
        <f>[1]!'8114.TW-ID'</f>
        <v>8114</v>
      </c>
      <c r="B439" t="str">
        <f>[1]!'8114.TW-Name'</f>
        <v>振樺電</v>
      </c>
      <c r="C439">
        <f>[1]!'8114.TW-SimulatePrice'</f>
        <v>88.1</v>
      </c>
      <c r="D439">
        <f>[1]!'8114.TW-PreClose'</f>
        <v>89.9</v>
      </c>
      <c r="E439" t="str">
        <f>[1]!'8114.TW-SimulateTime'</f>
        <v>13:29:55</v>
      </c>
    </row>
    <row r="440" spans="1:5" x14ac:dyDescent="0.25">
      <c r="A440" t="str">
        <f>[1]!'8163.TW-ID'</f>
        <v>8163</v>
      </c>
      <c r="B440" t="str">
        <f>[1]!'8163.TW-Name'</f>
        <v>達方</v>
      </c>
      <c r="C440">
        <f>[1]!'8163.TW-SimulatePrice'</f>
        <v>35.799999999999997</v>
      </c>
      <c r="D440">
        <f>[1]!'8163.TW-PreClose'</f>
        <v>36.200000000000003</v>
      </c>
      <c r="E440" t="str">
        <f>[1]!'8163.TW-SimulateTime'</f>
        <v>13:29:57</v>
      </c>
    </row>
    <row r="441" spans="1:5" x14ac:dyDescent="0.25">
      <c r="A441" t="str">
        <f>[1]!'8210.TW-ID'</f>
        <v>8210</v>
      </c>
      <c r="B441" t="str">
        <f>[1]!'8210.TW-Name'</f>
        <v>勤誠</v>
      </c>
      <c r="C441">
        <f>[1]!'8210.TW-SimulatePrice'</f>
        <v>91.4</v>
      </c>
      <c r="D441">
        <f>[1]!'8210.TW-PreClose'</f>
        <v>89.7</v>
      </c>
      <c r="E441" t="str">
        <f>[1]!'8210.TW-SimulateTime'</f>
        <v>13:29:56</v>
      </c>
    </row>
    <row r="442" spans="1:5" x14ac:dyDescent="0.25">
      <c r="A442" t="str">
        <f>[1]!'9912.TW-ID'</f>
        <v>9912</v>
      </c>
      <c r="B442" t="str">
        <f>[1]!'9912.TW-Name'</f>
        <v>偉聯</v>
      </c>
      <c r="C442" t="str">
        <f>[1]!'9912.TW-SimulatePrice'</f>
        <v>--</v>
      </c>
      <c r="D442">
        <f>[1]!'9912.TW-PreClose'</f>
        <v>6.85</v>
      </c>
      <c r="E442" t="str">
        <f>[1]!'9912.TW-SimulateTime'</f>
        <v>--</v>
      </c>
    </row>
    <row r="443" spans="1:5" x14ac:dyDescent="0.25">
      <c r="A443" t="str">
        <f>[1]!'2323.TW-ID'</f>
        <v>2323</v>
      </c>
      <c r="B443" t="str">
        <f>[1]!'2323.TW-Name'</f>
        <v>中環</v>
      </c>
      <c r="C443">
        <f>[1]!'2323.TW-SimulatePrice'</f>
        <v>8.65</v>
      </c>
      <c r="D443">
        <f>[1]!'2323.TW-PreClose'</f>
        <v>7.87</v>
      </c>
      <c r="E443" t="str">
        <f>[1]!'2323.TW-SimulateTime'</f>
        <v>13:29:55</v>
      </c>
    </row>
    <row r="444" spans="1:5" x14ac:dyDescent="0.25">
      <c r="A444" t="str">
        <f>[1]!'2340.TW-ID'</f>
        <v>2340</v>
      </c>
      <c r="B444" t="str">
        <f>[1]!'2340.TW-Name'</f>
        <v>光磊</v>
      </c>
      <c r="C444">
        <f>[1]!'2340.TW-SimulatePrice'</f>
        <v>20.6</v>
      </c>
      <c r="D444">
        <f>[1]!'2340.TW-PreClose'</f>
        <v>21.4</v>
      </c>
      <c r="E444" t="str">
        <f>[1]!'2340.TW-SimulateTime'</f>
        <v>13:29:59</v>
      </c>
    </row>
    <row r="445" spans="1:5" x14ac:dyDescent="0.25">
      <c r="A445" t="str">
        <f>[1]!'2349.TW-ID'</f>
        <v>2349</v>
      </c>
      <c r="B445" t="str">
        <f>[1]!'2349.TW-Name'</f>
        <v>錸德</v>
      </c>
      <c r="C445">
        <f>[1]!'2349.TW-SimulatePrice'</f>
        <v>7.1</v>
      </c>
      <c r="D445">
        <f>[1]!'2349.TW-PreClose'</f>
        <v>6.46</v>
      </c>
      <c r="E445" t="str">
        <f>[1]!'2349.TW-SimulateTime'</f>
        <v>13:29:54</v>
      </c>
    </row>
    <row r="446" spans="1:5" x14ac:dyDescent="0.25">
      <c r="A446" t="str">
        <f>[1]!'2374.TW-ID'</f>
        <v>2374</v>
      </c>
      <c r="B446" t="str">
        <f>[1]!'2374.TW-Name'</f>
        <v>佳能</v>
      </c>
      <c r="C446">
        <f>[1]!'2374.TW-SimulatePrice'</f>
        <v>11.7</v>
      </c>
      <c r="D446">
        <f>[1]!'2374.TW-PreClose'</f>
        <v>11.85</v>
      </c>
      <c r="E446" t="str">
        <f>[1]!'2374.TW-SimulateTime'</f>
        <v>13:29:05</v>
      </c>
    </row>
    <row r="447" spans="1:5" x14ac:dyDescent="0.25">
      <c r="A447" t="str">
        <f>[1]!'2393.TW-ID'</f>
        <v>2393</v>
      </c>
      <c r="B447" t="str">
        <f>[1]!'2393.TW-Name'</f>
        <v>億光</v>
      </c>
      <c r="C447">
        <f>[1]!'2393.TW-SimulatePrice'</f>
        <v>32.049999999999997</v>
      </c>
      <c r="D447">
        <f>[1]!'2393.TW-PreClose'</f>
        <v>32.65</v>
      </c>
      <c r="E447" t="str">
        <f>[1]!'2393.TW-SimulateTime'</f>
        <v>13:29:57</v>
      </c>
    </row>
    <row r="448" spans="1:5" x14ac:dyDescent="0.25">
      <c r="A448" t="str">
        <f>[1]!'2406.TW-ID'</f>
        <v>2406</v>
      </c>
      <c r="B448" t="str">
        <f>[1]!'2406.TW-Name'</f>
        <v>國碩</v>
      </c>
      <c r="C448">
        <f>[1]!'2406.TW-SimulatePrice'</f>
        <v>9.8000000000000007</v>
      </c>
      <c r="D448">
        <f>[1]!'2406.TW-PreClose'</f>
        <v>10.050000000000001</v>
      </c>
      <c r="E448" t="str">
        <f>[1]!'2406.TW-SimulateTime'</f>
        <v>13:29:58</v>
      </c>
    </row>
    <row r="449" spans="1:5" x14ac:dyDescent="0.25">
      <c r="A449" t="str">
        <f>[1]!'2409.TW-ID'</f>
        <v>2409</v>
      </c>
      <c r="B449" t="str">
        <f>[1]!'2409.TW-Name'</f>
        <v>友達</v>
      </c>
      <c r="C449">
        <f>[1]!'2409.TW-SimulatePrice'</f>
        <v>7.61</v>
      </c>
      <c r="D449">
        <f>[1]!'2409.TW-PreClose'</f>
        <v>7.66</v>
      </c>
      <c r="E449" t="str">
        <f>[1]!'2409.TW-SimulateTime'</f>
        <v>13:29:58</v>
      </c>
    </row>
    <row r="450" spans="1:5" x14ac:dyDescent="0.25">
      <c r="A450" t="str">
        <f>[1]!'2426.TW-ID'</f>
        <v>2426</v>
      </c>
      <c r="B450" t="str">
        <f>[1]!'2426.TW-Name'</f>
        <v>鼎元</v>
      </c>
      <c r="C450">
        <f>[1]!'2426.TW-SimulatePrice'</f>
        <v>13.15</v>
      </c>
      <c r="D450">
        <f>[1]!'2426.TW-PreClose'</f>
        <v>13.4</v>
      </c>
      <c r="E450" t="str">
        <f>[1]!'2426.TW-SimulateTime'</f>
        <v>13:29:57</v>
      </c>
    </row>
    <row r="451" spans="1:5" x14ac:dyDescent="0.25">
      <c r="A451" t="str">
        <f>[1]!'2438.TW-ID'</f>
        <v>2438</v>
      </c>
      <c r="B451" t="str">
        <f>[1]!'2438.TW-Name'</f>
        <v>翔耀</v>
      </c>
      <c r="C451" t="str">
        <f>[1]!'2438.TW-SimulatePrice'</f>
        <v>--</v>
      </c>
      <c r="D451">
        <f>[1]!'2438.TW-PreClose'</f>
        <v>5.74</v>
      </c>
      <c r="E451" t="str">
        <f>[1]!'2438.TW-SimulateTime'</f>
        <v>--</v>
      </c>
    </row>
    <row r="452" spans="1:5" x14ac:dyDescent="0.25">
      <c r="A452" t="str">
        <f>[1]!'2448.TW-ID'</f>
        <v>2448</v>
      </c>
      <c r="B452" t="str">
        <f>[1]!'2448.TW-Name'</f>
        <v>晶電</v>
      </c>
      <c r="C452">
        <f>[1]!'2448.TW-SimulatePrice'</f>
        <v>35.700000000000003</v>
      </c>
      <c r="D452">
        <f>[1]!'2448.TW-PreClose'</f>
        <v>37.549999999999997</v>
      </c>
      <c r="E452" t="str">
        <f>[1]!'2448.TW-SimulateTime'</f>
        <v>13:29:57</v>
      </c>
    </row>
    <row r="453" spans="1:5" x14ac:dyDescent="0.25">
      <c r="A453" t="str">
        <f>[1]!'2466.TW-ID'</f>
        <v>2466</v>
      </c>
      <c r="B453" t="str">
        <f>[1]!'2466.TW-Name'</f>
        <v>冠西電</v>
      </c>
      <c r="C453">
        <f>[1]!'2466.TW-SimulatePrice'</f>
        <v>29.5</v>
      </c>
      <c r="D453">
        <f>[1]!'2466.TW-PreClose'</f>
        <v>30</v>
      </c>
      <c r="E453" t="str">
        <f>[1]!'2466.TW-SimulateTime'</f>
        <v>13:29:54</v>
      </c>
    </row>
    <row r="454" spans="1:5" x14ac:dyDescent="0.25">
      <c r="A454" t="str">
        <f>[1]!'2486.TW-ID'</f>
        <v>2486</v>
      </c>
      <c r="B454" t="str">
        <f>[1]!'2486.TW-Name'</f>
        <v>一詮</v>
      </c>
      <c r="C454">
        <f>[1]!'2486.TW-SimulatePrice'</f>
        <v>7.38</v>
      </c>
      <c r="D454">
        <f>[1]!'2486.TW-PreClose'</f>
        <v>7.4</v>
      </c>
      <c r="E454" t="str">
        <f>[1]!'2486.TW-SimulateTime'</f>
        <v>13:29:55</v>
      </c>
    </row>
    <row r="455" spans="1:5" x14ac:dyDescent="0.25">
      <c r="A455" t="str">
        <f>[1]!'2489.TW-ID'</f>
        <v>2489</v>
      </c>
      <c r="B455" t="str">
        <f>[1]!'2489.TW-Name'</f>
        <v>瑞軒</v>
      </c>
      <c r="C455">
        <f>[1]!'2489.TW-SimulatePrice'</f>
        <v>7.05</v>
      </c>
      <c r="D455">
        <f>[1]!'2489.TW-PreClose'</f>
        <v>7.13</v>
      </c>
      <c r="E455" t="str">
        <f>[1]!'2489.TW-SimulateTime'</f>
        <v>13:29:55</v>
      </c>
    </row>
    <row r="456" spans="1:5" x14ac:dyDescent="0.25">
      <c r="A456" t="str">
        <f>[1]!'2491.TW-ID'</f>
        <v>2491</v>
      </c>
      <c r="B456" t="str">
        <f>[1]!'2491.TW-Name'</f>
        <v>吉祥全</v>
      </c>
      <c r="C456" t="str">
        <f>[1]!'2491.TW-SimulatePrice'</f>
        <v>--</v>
      </c>
      <c r="D456">
        <f>[1]!'2491.TW-PreClose'</f>
        <v>7.31</v>
      </c>
      <c r="E456" t="str">
        <f>[1]!'2491.TW-SimulateTime'</f>
        <v>--</v>
      </c>
    </row>
    <row r="457" spans="1:5" x14ac:dyDescent="0.25">
      <c r="A457" t="str">
        <f>[1]!'3008.TW-ID'</f>
        <v>3008</v>
      </c>
      <c r="B457" t="str">
        <f>[1]!'3008.TW-Name'</f>
        <v>大立光</v>
      </c>
      <c r="C457">
        <f>[1]!'3008.TW-SimulatePrice'</f>
        <v>4065</v>
      </c>
      <c r="D457">
        <f>[1]!'3008.TW-PreClose'</f>
        <v>4110</v>
      </c>
      <c r="E457" t="str">
        <f>[1]!'3008.TW-SimulateTime'</f>
        <v>13:29:58</v>
      </c>
    </row>
    <row r="458" spans="1:5" x14ac:dyDescent="0.25">
      <c r="A458" t="str">
        <f>[1]!'3019.TW-ID'</f>
        <v>3019</v>
      </c>
      <c r="B458" t="str">
        <f>[1]!'3019.TW-Name'</f>
        <v>亞光</v>
      </c>
      <c r="C458">
        <f>[1]!'3019.TW-SimulatePrice'</f>
        <v>67.2</v>
      </c>
      <c r="D458">
        <f>[1]!'3019.TW-PreClose'</f>
        <v>68.8</v>
      </c>
      <c r="E458" t="str">
        <f>[1]!'3019.TW-SimulateTime'</f>
        <v>13:29:59</v>
      </c>
    </row>
    <row r="459" spans="1:5" x14ac:dyDescent="0.25">
      <c r="A459" t="str">
        <f>[1]!'3024.TW-ID'</f>
        <v>3024</v>
      </c>
      <c r="B459" t="str">
        <f>[1]!'3024.TW-Name'</f>
        <v>憶聲</v>
      </c>
      <c r="C459">
        <f>[1]!'3024.TW-SimulatePrice'</f>
        <v>7.19</v>
      </c>
      <c r="D459">
        <f>[1]!'3024.TW-PreClose'</f>
        <v>7.12</v>
      </c>
      <c r="E459" t="str">
        <f>[1]!'3024.TW-SimulateTime'</f>
        <v>13:29:47</v>
      </c>
    </row>
    <row r="460" spans="1:5" x14ac:dyDescent="0.25">
      <c r="A460" t="str">
        <f>[1]!'3031.TW-ID'</f>
        <v>3031</v>
      </c>
      <c r="B460" t="str">
        <f>[1]!'3031.TW-Name'</f>
        <v>佰鴻</v>
      </c>
      <c r="C460">
        <f>[1]!'3031.TW-SimulatePrice'</f>
        <v>14.5</v>
      </c>
      <c r="D460">
        <f>[1]!'3031.TW-PreClose'</f>
        <v>14.25</v>
      </c>
      <c r="E460" t="str">
        <f>[1]!'3031.TW-SimulateTime'</f>
        <v>13:29:55</v>
      </c>
    </row>
    <row r="461" spans="1:5" x14ac:dyDescent="0.25">
      <c r="A461" t="str">
        <f>[1]!'3038.TW-ID'</f>
        <v>3038</v>
      </c>
      <c r="B461" t="str">
        <f>[1]!'3038.TW-Name'</f>
        <v>全台</v>
      </c>
      <c r="C461">
        <f>[1]!'3038.TW-SimulatePrice'</f>
        <v>19</v>
      </c>
      <c r="D461">
        <f>[1]!'3038.TW-PreClose'</f>
        <v>18.95</v>
      </c>
      <c r="E461" t="str">
        <f>[1]!'3038.TW-SimulateTime'</f>
        <v>13:29:57</v>
      </c>
    </row>
    <row r="462" spans="1:5" x14ac:dyDescent="0.25">
      <c r="A462" t="str">
        <f>[1]!'3049.TW-ID'</f>
        <v>3049</v>
      </c>
      <c r="B462" t="str">
        <f>[1]!'3049.TW-Name'</f>
        <v>和鑫</v>
      </c>
      <c r="C462">
        <f>[1]!'3049.TW-SimulatePrice'</f>
        <v>10</v>
      </c>
      <c r="D462">
        <f>[1]!'3049.TW-PreClose'</f>
        <v>10.050000000000001</v>
      </c>
      <c r="E462" t="str">
        <f>[1]!'3049.TW-SimulateTime'</f>
        <v>13:29:58</v>
      </c>
    </row>
    <row r="463" spans="1:5" x14ac:dyDescent="0.25">
      <c r="A463" t="str">
        <f>[1]!'3050.TW-ID'</f>
        <v>3050</v>
      </c>
      <c r="B463" t="str">
        <f>[1]!'3050.TW-Name'</f>
        <v>鈺德</v>
      </c>
      <c r="C463">
        <f>[1]!'3050.TW-SimulatePrice'</f>
        <v>9.7799999999999994</v>
      </c>
      <c r="D463">
        <f>[1]!'3050.TW-PreClose'</f>
        <v>10.199999999999999</v>
      </c>
      <c r="E463" t="str">
        <f>[1]!'3050.TW-SimulateTime'</f>
        <v>13:29:47</v>
      </c>
    </row>
    <row r="464" spans="1:5" x14ac:dyDescent="0.25">
      <c r="A464" t="str">
        <f>[1]!'3051.TW-ID'</f>
        <v>3051</v>
      </c>
      <c r="B464" t="str">
        <f>[1]!'3051.TW-Name'</f>
        <v>力特</v>
      </c>
      <c r="C464">
        <f>[1]!'3051.TW-SimulatePrice'</f>
        <v>3.16</v>
      </c>
      <c r="D464">
        <f>[1]!'3051.TW-PreClose'</f>
        <v>3.11</v>
      </c>
      <c r="E464" t="str">
        <f>[1]!'3051.TW-SimulateTime'</f>
        <v>13:29:49</v>
      </c>
    </row>
    <row r="465" spans="1:5" x14ac:dyDescent="0.25">
      <c r="A465" t="str">
        <f>[1]!'3059.TW-ID'</f>
        <v>3059</v>
      </c>
      <c r="B465" t="str">
        <f>[1]!'3059.TW-Name'</f>
        <v>華晶科</v>
      </c>
      <c r="C465">
        <f>[1]!'3059.TW-SimulatePrice'</f>
        <v>21.55</v>
      </c>
      <c r="D465">
        <f>[1]!'3059.TW-PreClose'</f>
        <v>21.8</v>
      </c>
      <c r="E465" t="str">
        <f>[1]!'3059.TW-SimulateTime'</f>
        <v>13:29:49</v>
      </c>
    </row>
    <row r="466" spans="1:5" x14ac:dyDescent="0.25">
      <c r="A466" t="str">
        <f>[1]!'3149.TW-ID'</f>
        <v>3149</v>
      </c>
      <c r="B466" t="str">
        <f>[1]!'3149.TW-Name'</f>
        <v>正達</v>
      </c>
      <c r="C466">
        <f>[1]!'3149.TW-SimulatePrice'</f>
        <v>7.11</v>
      </c>
      <c r="D466">
        <f>[1]!'3149.TW-PreClose'</f>
        <v>7.64</v>
      </c>
      <c r="E466" t="str">
        <f>[1]!'3149.TW-SimulateTime'</f>
        <v>13:29:58</v>
      </c>
    </row>
    <row r="467" spans="1:5" x14ac:dyDescent="0.25">
      <c r="A467" t="str">
        <f>[1]!'3356.TW-ID'</f>
        <v>3356</v>
      </c>
      <c r="B467" t="str">
        <f>[1]!'3356.TW-Name'</f>
        <v>奇偶</v>
      </c>
      <c r="C467">
        <f>[1]!'3356.TW-SimulatePrice'</f>
        <v>22.5</v>
      </c>
      <c r="D467">
        <f>[1]!'3356.TW-PreClose'</f>
        <v>22.95</v>
      </c>
      <c r="E467" t="str">
        <f>[1]!'3356.TW-SimulateTime'</f>
        <v>13:29:54</v>
      </c>
    </row>
    <row r="468" spans="1:5" x14ac:dyDescent="0.25">
      <c r="A468" t="str">
        <f>[1]!'3383.TW-ID'</f>
        <v>3383</v>
      </c>
      <c r="B468" t="str">
        <f>[1]!'3383.TW-Name'</f>
        <v>新世紀</v>
      </c>
      <c r="C468" t="str">
        <f>[1]!'3383.TW-SimulatePrice'</f>
        <v>--</v>
      </c>
      <c r="D468">
        <f>[1]!'3383.TW-PreClose'</f>
        <v>4.54</v>
      </c>
      <c r="E468" t="str">
        <f>[1]!'3383.TW-SimulateTime'</f>
        <v>--</v>
      </c>
    </row>
    <row r="469" spans="1:5" x14ac:dyDescent="0.25">
      <c r="A469" t="str">
        <f>[1]!'3406.TW-ID'</f>
        <v>3406</v>
      </c>
      <c r="B469" t="str">
        <f>[1]!'3406.TW-Name'</f>
        <v>玉晶光</v>
      </c>
      <c r="C469">
        <f>[1]!'3406.TW-SimulatePrice'</f>
        <v>493</v>
      </c>
      <c r="D469">
        <f>[1]!'3406.TW-PreClose'</f>
        <v>498.5</v>
      </c>
      <c r="E469" t="str">
        <f>[1]!'3406.TW-SimulateTime'</f>
        <v>13:29:59</v>
      </c>
    </row>
    <row r="470" spans="1:5" x14ac:dyDescent="0.25">
      <c r="A470" t="str">
        <f>[1]!'3437.TW-ID'</f>
        <v>3437</v>
      </c>
      <c r="B470" t="str">
        <f>[1]!'3437.TW-Name'</f>
        <v>榮創</v>
      </c>
      <c r="C470">
        <f>[1]!'3437.TW-SimulatePrice'</f>
        <v>18.149999999999999</v>
      </c>
      <c r="D470">
        <f>[1]!'3437.TW-PreClose'</f>
        <v>17.95</v>
      </c>
      <c r="E470" t="str">
        <f>[1]!'3437.TW-SimulateTime'</f>
        <v>13:29:57</v>
      </c>
    </row>
    <row r="471" spans="1:5" x14ac:dyDescent="0.25">
      <c r="A471" t="str">
        <f>[1]!'3454.TW-ID'</f>
        <v>3454</v>
      </c>
      <c r="B471" t="str">
        <f>[1]!'3454.TW-Name'</f>
        <v>晶睿</v>
      </c>
      <c r="C471">
        <f>[1]!'3454.TW-SimulatePrice'</f>
        <v>67.599999999999994</v>
      </c>
      <c r="D471">
        <f>[1]!'3454.TW-PreClose'</f>
        <v>68.2</v>
      </c>
      <c r="E471" t="str">
        <f>[1]!'3454.TW-SimulateTime'</f>
        <v>13:29:55</v>
      </c>
    </row>
    <row r="472" spans="1:5" x14ac:dyDescent="0.25">
      <c r="A472" t="str">
        <f>[1]!'3481.TW-ID'</f>
        <v>3481</v>
      </c>
      <c r="B472" t="str">
        <f>[1]!'3481.TW-Name'</f>
        <v>群創</v>
      </c>
      <c r="C472">
        <f>[1]!'3481.TW-SimulatePrice'</f>
        <v>6.22</v>
      </c>
      <c r="D472">
        <f>[1]!'3481.TW-PreClose'</f>
        <v>6.22</v>
      </c>
      <c r="E472" t="str">
        <f>[1]!'3481.TW-SimulateTime'</f>
        <v>13:29:55</v>
      </c>
    </row>
    <row r="473" spans="1:5" x14ac:dyDescent="0.25">
      <c r="A473" t="str">
        <f>[1]!'3504.TW-ID'</f>
        <v>3504</v>
      </c>
      <c r="B473" t="str">
        <f>[1]!'3504.TW-Name'</f>
        <v>揚明光</v>
      </c>
      <c r="C473">
        <f>[1]!'3504.TW-SimulatePrice'</f>
        <v>59</v>
      </c>
      <c r="D473">
        <f>[1]!'3504.TW-PreClose'</f>
        <v>59.3</v>
      </c>
      <c r="E473" t="str">
        <f>[1]!'3504.TW-SimulateTime'</f>
        <v>13:29:42</v>
      </c>
    </row>
    <row r="474" spans="1:5" x14ac:dyDescent="0.25">
      <c r="A474" t="str">
        <f>[1]!'3535.TW-ID'</f>
        <v>3535</v>
      </c>
      <c r="B474" t="str">
        <f>[1]!'3535.TW-Name'</f>
        <v>晶彩科</v>
      </c>
      <c r="C474">
        <f>[1]!'3535.TW-SimulatePrice'</f>
        <v>15.2</v>
      </c>
      <c r="D474">
        <f>[1]!'3535.TW-PreClose'</f>
        <v>15.4</v>
      </c>
      <c r="E474" t="str">
        <f>[1]!'3535.TW-SimulateTime'</f>
        <v>13:29:33</v>
      </c>
    </row>
    <row r="475" spans="1:5" x14ac:dyDescent="0.25">
      <c r="A475" t="str">
        <f>[1]!'3543.TW-ID'</f>
        <v>3543</v>
      </c>
      <c r="B475" t="str">
        <f>[1]!'3543.TW-Name'</f>
        <v>州巧</v>
      </c>
      <c r="C475">
        <f>[1]!'3543.TW-SimulatePrice'</f>
        <v>17.25</v>
      </c>
      <c r="D475">
        <f>[1]!'3543.TW-PreClose'</f>
        <v>17.25</v>
      </c>
      <c r="E475" t="str">
        <f>[1]!'3543.TW-SimulateTime'</f>
        <v>13:29:55</v>
      </c>
    </row>
    <row r="476" spans="1:5" x14ac:dyDescent="0.25">
      <c r="A476" t="str">
        <f>[1]!'3557.TW-ID'</f>
        <v>3557</v>
      </c>
      <c r="B476" t="str">
        <f>[1]!'3557.TW-Name'</f>
        <v>嘉威</v>
      </c>
      <c r="C476">
        <f>[1]!'3557.TW-SimulatePrice'</f>
        <v>67.900000000000006</v>
      </c>
      <c r="D476">
        <f>[1]!'3557.TW-PreClose'</f>
        <v>69.7</v>
      </c>
      <c r="E476" t="str">
        <f>[1]!'3557.TW-SimulateTime'</f>
        <v>13:29:55</v>
      </c>
    </row>
    <row r="477" spans="1:5" x14ac:dyDescent="0.25">
      <c r="A477" t="str">
        <f>[1]!'3563.TW-ID'</f>
        <v>3563</v>
      </c>
      <c r="B477" t="str">
        <f>[1]!'3563.TW-Name'</f>
        <v>牧德</v>
      </c>
      <c r="C477">
        <f>[1]!'3563.TW-SimulatePrice'</f>
        <v>330.5</v>
      </c>
      <c r="D477">
        <f>[1]!'3563.TW-PreClose'</f>
        <v>330</v>
      </c>
      <c r="E477" t="str">
        <f>[1]!'3563.TW-SimulateTime'</f>
        <v>13:29:57</v>
      </c>
    </row>
    <row r="478" spans="1:5" x14ac:dyDescent="0.25">
      <c r="A478" t="str">
        <f>[1]!'3576.TW-ID'</f>
        <v>3576</v>
      </c>
      <c r="B478" t="str">
        <f>[1]!'3576.TW-Name'</f>
        <v>聯合再生</v>
      </c>
      <c r="C478">
        <f>[1]!'3576.TW-SimulatePrice'</f>
        <v>5.95</v>
      </c>
      <c r="D478">
        <f>[1]!'3576.TW-PreClose'</f>
        <v>6.04</v>
      </c>
      <c r="E478" t="str">
        <f>[1]!'3576.TW-SimulateTime'</f>
        <v>13:29:51</v>
      </c>
    </row>
    <row r="479" spans="1:5" x14ac:dyDescent="0.25">
      <c r="A479" t="str">
        <f>[1]!'3591.TW-ID'</f>
        <v>3591</v>
      </c>
      <c r="B479" t="str">
        <f>[1]!'3591.TW-Name'</f>
        <v>艾笛森</v>
      </c>
      <c r="C479">
        <f>[1]!'3591.TW-SimulatePrice'</f>
        <v>12.1</v>
      </c>
      <c r="D479">
        <f>[1]!'3591.TW-PreClose'</f>
        <v>12.4</v>
      </c>
      <c r="E479" t="str">
        <f>[1]!'3591.TW-SimulateTime'</f>
        <v>13:29:09</v>
      </c>
    </row>
    <row r="480" spans="1:5" x14ac:dyDescent="0.25">
      <c r="A480" t="str">
        <f>[1]!'3622.TW-ID'</f>
        <v>3622</v>
      </c>
      <c r="B480" t="str">
        <f>[1]!'3622.TW-Name'</f>
        <v>洋華</v>
      </c>
      <c r="C480">
        <f>[1]!'3622.TW-SimulatePrice'</f>
        <v>18.350000000000001</v>
      </c>
      <c r="D480">
        <f>[1]!'3622.TW-PreClose'</f>
        <v>18.399999999999999</v>
      </c>
      <c r="E480" t="str">
        <f>[1]!'3622.TW-SimulateTime'</f>
        <v>13:28:45</v>
      </c>
    </row>
    <row r="481" spans="1:5" x14ac:dyDescent="0.25">
      <c r="A481" t="str">
        <f>[1]!'3669.TW-ID'</f>
        <v>3669</v>
      </c>
      <c r="B481" t="str">
        <f>[1]!'3669.TW-Name'</f>
        <v>圓展</v>
      </c>
      <c r="C481">
        <f>[1]!'3669.TW-SimulatePrice'</f>
        <v>30.5</v>
      </c>
      <c r="D481">
        <f>[1]!'3669.TW-PreClose'</f>
        <v>31.85</v>
      </c>
      <c r="E481" t="str">
        <f>[1]!'3669.TW-SimulateTime'</f>
        <v>13:29:59</v>
      </c>
    </row>
    <row r="482" spans="1:5" x14ac:dyDescent="0.25">
      <c r="A482" t="str">
        <f>[1]!'3673.TW-ID'</f>
        <v>3673</v>
      </c>
      <c r="B482" t="str">
        <f>[1]!'3673.TW-Name'</f>
        <v>TPK-KY</v>
      </c>
      <c r="C482">
        <f>[1]!'3673.TW-SimulatePrice'</f>
        <v>40</v>
      </c>
      <c r="D482">
        <f>[1]!'3673.TW-PreClose'</f>
        <v>40.6</v>
      </c>
      <c r="E482" t="str">
        <f>[1]!'3673.TW-SimulateTime'</f>
        <v>13:29:59</v>
      </c>
    </row>
    <row r="483" spans="1:5" x14ac:dyDescent="0.25">
      <c r="A483" t="str">
        <f>[1]!'3698.TW-ID'</f>
        <v>3698</v>
      </c>
      <c r="B483" t="str">
        <f>[1]!'3698.TW-Name'</f>
        <v>隆達</v>
      </c>
      <c r="C483">
        <f>[1]!'3698.TW-SimulatePrice'</f>
        <v>18</v>
      </c>
      <c r="D483">
        <f>[1]!'3698.TW-PreClose'</f>
        <v>17.95</v>
      </c>
      <c r="E483" t="str">
        <f>[1]!'3698.TW-SimulateTime'</f>
        <v>13:29:57</v>
      </c>
    </row>
    <row r="484" spans="1:5" x14ac:dyDescent="0.25">
      <c r="A484" t="str">
        <f>[1]!'4934.TW-ID'</f>
        <v>4934</v>
      </c>
      <c r="B484" t="str">
        <f>[1]!'4934.TW-Name'</f>
        <v>太極</v>
      </c>
      <c r="C484">
        <f>[1]!'4934.TW-SimulatePrice'</f>
        <v>16.45</v>
      </c>
      <c r="D484">
        <f>[1]!'4934.TW-PreClose'</f>
        <v>16.55</v>
      </c>
      <c r="E484" t="str">
        <f>[1]!'4934.TW-SimulateTime'</f>
        <v>13:29:54</v>
      </c>
    </row>
    <row r="485" spans="1:5" x14ac:dyDescent="0.25">
      <c r="A485" t="str">
        <f>[1]!'4935.TW-ID'</f>
        <v>4935</v>
      </c>
      <c r="B485" t="str">
        <f>[1]!'4935.TW-Name'</f>
        <v>茂林-KY</v>
      </c>
      <c r="C485">
        <f>[1]!'4935.TW-SimulatePrice'</f>
        <v>128.5</v>
      </c>
      <c r="D485">
        <f>[1]!'4935.TW-PreClose'</f>
        <v>125.5</v>
      </c>
      <c r="E485" t="str">
        <f>[1]!'4935.TW-SimulateTime'</f>
        <v>13:29:57</v>
      </c>
    </row>
    <row r="486" spans="1:5" x14ac:dyDescent="0.25">
      <c r="A486" t="str">
        <f>[1]!'4942.TW-ID'</f>
        <v>4942</v>
      </c>
      <c r="B486" t="str">
        <f>[1]!'4942.TW-Name'</f>
        <v>嘉彰</v>
      </c>
      <c r="C486">
        <f>[1]!'4942.TW-SimulatePrice'</f>
        <v>33.1</v>
      </c>
      <c r="D486">
        <f>[1]!'4942.TW-PreClose'</f>
        <v>33.299999999999997</v>
      </c>
      <c r="E486" t="str">
        <f>[1]!'4942.TW-SimulateTime'</f>
        <v>13:29:16</v>
      </c>
    </row>
    <row r="487" spans="1:5" x14ac:dyDescent="0.25">
      <c r="A487" t="str">
        <f>[1]!'4956.TW-ID'</f>
        <v>4956</v>
      </c>
      <c r="B487" t="str">
        <f>[1]!'4956.TW-Name'</f>
        <v>光鋐</v>
      </c>
      <c r="C487" t="str">
        <f>[1]!'4956.TW-SimulatePrice'</f>
        <v>--</v>
      </c>
      <c r="D487">
        <f>[1]!'4956.TW-PreClose'</f>
        <v>15.9</v>
      </c>
      <c r="E487" t="str">
        <f>[1]!'4956.TW-SimulateTime'</f>
        <v>--</v>
      </c>
    </row>
    <row r="488" spans="1:5" x14ac:dyDescent="0.25">
      <c r="A488" t="str">
        <f>[1]!'4960.TW-ID'</f>
        <v>4960</v>
      </c>
      <c r="B488" t="str">
        <f>[1]!'4960.TW-Name'</f>
        <v>誠美材</v>
      </c>
      <c r="C488">
        <f>[1]!'4960.TW-SimulatePrice'</f>
        <v>6.49</v>
      </c>
      <c r="D488">
        <f>[1]!'4960.TW-PreClose'</f>
        <v>6.66</v>
      </c>
      <c r="E488" t="str">
        <f>[1]!'4960.TW-SimulateTime'</f>
        <v>13:29:39</v>
      </c>
    </row>
    <row r="489" spans="1:5" x14ac:dyDescent="0.25">
      <c r="A489" t="str">
        <f>[1]!'4976.TW-ID'</f>
        <v>4976</v>
      </c>
      <c r="B489" t="str">
        <f>[1]!'4976.TW-Name'</f>
        <v>佳凌</v>
      </c>
      <c r="C489">
        <f>[1]!'4976.TW-SimulatePrice'</f>
        <v>17.100000000000001</v>
      </c>
      <c r="D489">
        <f>[1]!'4976.TW-PreClose'</f>
        <v>17.5</v>
      </c>
      <c r="E489" t="str">
        <f>[1]!'4976.TW-SimulateTime'</f>
        <v>13:29:10</v>
      </c>
    </row>
    <row r="490" spans="1:5" x14ac:dyDescent="0.25">
      <c r="A490" t="str">
        <f>[1]!'5234.TW-ID'</f>
        <v>5234</v>
      </c>
      <c r="B490" t="str">
        <f>[1]!'5234.TW-Name'</f>
        <v>達興材料</v>
      </c>
      <c r="C490">
        <f>[1]!'5234.TW-SimulatePrice'</f>
        <v>85.7</v>
      </c>
      <c r="D490">
        <f>[1]!'5234.TW-PreClose'</f>
        <v>85.5</v>
      </c>
      <c r="E490" t="str">
        <f>[1]!'5234.TW-SimulateTime'</f>
        <v>13:29:57</v>
      </c>
    </row>
    <row r="491" spans="1:5" x14ac:dyDescent="0.25">
      <c r="A491" t="str">
        <f>[1]!'5243.TW-ID'</f>
        <v>5243</v>
      </c>
      <c r="B491" t="str">
        <f>[1]!'5243.TW-Name'</f>
        <v>乙盛-KY</v>
      </c>
      <c r="C491">
        <f>[1]!'5243.TW-SimulatePrice'</f>
        <v>30.4</v>
      </c>
      <c r="D491">
        <f>[1]!'5243.TW-PreClose'</f>
        <v>31</v>
      </c>
      <c r="E491" t="str">
        <f>[1]!'5243.TW-SimulateTime'</f>
        <v>13:29:58</v>
      </c>
    </row>
    <row r="492" spans="1:5" x14ac:dyDescent="0.25">
      <c r="A492" t="str">
        <f>[1]!'5484.TW-ID'</f>
        <v>5484</v>
      </c>
      <c r="B492" t="str">
        <f>[1]!'5484.TW-Name'</f>
        <v>慧友</v>
      </c>
      <c r="C492">
        <f>[1]!'5484.TW-SimulatePrice'</f>
        <v>8.16</v>
      </c>
      <c r="D492">
        <f>[1]!'5484.TW-PreClose'</f>
        <v>8.4</v>
      </c>
      <c r="E492" t="str">
        <f>[1]!'5484.TW-SimulateTime'</f>
        <v>13:29:02</v>
      </c>
    </row>
    <row r="493" spans="1:5" x14ac:dyDescent="0.25">
      <c r="A493" t="str">
        <f>[1]!'6116.TW-ID'</f>
        <v>6116</v>
      </c>
      <c r="B493" t="str">
        <f>[1]!'6116.TW-Name'</f>
        <v>彩晶</v>
      </c>
      <c r="C493">
        <f>[1]!'6116.TW-SimulatePrice'</f>
        <v>6</v>
      </c>
      <c r="D493">
        <f>[1]!'6116.TW-PreClose'</f>
        <v>6.02</v>
      </c>
      <c r="E493" t="str">
        <f>[1]!'6116.TW-SimulateTime'</f>
        <v>13:29:57</v>
      </c>
    </row>
    <row r="494" spans="1:5" x14ac:dyDescent="0.25">
      <c r="A494" t="str">
        <f>[1]!'6120.TW-ID'</f>
        <v>6120</v>
      </c>
      <c r="B494" t="str">
        <f>[1]!'6120.TW-Name'</f>
        <v>達運</v>
      </c>
      <c r="C494">
        <f>[1]!'6120.TW-SimulatePrice'</f>
        <v>10.7</v>
      </c>
      <c r="D494">
        <f>[1]!'6120.TW-PreClose'</f>
        <v>10.85</v>
      </c>
      <c r="E494" t="str">
        <f>[1]!'6120.TW-SimulateTime'</f>
        <v>13:29:57</v>
      </c>
    </row>
    <row r="495" spans="1:5" x14ac:dyDescent="0.25">
      <c r="A495" t="str">
        <f>[1]!'6131.TW-ID'</f>
        <v>6131</v>
      </c>
      <c r="B495" t="str">
        <f>[1]!'6131.TW-Name'</f>
        <v>鈞泰</v>
      </c>
      <c r="C495" t="str">
        <f>[1]!'6131.TW-SimulatePrice'</f>
        <v>--</v>
      </c>
      <c r="D495">
        <f>[1]!'6131.TW-PreClose'</f>
        <v>2.88</v>
      </c>
      <c r="E495" t="str">
        <f>[1]!'6131.TW-SimulateTime'</f>
        <v>--</v>
      </c>
    </row>
    <row r="496" spans="1:5" x14ac:dyDescent="0.25">
      <c r="A496" t="str">
        <f>[1]!'6164.TW-ID'</f>
        <v>6164</v>
      </c>
      <c r="B496" t="str">
        <f>[1]!'6164.TW-Name'</f>
        <v>華興</v>
      </c>
      <c r="C496">
        <f>[1]!'6164.TW-SimulatePrice'</f>
        <v>5.64</v>
      </c>
      <c r="D496">
        <f>[1]!'6164.TW-PreClose'</f>
        <v>5.7</v>
      </c>
      <c r="E496" t="str">
        <f>[1]!'6164.TW-SimulateTime'</f>
        <v>13:29:14</v>
      </c>
    </row>
    <row r="497" spans="1:5" x14ac:dyDescent="0.25">
      <c r="A497" t="str">
        <f>[1]!'6168.TW-ID'</f>
        <v>6168</v>
      </c>
      <c r="B497" t="str">
        <f>[1]!'6168.TW-Name'</f>
        <v>宏齊</v>
      </c>
      <c r="C497">
        <f>[1]!'6168.TW-SimulatePrice'</f>
        <v>12.3</v>
      </c>
      <c r="D497">
        <f>[1]!'6168.TW-PreClose'</f>
        <v>11.9</v>
      </c>
      <c r="E497" t="str">
        <f>[1]!'6168.TW-SimulateTime'</f>
        <v>13:29:33</v>
      </c>
    </row>
    <row r="498" spans="1:5" x14ac:dyDescent="0.25">
      <c r="A498" t="str">
        <f>[1]!'6176.TW-ID'</f>
        <v>6176</v>
      </c>
      <c r="B498" t="str">
        <f>[1]!'6176.TW-Name'</f>
        <v>瑞儀</v>
      </c>
      <c r="C498">
        <f>[1]!'6176.TW-SimulatePrice'</f>
        <v>97.4</v>
      </c>
      <c r="D498">
        <f>[1]!'6176.TW-PreClose'</f>
        <v>97.2</v>
      </c>
      <c r="E498" t="str">
        <f>[1]!'6176.TW-SimulateTime'</f>
        <v>13:29:56</v>
      </c>
    </row>
    <row r="499" spans="1:5" x14ac:dyDescent="0.25">
      <c r="A499" t="str">
        <f>[1]!'6209.TW-ID'</f>
        <v>6209</v>
      </c>
      <c r="B499" t="str">
        <f>[1]!'6209.TW-Name'</f>
        <v>今國光</v>
      </c>
      <c r="C499">
        <f>[1]!'6209.TW-SimulatePrice'</f>
        <v>21.8</v>
      </c>
      <c r="D499">
        <f>[1]!'6209.TW-PreClose'</f>
        <v>22.5</v>
      </c>
      <c r="E499" t="str">
        <f>[1]!'6209.TW-SimulateTime'</f>
        <v>13:29:46</v>
      </c>
    </row>
    <row r="500" spans="1:5" x14ac:dyDescent="0.25">
      <c r="A500" t="str">
        <f>[1]!'6225.TW-ID'</f>
        <v>6225</v>
      </c>
      <c r="B500" t="str">
        <f>[1]!'6225.TW-Name'</f>
        <v>天瀚</v>
      </c>
      <c r="C500" t="str">
        <f>[1]!'6225.TW-SimulatePrice'</f>
        <v>--</v>
      </c>
      <c r="D500">
        <f>[1]!'6225.TW-PreClose'</f>
        <v>2.8</v>
      </c>
      <c r="E500" t="str">
        <f>[1]!'6225.TW-SimulateTime'</f>
        <v>--</v>
      </c>
    </row>
    <row r="501" spans="1:5" x14ac:dyDescent="0.25">
      <c r="A501" t="str">
        <f>[1]!'6226.TW-ID'</f>
        <v>6226</v>
      </c>
      <c r="B501" t="str">
        <f>[1]!'6226.TW-Name'</f>
        <v>光鼎</v>
      </c>
      <c r="C501">
        <f>[1]!'6226.TW-SimulatePrice'</f>
        <v>8.1199999999999992</v>
      </c>
      <c r="D501">
        <f>[1]!'6226.TW-PreClose'</f>
        <v>8.34</v>
      </c>
      <c r="E501" t="str">
        <f>[1]!'6226.TW-SimulateTime'</f>
        <v>13:29:58</v>
      </c>
    </row>
    <row r="502" spans="1:5" x14ac:dyDescent="0.25">
      <c r="A502" t="str">
        <f>[1]!'6278.TW-ID'</f>
        <v>6278</v>
      </c>
      <c r="B502" t="str">
        <f>[1]!'6278.TW-Name'</f>
        <v>台表科</v>
      </c>
      <c r="C502">
        <f>[1]!'6278.TW-SimulatePrice'</f>
        <v>105.5</v>
      </c>
      <c r="D502">
        <f>[1]!'6278.TW-PreClose'</f>
        <v>96.5</v>
      </c>
      <c r="E502" t="str">
        <f>[1]!'6278.TW-SimulateTime'</f>
        <v>13:29:55</v>
      </c>
    </row>
    <row r="503" spans="1:5" x14ac:dyDescent="0.25">
      <c r="A503" t="str">
        <f>[1]!'6289.TW-ID'</f>
        <v>6289</v>
      </c>
      <c r="B503" t="str">
        <f>[1]!'6289.TW-Name'</f>
        <v>華上</v>
      </c>
      <c r="C503" t="str">
        <f>[1]!'6289.TW-SimulatePrice'</f>
        <v>--</v>
      </c>
      <c r="D503">
        <f>[1]!'6289.TW-PreClose'</f>
        <v>1.77</v>
      </c>
      <c r="E503" t="str">
        <f>[1]!'6289.TW-SimulateTime'</f>
        <v>--</v>
      </c>
    </row>
    <row r="504" spans="1:5" x14ac:dyDescent="0.25">
      <c r="A504" t="str">
        <f>[1]!'6405.TW-ID'</f>
        <v>6405</v>
      </c>
      <c r="B504" t="str">
        <f>[1]!'6405.TW-Name'</f>
        <v>悅城</v>
      </c>
      <c r="C504" t="str">
        <f>[1]!'6405.TW-SimulatePrice'</f>
        <v>--</v>
      </c>
      <c r="D504">
        <f>[1]!'6405.TW-PreClose'</f>
        <v>14.85</v>
      </c>
      <c r="E504" t="str">
        <f>[1]!'6405.TW-SimulateTime'</f>
        <v>--</v>
      </c>
    </row>
    <row r="505" spans="1:5" x14ac:dyDescent="0.25">
      <c r="A505" t="str">
        <f>[1]!'6431.TW-ID'</f>
        <v>6431</v>
      </c>
      <c r="B505" t="str">
        <f>[1]!'6431.TW-Name'</f>
        <v>光麗-KY</v>
      </c>
      <c r="C505">
        <f>[1]!'6431.TW-SimulatePrice'</f>
        <v>23.05</v>
      </c>
      <c r="D505">
        <f>[1]!'6431.TW-PreClose'</f>
        <v>23</v>
      </c>
      <c r="E505" t="str">
        <f>[1]!'6431.TW-SimulateTime'</f>
        <v>13:28:33</v>
      </c>
    </row>
    <row r="506" spans="1:5" x14ac:dyDescent="0.25">
      <c r="A506" t="str">
        <f>[1]!'6443.TW-ID'</f>
        <v>6443</v>
      </c>
      <c r="B506" t="str">
        <f>[1]!'6443.TW-Name'</f>
        <v>元晶</v>
      </c>
      <c r="C506">
        <f>[1]!'6443.TW-SimulatePrice'</f>
        <v>6.2</v>
      </c>
      <c r="D506">
        <f>[1]!'6443.TW-PreClose'</f>
        <v>6.3</v>
      </c>
      <c r="E506" t="str">
        <f>[1]!'6443.TW-SimulateTime'</f>
        <v>13:29:48</v>
      </c>
    </row>
    <row r="507" spans="1:5" x14ac:dyDescent="0.25">
      <c r="A507" t="str">
        <f>[1]!'6456.TW-ID'</f>
        <v>6456</v>
      </c>
      <c r="B507" t="str">
        <f>[1]!'6456.TW-Name'</f>
        <v>GIS-KY</v>
      </c>
      <c r="C507">
        <f>[1]!'6456.TW-SimulatePrice'</f>
        <v>97.8</v>
      </c>
      <c r="D507">
        <f>[1]!'6456.TW-PreClose'</f>
        <v>102</v>
      </c>
      <c r="E507" t="str">
        <f>[1]!'6456.TW-SimulateTime'</f>
        <v>13:29:55</v>
      </c>
    </row>
    <row r="508" spans="1:5" x14ac:dyDescent="0.25">
      <c r="A508" t="str">
        <f>[1]!'6477.TW-ID'</f>
        <v>6477</v>
      </c>
      <c r="B508" t="str">
        <f>[1]!'6477.TW-Name'</f>
        <v>安集</v>
      </c>
      <c r="C508">
        <f>[1]!'6477.TW-SimulatePrice'</f>
        <v>19.899999999999999</v>
      </c>
      <c r="D508">
        <f>[1]!'6477.TW-PreClose'</f>
        <v>19.899999999999999</v>
      </c>
      <c r="E508" t="str">
        <f>[1]!'6477.TW-SimulateTime'</f>
        <v>13:29:57</v>
      </c>
    </row>
    <row r="509" spans="1:5" x14ac:dyDescent="0.25">
      <c r="A509" t="str">
        <f>[1]!'6668.TW-ID'</f>
        <v>6668</v>
      </c>
      <c r="B509" t="str">
        <f>[1]!'6668.TW-Name'</f>
        <v>中揚光</v>
      </c>
      <c r="C509">
        <f>[1]!'6668.TW-SimulatePrice'</f>
        <v>58.6</v>
      </c>
      <c r="D509">
        <f>[1]!'6668.TW-PreClose'</f>
        <v>58.8</v>
      </c>
      <c r="E509" t="str">
        <f>[1]!'6668.TW-SimulateTime'</f>
        <v>13:28:28</v>
      </c>
    </row>
    <row r="510" spans="1:5" x14ac:dyDescent="0.25">
      <c r="A510" t="str">
        <f>[1]!'6706.TW-ID'</f>
        <v>6706</v>
      </c>
      <c r="B510" t="str">
        <f>[1]!'6706.TW-Name'</f>
        <v>惠特</v>
      </c>
      <c r="C510">
        <f>[1]!'6706.TW-SimulatePrice'</f>
        <v>126</v>
      </c>
      <c r="D510">
        <f>[1]!'6706.TW-PreClose'</f>
        <v>128</v>
      </c>
      <c r="E510" t="str">
        <f>[1]!'6706.TW-SimulateTime'</f>
        <v>13:29:57</v>
      </c>
    </row>
    <row r="511" spans="1:5" x14ac:dyDescent="0.25">
      <c r="A511" t="str">
        <f>[1]!'8104.TW-ID'</f>
        <v>8104</v>
      </c>
      <c r="B511" t="str">
        <f>[1]!'8104.TW-Name'</f>
        <v>錸寶</v>
      </c>
      <c r="C511">
        <f>[1]!'8104.TW-SimulatePrice'</f>
        <v>40</v>
      </c>
      <c r="D511">
        <f>[1]!'8104.TW-PreClose'</f>
        <v>40.549999999999997</v>
      </c>
      <c r="E511" t="str">
        <f>[1]!'8104.TW-SimulateTime'</f>
        <v>13:29:58</v>
      </c>
    </row>
    <row r="512" spans="1:5" x14ac:dyDescent="0.25">
      <c r="A512" t="str">
        <f>[1]!'8105.TW-ID'</f>
        <v>8105</v>
      </c>
      <c r="B512" t="str">
        <f>[1]!'8105.TW-Name'</f>
        <v>凌巨</v>
      </c>
      <c r="C512">
        <f>[1]!'8105.TW-SimulatePrice'</f>
        <v>8.94</v>
      </c>
      <c r="D512">
        <f>[1]!'8105.TW-PreClose'</f>
        <v>9.0500000000000007</v>
      </c>
      <c r="E512" t="str">
        <f>[1]!'8105.TW-SimulateTime'</f>
        <v>13:29:46</v>
      </c>
    </row>
    <row r="513" spans="1:5" x14ac:dyDescent="0.25">
      <c r="A513" t="str">
        <f>[1]!'8215.TW-ID'</f>
        <v>8215</v>
      </c>
      <c r="B513" t="str">
        <f>[1]!'8215.TW-Name'</f>
        <v>明基材</v>
      </c>
      <c r="C513">
        <f>[1]!'8215.TW-SimulatePrice'</f>
        <v>16.100000000000001</v>
      </c>
      <c r="D513">
        <f>[1]!'8215.TW-PreClose'</f>
        <v>16.3</v>
      </c>
      <c r="E513" t="str">
        <f>[1]!'8215.TW-SimulateTime'</f>
        <v>13:29:51</v>
      </c>
    </row>
    <row r="514" spans="1:5" x14ac:dyDescent="0.25">
      <c r="A514" t="str">
        <f>[1]!'2314.TW-ID'</f>
        <v>2314</v>
      </c>
      <c r="B514" t="str">
        <f>[1]!'2314.TW-Name'</f>
        <v>台揚</v>
      </c>
      <c r="C514">
        <f>[1]!'2314.TW-SimulatePrice'</f>
        <v>20.55</v>
      </c>
      <c r="D514">
        <f>[1]!'2314.TW-PreClose'</f>
        <v>21.15</v>
      </c>
      <c r="E514" t="str">
        <f>[1]!'2314.TW-SimulateTime'</f>
        <v>13:29:03</v>
      </c>
    </row>
    <row r="515" spans="1:5" x14ac:dyDescent="0.25">
      <c r="A515" t="str">
        <f>[1]!'2321.TW-ID'</f>
        <v>2321</v>
      </c>
      <c r="B515" t="str">
        <f>[1]!'2321.TW-Name'</f>
        <v>東訊</v>
      </c>
      <c r="C515" t="str">
        <f>[1]!'2321.TW-SimulatePrice'</f>
        <v>--</v>
      </c>
      <c r="D515">
        <f>[1]!'2321.TW-PreClose'</f>
        <v>1.36</v>
      </c>
      <c r="E515" t="str">
        <f>[1]!'2321.TW-SimulateTime'</f>
        <v>--</v>
      </c>
    </row>
    <row r="516" spans="1:5" x14ac:dyDescent="0.25">
      <c r="A516" t="str">
        <f>[1]!'2332.TW-ID'</f>
        <v>2332</v>
      </c>
      <c r="B516" t="str">
        <f>[1]!'2332.TW-Name'</f>
        <v>友訊</v>
      </c>
      <c r="C516">
        <f>[1]!'2332.TW-SimulatePrice'</f>
        <v>12.5</v>
      </c>
      <c r="D516">
        <f>[1]!'2332.TW-PreClose'</f>
        <v>13.1</v>
      </c>
      <c r="E516" t="str">
        <f>[1]!'2332.TW-SimulateTime'</f>
        <v>13:29:59</v>
      </c>
    </row>
    <row r="517" spans="1:5" x14ac:dyDescent="0.25">
      <c r="A517" t="str">
        <f>[1]!'2345.TW-ID'</f>
        <v>2345</v>
      </c>
      <c r="B517" t="str">
        <f>[1]!'2345.TW-Name'</f>
        <v>智邦</v>
      </c>
      <c r="C517">
        <f>[1]!'2345.TW-SimulatePrice'</f>
        <v>209</v>
      </c>
      <c r="D517">
        <f>[1]!'2345.TW-PreClose'</f>
        <v>211</v>
      </c>
      <c r="E517" t="str">
        <f>[1]!'2345.TW-SimulateTime'</f>
        <v>13:29:56</v>
      </c>
    </row>
    <row r="518" spans="1:5" x14ac:dyDescent="0.25">
      <c r="A518" t="str">
        <f>[1]!'2412.TW-ID'</f>
        <v>2412</v>
      </c>
      <c r="B518" t="str">
        <f>[1]!'2412.TW-Name'</f>
        <v>中華電</v>
      </c>
      <c r="C518">
        <f>[1]!'2412.TW-SimulatePrice'</f>
        <v>109.5</v>
      </c>
      <c r="D518">
        <f>[1]!'2412.TW-PreClose'</f>
        <v>110</v>
      </c>
      <c r="E518" t="str">
        <f>[1]!'2412.TW-SimulateTime'</f>
        <v>13:29:56</v>
      </c>
    </row>
    <row r="519" spans="1:5" x14ac:dyDescent="0.25">
      <c r="A519" t="str">
        <f>[1]!'2419.TW-ID'</f>
        <v>2419</v>
      </c>
      <c r="B519" t="str">
        <f>[1]!'2419.TW-Name'</f>
        <v>仲琦</v>
      </c>
      <c r="C519">
        <f>[1]!'2419.TW-SimulatePrice'</f>
        <v>20.100000000000001</v>
      </c>
      <c r="D519">
        <f>[1]!'2419.TW-PreClose'</f>
        <v>20.399999999999999</v>
      </c>
      <c r="E519" t="str">
        <f>[1]!'2419.TW-SimulateTime'</f>
        <v>13:29:32</v>
      </c>
    </row>
    <row r="520" spans="1:5" x14ac:dyDescent="0.25">
      <c r="A520" t="str">
        <f>[1]!'2439.TW-ID'</f>
        <v>2439</v>
      </c>
      <c r="B520" t="str">
        <f>[1]!'2439.TW-Name'</f>
        <v>美律</v>
      </c>
      <c r="C520">
        <f>[1]!'2439.TW-SimulatePrice'</f>
        <v>131.5</v>
      </c>
      <c r="D520">
        <f>[1]!'2439.TW-PreClose'</f>
        <v>134.5</v>
      </c>
      <c r="E520" t="str">
        <f>[1]!'2439.TW-SimulateTime'</f>
        <v>13:29:54</v>
      </c>
    </row>
    <row r="521" spans="1:5" x14ac:dyDescent="0.25">
      <c r="A521" t="str">
        <f>[1]!'2444.TW-ID'</f>
        <v>2444</v>
      </c>
      <c r="B521" t="str">
        <f>[1]!'2444.TW-Name'</f>
        <v>兆勁</v>
      </c>
      <c r="C521">
        <f>[1]!'2444.TW-SimulatePrice'</f>
        <v>16.5</v>
      </c>
      <c r="D521">
        <f>[1]!'2444.TW-PreClose'</f>
        <v>16.350000000000001</v>
      </c>
      <c r="E521" t="str">
        <f>[1]!'2444.TW-SimulateTime'</f>
        <v>13:29:58</v>
      </c>
    </row>
    <row r="522" spans="1:5" x14ac:dyDescent="0.25">
      <c r="A522" t="str">
        <f>[1]!'2450.TW-ID'</f>
        <v>2450</v>
      </c>
      <c r="B522" t="str">
        <f>[1]!'2450.TW-Name'</f>
        <v>神腦</v>
      </c>
      <c r="C522">
        <f>[1]!'2450.TW-SimulatePrice'</f>
        <v>27.7</v>
      </c>
      <c r="D522">
        <f>[1]!'2450.TW-PreClose'</f>
        <v>27.85</v>
      </c>
      <c r="E522" t="str">
        <f>[1]!'2450.TW-SimulateTime'</f>
        <v>13:27:11</v>
      </c>
    </row>
    <row r="523" spans="1:5" x14ac:dyDescent="0.25">
      <c r="A523" t="str">
        <f>[1]!'2455.TW-ID'</f>
        <v>2455</v>
      </c>
      <c r="B523" t="str">
        <f>[1]!'2455.TW-Name'</f>
        <v>全新</v>
      </c>
      <c r="C523">
        <f>[1]!'2455.TW-SimulatePrice'</f>
        <v>90.9</v>
      </c>
      <c r="D523">
        <f>[1]!'2455.TW-PreClose'</f>
        <v>92.2</v>
      </c>
      <c r="E523" t="str">
        <f>[1]!'2455.TW-SimulateTime'</f>
        <v>13:29:56</v>
      </c>
    </row>
    <row r="524" spans="1:5" x14ac:dyDescent="0.25">
      <c r="A524" t="str">
        <f>[1]!'2485.TW-ID'</f>
        <v>2485</v>
      </c>
      <c r="B524" t="str">
        <f>[1]!'2485.TW-Name'</f>
        <v>兆赫</v>
      </c>
      <c r="C524">
        <f>[1]!'2485.TW-SimulatePrice'</f>
        <v>15.8</v>
      </c>
      <c r="D524">
        <f>[1]!'2485.TW-PreClose'</f>
        <v>16.25</v>
      </c>
      <c r="E524" t="str">
        <f>[1]!'2485.TW-SimulateTime'</f>
        <v>13:29:57</v>
      </c>
    </row>
    <row r="525" spans="1:5" x14ac:dyDescent="0.25">
      <c r="A525" t="str">
        <f>[1]!'2498.TW-ID'</f>
        <v>2498</v>
      </c>
      <c r="B525" t="str">
        <f>[1]!'2498.TW-Name'</f>
        <v>宏達電</v>
      </c>
      <c r="C525">
        <f>[1]!'2498.TW-SimulatePrice'</f>
        <v>28.3</v>
      </c>
      <c r="D525">
        <f>[1]!'2498.TW-PreClose'</f>
        <v>28.2</v>
      </c>
      <c r="E525" t="str">
        <f>[1]!'2498.TW-SimulateTime'</f>
        <v>13:29:57</v>
      </c>
    </row>
    <row r="526" spans="1:5" x14ac:dyDescent="0.25">
      <c r="A526" t="str">
        <f>[1]!'3025.TW-ID'</f>
        <v>3025</v>
      </c>
      <c r="B526" t="str">
        <f>[1]!'3025.TW-Name'</f>
        <v>星通</v>
      </c>
      <c r="C526">
        <f>[1]!'3025.TW-SimulatePrice'</f>
        <v>19.45</v>
      </c>
      <c r="D526">
        <f>[1]!'3025.TW-PreClose'</f>
        <v>19.45</v>
      </c>
      <c r="E526" t="str">
        <f>[1]!'3025.TW-SimulateTime'</f>
        <v>13:29:12</v>
      </c>
    </row>
    <row r="527" spans="1:5" x14ac:dyDescent="0.25">
      <c r="A527" t="str">
        <f>[1]!'3027.TW-ID'</f>
        <v>3027</v>
      </c>
      <c r="B527" t="str">
        <f>[1]!'3027.TW-Name'</f>
        <v>盛達</v>
      </c>
      <c r="C527">
        <f>[1]!'3027.TW-SimulatePrice'</f>
        <v>8.0299999999999994</v>
      </c>
      <c r="D527">
        <f>[1]!'3027.TW-PreClose'</f>
        <v>8.09</v>
      </c>
      <c r="E527" t="str">
        <f>[1]!'3027.TW-SimulateTime'</f>
        <v>13:29:58</v>
      </c>
    </row>
    <row r="528" spans="1:5" x14ac:dyDescent="0.25">
      <c r="A528" t="str">
        <f>[1]!'3045.TW-ID'</f>
        <v>3045</v>
      </c>
      <c r="B528" t="str">
        <f>[1]!'3045.TW-Name'</f>
        <v>台灣大</v>
      </c>
      <c r="C528">
        <f>[1]!'3045.TW-SimulatePrice'</f>
        <v>107.5</v>
      </c>
      <c r="D528">
        <f>[1]!'3045.TW-PreClose'</f>
        <v>107</v>
      </c>
      <c r="E528" t="str">
        <f>[1]!'3045.TW-SimulateTime'</f>
        <v>13:29:54</v>
      </c>
    </row>
    <row r="529" spans="1:5" x14ac:dyDescent="0.25">
      <c r="A529" t="str">
        <f>[1]!'3047.TW-ID'</f>
        <v>3047</v>
      </c>
      <c r="B529" t="str">
        <f>[1]!'3047.TW-Name'</f>
        <v>訊舟</v>
      </c>
      <c r="C529">
        <f>[1]!'3047.TW-SimulatePrice'</f>
        <v>7.92</v>
      </c>
      <c r="D529">
        <f>[1]!'3047.TW-PreClose'</f>
        <v>8.1199999999999992</v>
      </c>
      <c r="E529" t="str">
        <f>[1]!'3047.TW-SimulateTime'</f>
        <v>13:29:52</v>
      </c>
    </row>
    <row r="530" spans="1:5" x14ac:dyDescent="0.25">
      <c r="A530" t="str">
        <f>[1]!'3062.TW-ID'</f>
        <v>3062</v>
      </c>
      <c r="B530" t="str">
        <f>[1]!'3062.TW-Name'</f>
        <v>建漢</v>
      </c>
      <c r="C530">
        <f>[1]!'3062.TW-SimulatePrice'</f>
        <v>14.6</v>
      </c>
      <c r="D530">
        <f>[1]!'3062.TW-PreClose'</f>
        <v>14.8</v>
      </c>
      <c r="E530" t="str">
        <f>[1]!'3062.TW-SimulateTime'</f>
        <v>13:29:50</v>
      </c>
    </row>
    <row r="531" spans="1:5" x14ac:dyDescent="0.25">
      <c r="A531" t="str">
        <f>[1]!'3311.TW-ID'</f>
        <v>3311</v>
      </c>
      <c r="B531" t="str">
        <f>[1]!'3311.TW-Name'</f>
        <v>閎暉</v>
      </c>
      <c r="C531">
        <f>[1]!'3311.TW-SimulatePrice'</f>
        <v>27.5</v>
      </c>
      <c r="D531">
        <f>[1]!'3311.TW-PreClose'</f>
        <v>27.5</v>
      </c>
      <c r="E531" t="str">
        <f>[1]!'3311.TW-SimulateTime'</f>
        <v>13:29:23</v>
      </c>
    </row>
    <row r="532" spans="1:5" x14ac:dyDescent="0.25">
      <c r="A532" t="str">
        <f>[1]!'3380.TW-ID'</f>
        <v>3380</v>
      </c>
      <c r="B532" t="str">
        <f>[1]!'3380.TW-Name'</f>
        <v>明泰</v>
      </c>
      <c r="C532">
        <f>[1]!'3380.TW-SimulatePrice'</f>
        <v>26</v>
      </c>
      <c r="D532">
        <f>[1]!'3380.TW-PreClose'</f>
        <v>26</v>
      </c>
      <c r="E532" t="str">
        <f>[1]!'3380.TW-SimulateTime'</f>
        <v>13:29:53</v>
      </c>
    </row>
    <row r="533" spans="1:5" x14ac:dyDescent="0.25">
      <c r="A533" t="str">
        <f>[1]!'3419.TW-ID'</f>
        <v>3419</v>
      </c>
      <c r="B533" t="str">
        <f>[1]!'3419.TW-Name'</f>
        <v>譁裕</v>
      </c>
      <c r="C533">
        <f>[1]!'3419.TW-SimulatePrice'</f>
        <v>14</v>
      </c>
      <c r="D533">
        <f>[1]!'3419.TW-PreClose'</f>
        <v>14.1</v>
      </c>
      <c r="E533" t="str">
        <f>[1]!'3419.TW-SimulateTime'</f>
        <v>13:29:14</v>
      </c>
    </row>
    <row r="534" spans="1:5" x14ac:dyDescent="0.25">
      <c r="A534" t="str">
        <f>[1]!'3596.TW-ID'</f>
        <v>3596</v>
      </c>
      <c r="B534" t="str">
        <f>[1]!'3596.TW-Name'</f>
        <v>智易</v>
      </c>
      <c r="C534">
        <f>[1]!'3596.TW-SimulatePrice'</f>
        <v>84.7</v>
      </c>
      <c r="D534">
        <f>[1]!'3596.TW-PreClose'</f>
        <v>85.2</v>
      </c>
      <c r="E534" t="str">
        <f>[1]!'3596.TW-SimulateTime'</f>
        <v>13:29:52</v>
      </c>
    </row>
    <row r="535" spans="1:5" x14ac:dyDescent="0.25">
      <c r="A535" t="str">
        <f>[1]!'3682.TW-ID'</f>
        <v>3682</v>
      </c>
      <c r="B535" t="str">
        <f>[1]!'3682.TW-Name'</f>
        <v>亞太電</v>
      </c>
      <c r="C535">
        <f>[1]!'3682.TW-SimulatePrice'</f>
        <v>6.56</v>
      </c>
      <c r="D535">
        <f>[1]!'3682.TW-PreClose'</f>
        <v>6.61</v>
      </c>
      <c r="E535" t="str">
        <f>[1]!'3682.TW-SimulateTime'</f>
        <v>13:29:55</v>
      </c>
    </row>
    <row r="536" spans="1:5" x14ac:dyDescent="0.25">
      <c r="A536" t="str">
        <f>[1]!'3694.TW-ID'</f>
        <v>3694</v>
      </c>
      <c r="B536" t="str">
        <f>[1]!'3694.TW-Name'</f>
        <v>海華</v>
      </c>
      <c r="C536">
        <f>[1]!'3694.TW-SimulatePrice'</f>
        <v>17.100000000000001</v>
      </c>
      <c r="D536">
        <f>[1]!'3694.TW-PreClose'</f>
        <v>17.3</v>
      </c>
      <c r="E536" t="str">
        <f>[1]!'3694.TW-SimulateTime'</f>
        <v>13:29:03</v>
      </c>
    </row>
    <row r="537" spans="1:5" x14ac:dyDescent="0.25">
      <c r="A537" t="str">
        <f>[1]!'3704.TW-ID'</f>
        <v>3704</v>
      </c>
      <c r="B537" t="str">
        <f>[1]!'3704.TW-Name'</f>
        <v>合勤控</v>
      </c>
      <c r="C537">
        <f>[1]!'3704.TW-SimulatePrice'</f>
        <v>14.85</v>
      </c>
      <c r="D537">
        <f>[1]!'3704.TW-PreClose'</f>
        <v>15.1</v>
      </c>
      <c r="E537" t="str">
        <f>[1]!'3704.TW-SimulateTime'</f>
        <v>13:29:47</v>
      </c>
    </row>
    <row r="538" spans="1:5" x14ac:dyDescent="0.25">
      <c r="A538" t="str">
        <f>[1]!'4904.TW-ID'</f>
        <v>4904</v>
      </c>
      <c r="B538" t="str">
        <f>[1]!'4904.TW-Name'</f>
        <v>遠傳</v>
      </c>
      <c r="C538">
        <f>[1]!'4904.TW-SimulatePrice'</f>
        <v>65.8</v>
      </c>
      <c r="D538">
        <f>[1]!'4904.TW-PreClose'</f>
        <v>65.900000000000006</v>
      </c>
      <c r="E538" t="str">
        <f>[1]!'4904.TW-SimulateTime'</f>
        <v>13:29:57</v>
      </c>
    </row>
    <row r="539" spans="1:5" x14ac:dyDescent="0.25">
      <c r="A539" t="str">
        <f>[1]!'4906.TW-ID'</f>
        <v>4906</v>
      </c>
      <c r="B539" t="str">
        <f>[1]!'4906.TW-Name'</f>
        <v>正文</v>
      </c>
      <c r="C539">
        <f>[1]!'4906.TW-SimulatePrice'</f>
        <v>21.05</v>
      </c>
      <c r="D539">
        <f>[1]!'4906.TW-PreClose'</f>
        <v>21.65</v>
      </c>
      <c r="E539" t="str">
        <f>[1]!'4906.TW-SimulateTime'</f>
        <v>13:29:50</v>
      </c>
    </row>
    <row r="540" spans="1:5" x14ac:dyDescent="0.25">
      <c r="A540" t="str">
        <f>[1]!'4977.TW-ID'</f>
        <v>4977</v>
      </c>
      <c r="B540" t="str">
        <f>[1]!'4977.TW-Name'</f>
        <v>眾達-KY</v>
      </c>
      <c r="C540">
        <f>[1]!'4977.TW-SimulatePrice'</f>
        <v>124</v>
      </c>
      <c r="D540">
        <f>[1]!'4977.TW-PreClose'</f>
        <v>120</v>
      </c>
      <c r="E540" t="str">
        <f>[1]!'4977.TW-SimulateTime'</f>
        <v>13:29:57</v>
      </c>
    </row>
    <row r="541" spans="1:5" x14ac:dyDescent="0.25">
      <c r="A541" t="str">
        <f>[1]!'5388.TW-ID'</f>
        <v>5388</v>
      </c>
      <c r="B541" t="str">
        <f>[1]!'5388.TW-Name'</f>
        <v>中磊</v>
      </c>
      <c r="C541">
        <f>[1]!'5388.TW-SimulatePrice'</f>
        <v>72.099999999999994</v>
      </c>
      <c r="D541">
        <f>[1]!'5388.TW-PreClose'</f>
        <v>72.2</v>
      </c>
      <c r="E541" t="str">
        <f>[1]!'5388.TW-SimulateTime'</f>
        <v>13:29:50</v>
      </c>
    </row>
    <row r="542" spans="1:5" x14ac:dyDescent="0.25">
      <c r="A542" t="str">
        <f>[1]!'6136.TW-ID'</f>
        <v>6136</v>
      </c>
      <c r="B542" t="str">
        <f>[1]!'6136.TW-Name'</f>
        <v>富爾特</v>
      </c>
      <c r="C542">
        <f>[1]!'6136.TW-SimulatePrice'</f>
        <v>18.600000000000001</v>
      </c>
      <c r="D542">
        <f>[1]!'6136.TW-PreClose'</f>
        <v>18.600000000000001</v>
      </c>
      <c r="E542" t="str">
        <f>[1]!'6136.TW-SimulateTime'</f>
        <v>13:27:45</v>
      </c>
    </row>
    <row r="543" spans="1:5" x14ac:dyDescent="0.25">
      <c r="A543" t="str">
        <f>[1]!'6142.TW-ID'</f>
        <v>6142</v>
      </c>
      <c r="B543" t="str">
        <f>[1]!'6142.TW-Name'</f>
        <v>友勁</v>
      </c>
      <c r="C543">
        <f>[1]!'6142.TW-SimulatePrice'</f>
        <v>7</v>
      </c>
      <c r="D543">
        <f>[1]!'6142.TW-PreClose'</f>
        <v>7.09</v>
      </c>
      <c r="E543" t="str">
        <f>[1]!'6142.TW-SimulateTime'</f>
        <v>13:26:07</v>
      </c>
    </row>
    <row r="544" spans="1:5" x14ac:dyDescent="0.25">
      <c r="A544" t="str">
        <f>[1]!'6152.TW-ID'</f>
        <v>6152</v>
      </c>
      <c r="B544" t="str">
        <f>[1]!'6152.TW-Name'</f>
        <v>百一</v>
      </c>
      <c r="C544">
        <f>[1]!'6152.TW-SimulatePrice'</f>
        <v>6.06</v>
      </c>
      <c r="D544">
        <f>[1]!'6152.TW-PreClose'</f>
        <v>6.05</v>
      </c>
      <c r="E544" t="str">
        <f>[1]!'6152.TW-SimulateTime'</f>
        <v>13:29:48</v>
      </c>
    </row>
    <row r="545" spans="1:5" x14ac:dyDescent="0.25">
      <c r="A545" t="str">
        <f>[1]!'6216.TW-ID'</f>
        <v>6216</v>
      </c>
      <c r="B545" t="str">
        <f>[1]!'6216.TW-Name'</f>
        <v>居易</v>
      </c>
      <c r="C545" t="str">
        <f>[1]!'6216.TW-SimulatePrice'</f>
        <v>--</v>
      </c>
      <c r="D545">
        <f>[1]!'6216.TW-PreClose'</f>
        <v>27.3</v>
      </c>
      <c r="E545" t="str">
        <f>[1]!'6216.TW-SimulateTime'</f>
        <v>--</v>
      </c>
    </row>
    <row r="546" spans="1:5" x14ac:dyDescent="0.25">
      <c r="A546" t="str">
        <f>[1]!'6285.TW-ID'</f>
        <v>6285</v>
      </c>
      <c r="B546" t="str">
        <f>[1]!'6285.TW-Name'</f>
        <v>啟碁</v>
      </c>
      <c r="C546">
        <f>[1]!'6285.TW-SimulatePrice'</f>
        <v>61.8</v>
      </c>
      <c r="D546">
        <f>[1]!'6285.TW-PreClose'</f>
        <v>62.3</v>
      </c>
      <c r="E546" t="str">
        <f>[1]!'6285.TW-SimulateTime'</f>
        <v>13:29:57</v>
      </c>
    </row>
    <row r="547" spans="1:5" x14ac:dyDescent="0.25">
      <c r="A547" t="str">
        <f>[1]!'6416.TW-ID'</f>
        <v>6416</v>
      </c>
      <c r="B547" t="str">
        <f>[1]!'6416.TW-Name'</f>
        <v>瑞祺電通</v>
      </c>
      <c r="C547">
        <f>[1]!'6416.TW-SimulatePrice'</f>
        <v>124</v>
      </c>
      <c r="D547">
        <f>[1]!'6416.TW-PreClose'</f>
        <v>122.5</v>
      </c>
      <c r="E547" t="str">
        <f>[1]!'6416.TW-SimulateTime'</f>
        <v>13:29:58</v>
      </c>
    </row>
    <row r="548" spans="1:5" x14ac:dyDescent="0.25">
      <c r="A548" t="str">
        <f>[1]!'6442.TW-ID'</f>
        <v>6442</v>
      </c>
      <c r="B548" t="str">
        <f>[1]!'6442.TW-Name'</f>
        <v>光聖</v>
      </c>
      <c r="C548" t="str">
        <f>[1]!'6442.TW-SimulatePrice'</f>
        <v>--</v>
      </c>
      <c r="D548">
        <f>[1]!'6442.TW-PreClose'</f>
        <v>36.6</v>
      </c>
      <c r="E548" t="str">
        <f>[1]!'6442.TW-SimulateTime'</f>
        <v>--</v>
      </c>
    </row>
    <row r="549" spans="1:5" x14ac:dyDescent="0.25">
      <c r="A549" t="str">
        <f>[1]!'6674.TW-ID'</f>
        <v>6674</v>
      </c>
      <c r="B549" t="str">
        <f>[1]!'6674.TW-Name'</f>
        <v>鋐寶科技</v>
      </c>
      <c r="C549">
        <f>[1]!'6674.TW-SimulatePrice'</f>
        <v>23.8</v>
      </c>
      <c r="D549">
        <f>[1]!'6674.TW-PreClose'</f>
        <v>25</v>
      </c>
      <c r="E549" t="str">
        <f>[1]!'6674.TW-SimulateTime'</f>
        <v>13:29:53</v>
      </c>
    </row>
    <row r="550" spans="1:5" x14ac:dyDescent="0.25">
      <c r="A550" t="str">
        <f>[1]!'8011.TW-ID'</f>
        <v>8011</v>
      </c>
      <c r="B550" t="str">
        <f>[1]!'8011.TW-Name'</f>
        <v>台通</v>
      </c>
      <c r="C550">
        <f>[1]!'8011.TW-SimulatePrice'</f>
        <v>19.25</v>
      </c>
      <c r="D550">
        <f>[1]!'8011.TW-PreClose'</f>
        <v>18.55</v>
      </c>
      <c r="E550" t="str">
        <f>[1]!'8011.TW-SimulateTime'</f>
        <v>13:29:49</v>
      </c>
    </row>
    <row r="551" spans="1:5" x14ac:dyDescent="0.25">
      <c r="A551" t="str">
        <f>[1]!'8101.TW-ID'</f>
        <v>8101</v>
      </c>
      <c r="B551" t="str">
        <f>[1]!'8101.TW-Name'</f>
        <v>華冠</v>
      </c>
      <c r="C551">
        <f>[1]!'8101.TW-SimulatePrice'</f>
        <v>5.61</v>
      </c>
      <c r="D551">
        <f>[1]!'8101.TW-PreClose'</f>
        <v>5.85</v>
      </c>
      <c r="E551" t="str">
        <f>[1]!'8101.TW-SimulateTime'</f>
        <v>13:29:55</v>
      </c>
    </row>
    <row r="552" spans="1:5" x14ac:dyDescent="0.25">
      <c r="A552" t="str">
        <f>[1]!'1471.TW-ID'</f>
        <v>1471</v>
      </c>
      <c r="B552" t="str">
        <f>[1]!'1471.TW-Name'</f>
        <v>首利</v>
      </c>
      <c r="C552">
        <f>[1]!'1471.TW-SimulatePrice'</f>
        <v>2.27</v>
      </c>
      <c r="D552">
        <f>[1]!'1471.TW-PreClose'</f>
        <v>2.16</v>
      </c>
      <c r="E552" t="str">
        <f>[1]!'1471.TW-SimulateTime'</f>
        <v>13:29:49</v>
      </c>
    </row>
    <row r="553" spans="1:5" x14ac:dyDescent="0.25">
      <c r="A553" t="str">
        <f>[1]!'1582.TW-ID'</f>
        <v>1582</v>
      </c>
      <c r="B553" t="str">
        <f>[1]!'1582.TW-Name'</f>
        <v>信錦</v>
      </c>
      <c r="C553">
        <f>[1]!'1582.TW-SimulatePrice'</f>
        <v>81.099999999999994</v>
      </c>
      <c r="D553">
        <f>[1]!'1582.TW-PreClose'</f>
        <v>81.5</v>
      </c>
      <c r="E553" t="str">
        <f>[1]!'1582.TW-SimulateTime'</f>
        <v>13:29:56</v>
      </c>
    </row>
    <row r="554" spans="1:5" x14ac:dyDescent="0.25">
      <c r="A554" t="str">
        <f>[1]!'2059.TW-ID'</f>
        <v>2059</v>
      </c>
      <c r="B554" t="str">
        <f>[1]!'2059.TW-Name'</f>
        <v>川湖</v>
      </c>
      <c r="C554">
        <f>[1]!'2059.TW-SimulatePrice'</f>
        <v>301</v>
      </c>
      <c r="D554">
        <f>[1]!'2059.TW-PreClose'</f>
        <v>307</v>
      </c>
      <c r="E554" t="str">
        <f>[1]!'2059.TW-SimulateTime'</f>
        <v>13:29:58</v>
      </c>
    </row>
    <row r="555" spans="1:5" x14ac:dyDescent="0.25">
      <c r="A555" t="str">
        <f>[1]!'2308.TW-ID'</f>
        <v>2308</v>
      </c>
      <c r="B555" t="str">
        <f>[1]!'2308.TW-Name'</f>
        <v>台達電</v>
      </c>
      <c r="C555">
        <f>[1]!'2308.TW-SimulatePrice'</f>
        <v>138</v>
      </c>
      <c r="D555">
        <f>[1]!'2308.TW-PreClose'</f>
        <v>140</v>
      </c>
      <c r="E555" t="str">
        <f>[1]!'2308.TW-SimulateTime'</f>
        <v>13:29:57</v>
      </c>
    </row>
    <row r="556" spans="1:5" x14ac:dyDescent="0.25">
      <c r="A556" t="str">
        <f>[1]!'2313.TW-ID'</f>
        <v>2313</v>
      </c>
      <c r="B556" t="str">
        <f>[1]!'2313.TW-Name'</f>
        <v>華通</v>
      </c>
      <c r="C556">
        <f>[1]!'2313.TW-SimulatePrice'</f>
        <v>42</v>
      </c>
      <c r="D556">
        <f>[1]!'2313.TW-PreClose'</f>
        <v>41.95</v>
      </c>
      <c r="E556" t="str">
        <f>[1]!'2313.TW-SimulateTime'</f>
        <v>13:29:57</v>
      </c>
    </row>
    <row r="557" spans="1:5" x14ac:dyDescent="0.25">
      <c r="A557" t="str">
        <f>[1]!'2316.TW-ID'</f>
        <v>2316</v>
      </c>
      <c r="B557" t="str">
        <f>[1]!'2316.TW-Name'</f>
        <v>楠梓電</v>
      </c>
      <c r="C557">
        <f>[1]!'2316.TW-SimulatePrice'</f>
        <v>31.35</v>
      </c>
      <c r="D557">
        <f>[1]!'2316.TW-PreClose'</f>
        <v>32</v>
      </c>
      <c r="E557" t="str">
        <f>[1]!'2316.TW-SimulateTime'</f>
        <v>13:29:59</v>
      </c>
    </row>
    <row r="558" spans="1:5" x14ac:dyDescent="0.25">
      <c r="A558" t="str">
        <f>[1]!'2327.TW-ID'</f>
        <v>2327</v>
      </c>
      <c r="B558" t="str">
        <f>[1]!'2327.TW-Name'</f>
        <v>國巨</v>
      </c>
      <c r="C558">
        <f>[1]!'2327.TW-SimulatePrice'</f>
        <v>386</v>
      </c>
      <c r="D558">
        <f>[1]!'2327.TW-PreClose'</f>
        <v>385.5</v>
      </c>
      <c r="E558" t="str">
        <f>[1]!'2327.TW-SimulateTime'</f>
        <v>13:29:57</v>
      </c>
    </row>
    <row r="559" spans="1:5" x14ac:dyDescent="0.25">
      <c r="A559" t="str">
        <f>[1]!'2328.TW-ID'</f>
        <v>2328</v>
      </c>
      <c r="B559" t="str">
        <f>[1]!'2328.TW-Name'</f>
        <v>廣宇</v>
      </c>
      <c r="C559">
        <f>[1]!'2328.TW-SimulatePrice'</f>
        <v>18.100000000000001</v>
      </c>
      <c r="D559">
        <f>[1]!'2328.TW-PreClose'</f>
        <v>18.350000000000001</v>
      </c>
      <c r="E559" t="str">
        <f>[1]!'2328.TW-SimulateTime'</f>
        <v>13:29:53</v>
      </c>
    </row>
    <row r="560" spans="1:5" x14ac:dyDescent="0.25">
      <c r="A560" t="str">
        <f>[1]!'2355.TW-ID'</f>
        <v>2355</v>
      </c>
      <c r="B560" t="str">
        <f>[1]!'2355.TW-Name'</f>
        <v>敬鵬</v>
      </c>
      <c r="C560">
        <f>[1]!'2355.TW-SimulatePrice'</f>
        <v>22.5</v>
      </c>
      <c r="D560">
        <f>[1]!'2355.TW-PreClose'</f>
        <v>23.05</v>
      </c>
      <c r="E560" t="str">
        <f>[1]!'2355.TW-SimulateTime'</f>
        <v>13:29:55</v>
      </c>
    </row>
    <row r="561" spans="1:5" x14ac:dyDescent="0.25">
      <c r="A561" t="str">
        <f>[1]!'2367.TW-ID'</f>
        <v>2367</v>
      </c>
      <c r="B561" t="str">
        <f>[1]!'2367.TW-Name'</f>
        <v>燿華</v>
      </c>
      <c r="C561">
        <f>[1]!'2367.TW-SimulatePrice'</f>
        <v>21.7</v>
      </c>
      <c r="D561">
        <f>[1]!'2367.TW-PreClose'</f>
        <v>21.7</v>
      </c>
      <c r="E561" t="str">
        <f>[1]!'2367.TW-SimulateTime'</f>
        <v>13:29:55</v>
      </c>
    </row>
    <row r="562" spans="1:5" x14ac:dyDescent="0.25">
      <c r="A562" t="str">
        <f>[1]!'2368.TW-ID'</f>
        <v>2368</v>
      </c>
      <c r="B562" t="str">
        <f>[1]!'2368.TW-Name'</f>
        <v>金像電</v>
      </c>
      <c r="C562">
        <f>[1]!'2368.TW-SimulatePrice'</f>
        <v>34.15</v>
      </c>
      <c r="D562">
        <f>[1]!'2368.TW-PreClose'</f>
        <v>32.549999999999997</v>
      </c>
      <c r="E562" t="str">
        <f>[1]!'2368.TW-SimulateTime'</f>
        <v>13:29:57</v>
      </c>
    </row>
    <row r="563" spans="1:5" x14ac:dyDescent="0.25">
      <c r="A563" t="str">
        <f>[1]!'2375.TW-ID'</f>
        <v>2375</v>
      </c>
      <c r="B563" t="str">
        <f>[1]!'2375.TW-Name'</f>
        <v>凱美</v>
      </c>
      <c r="C563">
        <f>[1]!'2375.TW-SimulatePrice'</f>
        <v>36.450000000000003</v>
      </c>
      <c r="D563">
        <f>[1]!'2375.TW-PreClose'</f>
        <v>36.200000000000003</v>
      </c>
      <c r="E563" t="str">
        <f>[1]!'2375.TW-SimulateTime'</f>
        <v>13:29:56</v>
      </c>
    </row>
    <row r="564" spans="1:5" x14ac:dyDescent="0.25">
      <c r="A564" t="str">
        <f>[1]!'2383.TW-ID'</f>
        <v>2383</v>
      </c>
      <c r="B564" t="str">
        <f>[1]!'2383.TW-Name'</f>
        <v>台光電</v>
      </c>
      <c r="C564">
        <f>[1]!'2383.TW-SimulatePrice'</f>
        <v>144</v>
      </c>
      <c r="D564">
        <f>[1]!'2383.TW-PreClose'</f>
        <v>141</v>
      </c>
      <c r="E564" t="str">
        <f>[1]!'2383.TW-SimulateTime'</f>
        <v>13:29:59</v>
      </c>
    </row>
    <row r="565" spans="1:5" x14ac:dyDescent="0.25">
      <c r="A565" t="str">
        <f>[1]!'2385.TW-ID'</f>
        <v>2385</v>
      </c>
      <c r="B565" t="str">
        <f>[1]!'2385.TW-Name'</f>
        <v>群光</v>
      </c>
      <c r="C565">
        <f>[1]!'2385.TW-SimulatePrice'</f>
        <v>80.599999999999994</v>
      </c>
      <c r="D565">
        <f>[1]!'2385.TW-PreClose'</f>
        <v>80.8</v>
      </c>
      <c r="E565" t="str">
        <f>[1]!'2385.TW-SimulateTime'</f>
        <v>13:29:58</v>
      </c>
    </row>
    <row r="566" spans="1:5" x14ac:dyDescent="0.25">
      <c r="A566" t="str">
        <f>[1]!'2392.TW-ID'</f>
        <v>2392</v>
      </c>
      <c r="B566" t="str">
        <f>[1]!'2392.TW-Name'</f>
        <v>正崴</v>
      </c>
      <c r="C566">
        <f>[1]!'2392.TW-SimulatePrice'</f>
        <v>36.35</v>
      </c>
      <c r="D566">
        <f>[1]!'2392.TW-PreClose'</f>
        <v>37.1</v>
      </c>
      <c r="E566" t="str">
        <f>[1]!'2392.TW-SimulateTime'</f>
        <v>13:29:59</v>
      </c>
    </row>
    <row r="567" spans="1:5" x14ac:dyDescent="0.25">
      <c r="A567" t="str">
        <f>[1]!'2402.TW-ID'</f>
        <v>2402</v>
      </c>
      <c r="B567" t="str">
        <f>[1]!'2402.TW-Name'</f>
        <v>毅嘉</v>
      </c>
      <c r="C567">
        <f>[1]!'2402.TW-SimulatePrice'</f>
        <v>12.4</v>
      </c>
      <c r="D567">
        <f>[1]!'2402.TW-PreClose'</f>
        <v>12.6</v>
      </c>
      <c r="E567" t="str">
        <f>[1]!'2402.TW-SimulateTime'</f>
        <v>13:29:49</v>
      </c>
    </row>
    <row r="568" spans="1:5" x14ac:dyDescent="0.25">
      <c r="A568" t="str">
        <f>[1]!'2413.TW-ID'</f>
        <v>2413</v>
      </c>
      <c r="B568" t="str">
        <f>[1]!'2413.TW-Name'</f>
        <v>環科</v>
      </c>
      <c r="C568">
        <f>[1]!'2413.TW-SimulatePrice'</f>
        <v>12.25</v>
      </c>
      <c r="D568">
        <f>[1]!'2413.TW-PreClose'</f>
        <v>12.35</v>
      </c>
      <c r="E568" t="str">
        <f>[1]!'2413.TW-SimulateTime'</f>
        <v>13:29:59</v>
      </c>
    </row>
    <row r="569" spans="1:5" x14ac:dyDescent="0.25">
      <c r="A569" t="str">
        <f>[1]!'2415.TW-ID'</f>
        <v>2415</v>
      </c>
      <c r="B569" t="str">
        <f>[1]!'2415.TW-Name'</f>
        <v>錩新</v>
      </c>
      <c r="C569">
        <f>[1]!'2415.TW-SimulatePrice'</f>
        <v>15.9</v>
      </c>
      <c r="D569">
        <f>[1]!'2415.TW-PreClose'</f>
        <v>16.45</v>
      </c>
      <c r="E569" t="str">
        <f>[1]!'2415.TW-SimulateTime'</f>
        <v>13:29:48</v>
      </c>
    </row>
    <row r="570" spans="1:5" x14ac:dyDescent="0.25">
      <c r="A570" t="str">
        <f>[1]!'2420.TW-ID'</f>
        <v>2420</v>
      </c>
      <c r="B570" t="str">
        <f>[1]!'2420.TW-Name'</f>
        <v>新巨</v>
      </c>
      <c r="C570">
        <f>[1]!'2420.TW-SimulatePrice'</f>
        <v>33.65</v>
      </c>
      <c r="D570">
        <f>[1]!'2420.TW-PreClose'</f>
        <v>33.65</v>
      </c>
      <c r="E570" t="str">
        <f>[1]!'2420.TW-SimulateTime'</f>
        <v>13:29:57</v>
      </c>
    </row>
    <row r="571" spans="1:5" x14ac:dyDescent="0.25">
      <c r="A571" t="str">
        <f>[1]!'2421.TW-ID'</f>
        <v>2421</v>
      </c>
      <c r="B571" t="str">
        <f>[1]!'2421.TW-Name'</f>
        <v>建準</v>
      </c>
      <c r="C571">
        <f>[1]!'2421.TW-SimulatePrice'</f>
        <v>49.5</v>
      </c>
      <c r="D571">
        <f>[1]!'2421.TW-PreClose'</f>
        <v>49.2</v>
      </c>
      <c r="E571" t="str">
        <f>[1]!'2421.TW-SimulateTime'</f>
        <v>13:29:59</v>
      </c>
    </row>
    <row r="572" spans="1:5" x14ac:dyDescent="0.25">
      <c r="A572" t="str">
        <f>[1]!'2428.TW-ID'</f>
        <v>2428</v>
      </c>
      <c r="B572" t="str">
        <f>[1]!'2428.TW-Name'</f>
        <v>興勤</v>
      </c>
      <c r="C572">
        <f>[1]!'2428.TW-SimulatePrice'</f>
        <v>86.9</v>
      </c>
      <c r="D572">
        <f>[1]!'2428.TW-PreClose'</f>
        <v>87</v>
      </c>
      <c r="E572" t="str">
        <f>[1]!'2428.TW-SimulateTime'</f>
        <v>13:29:50</v>
      </c>
    </row>
    <row r="573" spans="1:5" x14ac:dyDescent="0.25">
      <c r="A573" t="str">
        <f>[1]!'2429.TW-ID'</f>
        <v>2429</v>
      </c>
      <c r="B573" t="str">
        <f>[1]!'2429.TW-Name'</f>
        <v>銘旺科</v>
      </c>
      <c r="C573">
        <f>[1]!'2429.TW-SimulatePrice'</f>
        <v>19.8</v>
      </c>
      <c r="D573">
        <f>[1]!'2429.TW-PreClose'</f>
        <v>20.100000000000001</v>
      </c>
      <c r="E573" t="str">
        <f>[1]!'2429.TW-SimulateTime'</f>
        <v>13:29:23</v>
      </c>
    </row>
    <row r="574" spans="1:5" x14ac:dyDescent="0.25">
      <c r="A574" t="str">
        <f>[1]!'2431.TW-ID'</f>
        <v>2431</v>
      </c>
      <c r="B574" t="str">
        <f>[1]!'2431.TW-Name'</f>
        <v>聯昌</v>
      </c>
      <c r="C574">
        <f>[1]!'2431.TW-SimulatePrice'</f>
        <v>8.2899999999999991</v>
      </c>
      <c r="D574">
        <f>[1]!'2431.TW-PreClose'</f>
        <v>8.41</v>
      </c>
      <c r="E574" t="str">
        <f>[1]!'2431.TW-SimulateTime'</f>
        <v>13:26:37</v>
      </c>
    </row>
    <row r="575" spans="1:5" x14ac:dyDescent="0.25">
      <c r="A575" t="str">
        <f>[1]!'2440.TW-ID'</f>
        <v>2440</v>
      </c>
      <c r="B575" t="str">
        <f>[1]!'2440.TW-Name'</f>
        <v>太空梭</v>
      </c>
      <c r="C575">
        <f>[1]!'2440.TW-SimulatePrice'</f>
        <v>9.1199999999999992</v>
      </c>
      <c r="D575">
        <f>[1]!'2440.TW-PreClose'</f>
        <v>9.1</v>
      </c>
      <c r="E575" t="str">
        <f>[1]!'2440.TW-SimulateTime'</f>
        <v>13:31:45</v>
      </c>
    </row>
    <row r="576" spans="1:5" x14ac:dyDescent="0.25">
      <c r="A576" t="str">
        <f>[1]!'2456.TW-ID'</f>
        <v>2456</v>
      </c>
      <c r="B576" t="str">
        <f>[1]!'2456.TW-Name'</f>
        <v>奇力新</v>
      </c>
      <c r="C576">
        <f>[1]!'2456.TW-SimulatePrice'</f>
        <v>98.7</v>
      </c>
      <c r="D576">
        <f>[1]!'2456.TW-PreClose'</f>
        <v>99.6</v>
      </c>
      <c r="E576" t="str">
        <f>[1]!'2456.TW-SimulateTime'</f>
        <v>13:29:56</v>
      </c>
    </row>
    <row r="577" spans="1:5" x14ac:dyDescent="0.25">
      <c r="A577" t="str">
        <f>[1]!'2457.TW-ID'</f>
        <v>2457</v>
      </c>
      <c r="B577" t="str">
        <f>[1]!'2457.TW-Name'</f>
        <v>飛宏</v>
      </c>
      <c r="C577">
        <f>[1]!'2457.TW-SimulatePrice'</f>
        <v>6.74</v>
      </c>
      <c r="D577">
        <f>[1]!'2457.TW-PreClose'</f>
        <v>6.83</v>
      </c>
      <c r="E577" t="str">
        <f>[1]!'2457.TW-SimulateTime'</f>
        <v>13:29:38</v>
      </c>
    </row>
    <row r="578" spans="1:5" x14ac:dyDescent="0.25">
      <c r="A578" t="str">
        <f>[1]!'2460.TW-ID'</f>
        <v>2460</v>
      </c>
      <c r="B578" t="str">
        <f>[1]!'2460.TW-Name'</f>
        <v>建通</v>
      </c>
      <c r="C578">
        <f>[1]!'2460.TW-SimulatePrice'</f>
        <v>8.16</v>
      </c>
      <c r="D578">
        <f>[1]!'2460.TW-PreClose'</f>
        <v>8.1999999999999993</v>
      </c>
      <c r="E578" t="str">
        <f>[1]!'2460.TW-SimulateTime'</f>
        <v>13:29:58</v>
      </c>
    </row>
    <row r="579" spans="1:5" x14ac:dyDescent="0.25">
      <c r="A579" t="str">
        <f>[1]!'2462.TW-ID'</f>
        <v>2462</v>
      </c>
      <c r="B579" t="str">
        <f>[1]!'2462.TW-Name'</f>
        <v>良得電</v>
      </c>
      <c r="C579" t="str">
        <f>[1]!'2462.TW-SimulatePrice'</f>
        <v>--</v>
      </c>
      <c r="D579">
        <f>[1]!'2462.TW-PreClose'</f>
        <v>26.6</v>
      </c>
      <c r="E579" t="str">
        <f>[1]!'2462.TW-SimulateTime'</f>
        <v>--</v>
      </c>
    </row>
    <row r="580" spans="1:5" x14ac:dyDescent="0.25">
      <c r="A580" t="str">
        <f>[1]!'2467.TW-ID'</f>
        <v>2467</v>
      </c>
      <c r="B580" t="str">
        <f>[1]!'2467.TW-Name'</f>
        <v>志聖</v>
      </c>
      <c r="C580">
        <f>[1]!'2467.TW-SimulatePrice'</f>
        <v>28.15</v>
      </c>
      <c r="D580">
        <f>[1]!'2467.TW-PreClose'</f>
        <v>28.5</v>
      </c>
      <c r="E580" t="str">
        <f>[1]!'2467.TW-SimulateTime'</f>
        <v>13:29:09</v>
      </c>
    </row>
    <row r="581" spans="1:5" x14ac:dyDescent="0.25">
      <c r="A581" t="str">
        <f>[1]!'2472.TW-ID'</f>
        <v>2472</v>
      </c>
      <c r="B581" t="str">
        <f>[1]!'2472.TW-Name'</f>
        <v>立隆電</v>
      </c>
      <c r="C581">
        <f>[1]!'2472.TW-SimulatePrice'</f>
        <v>41.55</v>
      </c>
      <c r="D581">
        <f>[1]!'2472.TW-PreClose'</f>
        <v>41.55</v>
      </c>
      <c r="E581" t="str">
        <f>[1]!'2472.TW-SimulateTime'</f>
        <v>13:29:56</v>
      </c>
    </row>
    <row r="582" spans="1:5" x14ac:dyDescent="0.25">
      <c r="A582" t="str">
        <f>[1]!'2476.TW-ID'</f>
        <v>2476</v>
      </c>
      <c r="B582" t="str">
        <f>[1]!'2476.TW-Name'</f>
        <v>鉅祥</v>
      </c>
      <c r="C582">
        <f>[1]!'2476.TW-SimulatePrice'</f>
        <v>20</v>
      </c>
      <c r="D582">
        <f>[1]!'2476.TW-PreClose'</f>
        <v>19.899999999999999</v>
      </c>
      <c r="E582" t="str">
        <f>[1]!'2476.TW-SimulateTime'</f>
        <v>13:29:31</v>
      </c>
    </row>
    <row r="583" spans="1:5" x14ac:dyDescent="0.25">
      <c r="A583" t="str">
        <f>[1]!'2478.TW-ID'</f>
        <v>2478</v>
      </c>
      <c r="B583" t="str">
        <f>[1]!'2478.TW-Name'</f>
        <v>大毅</v>
      </c>
      <c r="C583">
        <f>[1]!'2478.TW-SimulatePrice'</f>
        <v>81.400000000000006</v>
      </c>
      <c r="D583">
        <f>[1]!'2478.TW-PreClose'</f>
        <v>79.3</v>
      </c>
      <c r="E583" t="str">
        <f>[1]!'2478.TW-SimulateTime'</f>
        <v>13:29:57</v>
      </c>
    </row>
    <row r="584" spans="1:5" x14ac:dyDescent="0.25">
      <c r="A584" t="str">
        <f>[1]!'2483.TW-ID'</f>
        <v>2483</v>
      </c>
      <c r="B584" t="str">
        <f>[1]!'2483.TW-Name'</f>
        <v>百容</v>
      </c>
      <c r="C584">
        <f>[1]!'2483.TW-SimulatePrice'</f>
        <v>19.600000000000001</v>
      </c>
      <c r="D584">
        <f>[1]!'2483.TW-PreClose'</f>
        <v>19.649999999999999</v>
      </c>
      <c r="E584" t="str">
        <f>[1]!'2483.TW-SimulateTime'</f>
        <v>13:27:44</v>
      </c>
    </row>
    <row r="585" spans="1:5" x14ac:dyDescent="0.25">
      <c r="A585" t="str">
        <f>[1]!'2484.TW-ID'</f>
        <v>2484</v>
      </c>
      <c r="B585" t="str">
        <f>[1]!'2484.TW-Name'</f>
        <v>希華</v>
      </c>
      <c r="C585">
        <f>[1]!'2484.TW-SimulatePrice'</f>
        <v>20.6</v>
      </c>
      <c r="D585">
        <f>[1]!'2484.TW-PreClose'</f>
        <v>20.7</v>
      </c>
      <c r="E585" t="str">
        <f>[1]!'2484.TW-SimulateTime'</f>
        <v>13:29:57</v>
      </c>
    </row>
    <row r="586" spans="1:5" x14ac:dyDescent="0.25">
      <c r="A586" t="str">
        <f>[1]!'2492.TW-ID'</f>
        <v>2492</v>
      </c>
      <c r="B586" t="str">
        <f>[1]!'2492.TW-Name'</f>
        <v>華新科</v>
      </c>
      <c r="C586">
        <f>[1]!'2492.TW-SimulatePrice'</f>
        <v>189</v>
      </c>
      <c r="D586">
        <f>[1]!'2492.TW-PreClose'</f>
        <v>189</v>
      </c>
      <c r="E586" t="str">
        <f>[1]!'2492.TW-SimulateTime'</f>
        <v>13:29:58</v>
      </c>
    </row>
    <row r="587" spans="1:5" x14ac:dyDescent="0.25">
      <c r="A587" t="str">
        <f>[1]!'2493.TW-ID'</f>
        <v>2493</v>
      </c>
      <c r="B587" t="str">
        <f>[1]!'2493.TW-Name'</f>
        <v>揚博</v>
      </c>
      <c r="C587">
        <f>[1]!'2493.TW-SimulatePrice'</f>
        <v>33.299999999999997</v>
      </c>
      <c r="D587">
        <f>[1]!'2493.TW-PreClose'</f>
        <v>32.9</v>
      </c>
      <c r="E587" t="str">
        <f>[1]!'2493.TW-SimulateTime'</f>
        <v>13:29:58</v>
      </c>
    </row>
    <row r="588" spans="1:5" x14ac:dyDescent="0.25">
      <c r="A588" t="str">
        <f>[1]!'3003.TW-ID'</f>
        <v>3003</v>
      </c>
      <c r="B588" t="str">
        <f>[1]!'3003.TW-Name'</f>
        <v>健和興</v>
      </c>
      <c r="C588">
        <f>[1]!'3003.TW-SimulatePrice'</f>
        <v>38.35</v>
      </c>
      <c r="D588">
        <f>[1]!'3003.TW-PreClose'</f>
        <v>38.200000000000003</v>
      </c>
      <c r="E588" t="str">
        <f>[1]!'3003.TW-SimulateTime'</f>
        <v>13:29:54</v>
      </c>
    </row>
    <row r="589" spans="1:5" x14ac:dyDescent="0.25">
      <c r="A589" t="str">
        <f>[1]!'3011.TW-ID'</f>
        <v>3011</v>
      </c>
      <c r="B589" t="str">
        <f>[1]!'3011.TW-Name'</f>
        <v>今皓</v>
      </c>
      <c r="C589">
        <f>[1]!'3011.TW-SimulatePrice'</f>
        <v>5.27</v>
      </c>
      <c r="D589">
        <f>[1]!'3011.TW-PreClose'</f>
        <v>5.36</v>
      </c>
      <c r="E589" t="str">
        <f>[1]!'3011.TW-SimulateTime'</f>
        <v>13:29:25</v>
      </c>
    </row>
    <row r="590" spans="1:5" x14ac:dyDescent="0.25">
      <c r="A590" t="str">
        <f>[1]!'3015.TW-ID'</f>
        <v>3015</v>
      </c>
      <c r="B590" t="str">
        <f>[1]!'3015.TW-Name'</f>
        <v>全漢</v>
      </c>
      <c r="C590">
        <f>[1]!'3015.TW-SimulatePrice'</f>
        <v>21.6</v>
      </c>
      <c r="D590">
        <f>[1]!'3015.TW-PreClose'</f>
        <v>22.05</v>
      </c>
      <c r="E590" t="str">
        <f>[1]!'3015.TW-SimulateTime'</f>
        <v>13:29:55</v>
      </c>
    </row>
    <row r="591" spans="1:5" x14ac:dyDescent="0.25">
      <c r="A591" t="str">
        <f>[1]!'3021.TW-ID'</f>
        <v>3021</v>
      </c>
      <c r="B591" t="str">
        <f>[1]!'3021.TW-Name'</f>
        <v>鴻名</v>
      </c>
      <c r="C591">
        <f>[1]!'3021.TW-SimulatePrice'</f>
        <v>12.7</v>
      </c>
      <c r="D591">
        <f>[1]!'3021.TW-PreClose'</f>
        <v>13</v>
      </c>
      <c r="E591" t="str">
        <f>[1]!'3021.TW-SimulateTime'</f>
        <v>13:29:19</v>
      </c>
    </row>
    <row r="592" spans="1:5" x14ac:dyDescent="0.25">
      <c r="A592" t="str">
        <f>[1]!'3023.TW-ID'</f>
        <v>3023</v>
      </c>
      <c r="B592" t="str">
        <f>[1]!'3023.TW-Name'</f>
        <v>信邦</v>
      </c>
      <c r="C592">
        <f>[1]!'3023.TW-SimulatePrice'</f>
        <v>142</v>
      </c>
      <c r="D592">
        <f>[1]!'3023.TW-PreClose'</f>
        <v>141</v>
      </c>
      <c r="E592" t="str">
        <f>[1]!'3023.TW-SimulateTime'</f>
        <v>13:29:55</v>
      </c>
    </row>
    <row r="593" spans="1:5" x14ac:dyDescent="0.25">
      <c r="A593" t="str">
        <f>[1]!'3026.TW-ID'</f>
        <v>3026</v>
      </c>
      <c r="B593" t="str">
        <f>[1]!'3026.TW-Name'</f>
        <v>禾伸堂</v>
      </c>
      <c r="C593">
        <f>[1]!'3026.TW-SimulatePrice'</f>
        <v>127.5</v>
      </c>
      <c r="D593">
        <f>[1]!'3026.TW-PreClose'</f>
        <v>125.5</v>
      </c>
      <c r="E593" t="str">
        <f>[1]!'3026.TW-SimulateTime'</f>
        <v>13:29:59</v>
      </c>
    </row>
    <row r="594" spans="1:5" x14ac:dyDescent="0.25">
      <c r="A594" t="str">
        <f>[1]!'3032.TW-ID'</f>
        <v>3032</v>
      </c>
      <c r="B594" t="str">
        <f>[1]!'3032.TW-Name'</f>
        <v>偉訓</v>
      </c>
      <c r="C594" t="str">
        <f>[1]!'3032.TW-SimulatePrice'</f>
        <v>--</v>
      </c>
      <c r="D594">
        <f>[1]!'3032.TW-PreClose'</f>
        <v>28.5</v>
      </c>
      <c r="E594" t="str">
        <f>[1]!'3032.TW-SimulateTime'</f>
        <v>--</v>
      </c>
    </row>
    <row r="595" spans="1:5" x14ac:dyDescent="0.25">
      <c r="A595" t="str">
        <f>[1]!'3037.TW-ID'</f>
        <v>3037</v>
      </c>
      <c r="B595" t="str">
        <f>[1]!'3037.TW-Name'</f>
        <v>欣興</v>
      </c>
      <c r="C595">
        <f>[1]!'3037.TW-SimulatePrice'</f>
        <v>43.9</v>
      </c>
      <c r="D595">
        <f>[1]!'3037.TW-PreClose'</f>
        <v>42.8</v>
      </c>
      <c r="E595" t="str">
        <f>[1]!'3037.TW-SimulateTime'</f>
        <v>13:29:58</v>
      </c>
    </row>
    <row r="596" spans="1:5" x14ac:dyDescent="0.25">
      <c r="A596" t="str">
        <f>[1]!'3042.TW-ID'</f>
        <v>3042</v>
      </c>
      <c r="B596" t="str">
        <f>[1]!'3042.TW-Name'</f>
        <v>晶技</v>
      </c>
      <c r="C596">
        <f>[1]!'3042.TW-SimulatePrice'</f>
        <v>56.7</v>
      </c>
      <c r="D596">
        <f>[1]!'3042.TW-PreClose'</f>
        <v>55.9</v>
      </c>
      <c r="E596" t="str">
        <f>[1]!'3042.TW-SimulateTime'</f>
        <v>13:29:55</v>
      </c>
    </row>
    <row r="597" spans="1:5" x14ac:dyDescent="0.25">
      <c r="A597" t="str">
        <f>[1]!'3044.TW-ID'</f>
        <v>3044</v>
      </c>
      <c r="B597" t="str">
        <f>[1]!'3044.TW-Name'</f>
        <v>健鼎</v>
      </c>
      <c r="C597">
        <f>[1]!'3044.TW-SimulatePrice'</f>
        <v>109.5</v>
      </c>
      <c r="D597">
        <f>[1]!'3044.TW-PreClose'</f>
        <v>110.5</v>
      </c>
      <c r="E597" t="str">
        <f>[1]!'3044.TW-SimulateTime'</f>
        <v>13:29:58</v>
      </c>
    </row>
    <row r="598" spans="1:5" x14ac:dyDescent="0.25">
      <c r="A598" t="str">
        <f>[1]!'3058.TW-ID'</f>
        <v>3058</v>
      </c>
      <c r="B598" t="str">
        <f>[1]!'3058.TW-Name'</f>
        <v>立德</v>
      </c>
      <c r="C598">
        <f>[1]!'3058.TW-SimulatePrice'</f>
        <v>6.7</v>
      </c>
      <c r="D598">
        <f>[1]!'3058.TW-PreClose'</f>
        <v>6.88</v>
      </c>
      <c r="E598" t="str">
        <f>[1]!'3058.TW-SimulateTime'</f>
        <v>13:29:59</v>
      </c>
    </row>
    <row r="599" spans="1:5" x14ac:dyDescent="0.25">
      <c r="A599" t="str">
        <f>[1]!'3090.TW-ID'</f>
        <v>3090</v>
      </c>
      <c r="B599" t="str">
        <f>[1]!'3090.TW-Name'</f>
        <v>日電貿</v>
      </c>
      <c r="C599">
        <f>[1]!'3090.TW-SimulatePrice'</f>
        <v>52.9</v>
      </c>
      <c r="D599">
        <f>[1]!'3090.TW-PreClose'</f>
        <v>51.9</v>
      </c>
      <c r="E599" t="str">
        <f>[1]!'3090.TW-SimulateTime'</f>
        <v>13:29:59</v>
      </c>
    </row>
    <row r="600" spans="1:5" x14ac:dyDescent="0.25">
      <c r="A600" t="str">
        <f>[1]!'3229.TW-ID'</f>
        <v>3229</v>
      </c>
      <c r="B600" t="str">
        <f>[1]!'3229.TW-Name'</f>
        <v>晟鈦</v>
      </c>
      <c r="C600" t="str">
        <f>[1]!'3229.TW-SimulatePrice'</f>
        <v>--</v>
      </c>
      <c r="D600">
        <f>[1]!'3229.TW-PreClose'</f>
        <v>9.1</v>
      </c>
      <c r="E600" t="str">
        <f>[1]!'3229.TW-SimulateTime'</f>
        <v>--</v>
      </c>
    </row>
    <row r="601" spans="1:5" x14ac:dyDescent="0.25">
      <c r="A601" t="str">
        <f>[1]!'3296.TW-ID'</f>
        <v>3296</v>
      </c>
      <c r="B601" t="str">
        <f>[1]!'3296.TW-Name'</f>
        <v>勝德</v>
      </c>
      <c r="C601">
        <f>[1]!'3296.TW-SimulatePrice'</f>
        <v>13.1</v>
      </c>
      <c r="D601">
        <f>[1]!'3296.TW-PreClose'</f>
        <v>13.1</v>
      </c>
      <c r="E601" t="str">
        <f>[1]!'3296.TW-SimulateTime'</f>
        <v>13:28:29</v>
      </c>
    </row>
    <row r="602" spans="1:5" x14ac:dyDescent="0.25">
      <c r="A602" t="str">
        <f>[1]!'3308.TW-ID'</f>
        <v>3308</v>
      </c>
      <c r="B602" t="str">
        <f>[1]!'3308.TW-Name'</f>
        <v>聯德</v>
      </c>
      <c r="C602">
        <f>[1]!'3308.TW-SimulatePrice'</f>
        <v>5.48</v>
      </c>
      <c r="D602">
        <f>[1]!'3308.TW-PreClose'</f>
        <v>4.99</v>
      </c>
      <c r="E602" t="str">
        <f>[1]!'3308.TW-SimulateTime'</f>
        <v>13:29:49</v>
      </c>
    </row>
    <row r="603" spans="1:5" x14ac:dyDescent="0.25">
      <c r="A603" t="str">
        <f>[1]!'3321.TW-ID'</f>
        <v>3321</v>
      </c>
      <c r="B603" t="str">
        <f>[1]!'3321.TW-Name'</f>
        <v>同泰</v>
      </c>
      <c r="C603">
        <f>[1]!'3321.TW-SimulatePrice'</f>
        <v>10.6</v>
      </c>
      <c r="D603">
        <f>[1]!'3321.TW-PreClose'</f>
        <v>11.75</v>
      </c>
      <c r="E603" t="str">
        <f>[1]!'3321.TW-SimulateTime'</f>
        <v>13:29:49</v>
      </c>
    </row>
    <row r="604" spans="1:5" x14ac:dyDescent="0.25">
      <c r="A604" t="str">
        <f>[1]!'3338.TW-ID'</f>
        <v>3338</v>
      </c>
      <c r="B604" t="str">
        <f>[1]!'3338.TW-Name'</f>
        <v>泰碩</v>
      </c>
      <c r="C604">
        <f>[1]!'3338.TW-SimulatePrice'</f>
        <v>90.3</v>
      </c>
      <c r="D604">
        <f>[1]!'3338.TW-PreClose'</f>
        <v>92.6</v>
      </c>
      <c r="E604" t="str">
        <f>[1]!'3338.TW-SimulateTime'</f>
        <v>13:29:57</v>
      </c>
    </row>
    <row r="605" spans="1:5" x14ac:dyDescent="0.25">
      <c r="A605" t="str">
        <f>[1]!'3376.TW-ID'</f>
        <v>3376</v>
      </c>
      <c r="B605" t="str">
        <f>[1]!'3376.TW-Name'</f>
        <v>新日興</v>
      </c>
      <c r="C605">
        <f>[1]!'3376.TW-SimulatePrice'</f>
        <v>127.5</v>
      </c>
      <c r="D605">
        <f>[1]!'3376.TW-PreClose'</f>
        <v>127.5</v>
      </c>
      <c r="E605" t="str">
        <f>[1]!'3376.TW-SimulateTime'</f>
        <v>13:29:56</v>
      </c>
    </row>
    <row r="606" spans="1:5" x14ac:dyDescent="0.25">
      <c r="A606" t="str">
        <f>[1]!'3432.TW-ID'</f>
        <v>3432</v>
      </c>
      <c r="B606" t="str">
        <f>[1]!'3432.TW-Name'</f>
        <v>台端</v>
      </c>
      <c r="C606" t="str">
        <f>[1]!'3432.TW-SimulatePrice'</f>
        <v>--</v>
      </c>
      <c r="D606">
        <f>[1]!'3432.TW-PreClose'</f>
        <v>11.1</v>
      </c>
      <c r="E606" t="str">
        <f>[1]!'3432.TW-SimulateTime'</f>
        <v>--</v>
      </c>
    </row>
    <row r="607" spans="1:5" x14ac:dyDescent="0.25">
      <c r="A607" t="str">
        <f>[1]!'3501.TW-ID'</f>
        <v>3501</v>
      </c>
      <c r="B607" t="str">
        <f>[1]!'3501.TW-Name'</f>
        <v>維熹</v>
      </c>
      <c r="C607">
        <f>[1]!'3501.TW-SimulatePrice'</f>
        <v>44.7</v>
      </c>
      <c r="D607">
        <f>[1]!'3501.TW-PreClose'</f>
        <v>44.65</v>
      </c>
      <c r="E607" t="str">
        <f>[1]!'3501.TW-SimulateTime'</f>
        <v>13:29:43</v>
      </c>
    </row>
    <row r="608" spans="1:5" x14ac:dyDescent="0.25">
      <c r="A608" t="str">
        <f>[1]!'3533.TW-ID'</f>
        <v>3533</v>
      </c>
      <c r="B608" t="str">
        <f>[1]!'3533.TW-Name'</f>
        <v>嘉澤</v>
      </c>
      <c r="C608">
        <f>[1]!'3533.TW-SimulatePrice'</f>
        <v>394.5</v>
      </c>
      <c r="D608">
        <f>[1]!'3533.TW-PreClose'</f>
        <v>387</v>
      </c>
      <c r="E608" t="str">
        <f>[1]!'3533.TW-SimulateTime'</f>
        <v>13:29:58</v>
      </c>
    </row>
    <row r="609" spans="1:5" x14ac:dyDescent="0.25">
      <c r="A609" t="str">
        <f>[1]!'3550.TW-ID'</f>
        <v>3550</v>
      </c>
      <c r="B609" t="str">
        <f>[1]!'3550.TW-Name'</f>
        <v>聯穎</v>
      </c>
      <c r="C609">
        <f>[1]!'3550.TW-SimulatePrice'</f>
        <v>12.2</v>
      </c>
      <c r="D609">
        <f>[1]!'3550.TW-PreClose'</f>
        <v>12.35</v>
      </c>
      <c r="E609" t="str">
        <f>[1]!'3550.TW-SimulateTime'</f>
        <v>13:29:11</v>
      </c>
    </row>
    <row r="610" spans="1:5" x14ac:dyDescent="0.25">
      <c r="A610" t="str">
        <f>[1]!'3593.TW-ID'</f>
        <v>3593</v>
      </c>
      <c r="B610" t="str">
        <f>[1]!'3593.TW-Name'</f>
        <v>力銘</v>
      </c>
      <c r="C610">
        <f>[1]!'3593.TW-SimulatePrice'</f>
        <v>8.7899999999999991</v>
      </c>
      <c r="D610">
        <f>[1]!'3593.TW-PreClose'</f>
        <v>8.67</v>
      </c>
      <c r="E610" t="str">
        <f>[1]!'3593.TW-SimulateTime'</f>
        <v>13:29:40</v>
      </c>
    </row>
    <row r="611" spans="1:5" x14ac:dyDescent="0.25">
      <c r="A611" t="str">
        <f>[1]!'3605.TW-ID'</f>
        <v>3605</v>
      </c>
      <c r="B611" t="str">
        <f>[1]!'3605.TW-Name'</f>
        <v>宏致</v>
      </c>
      <c r="C611">
        <f>[1]!'3605.TW-SimulatePrice'</f>
        <v>24.05</v>
      </c>
      <c r="D611">
        <f>[1]!'3605.TW-PreClose'</f>
        <v>23.85</v>
      </c>
      <c r="E611" t="str">
        <f>[1]!'3605.TW-SimulateTime'</f>
        <v>13:29:58</v>
      </c>
    </row>
    <row r="612" spans="1:5" x14ac:dyDescent="0.25">
      <c r="A612" t="str">
        <f>[1]!'3607.TW-ID'</f>
        <v>3607</v>
      </c>
      <c r="B612" t="str">
        <f>[1]!'3607.TW-Name'</f>
        <v>谷崧</v>
      </c>
      <c r="C612">
        <f>[1]!'3607.TW-SimulatePrice'</f>
        <v>12.25</v>
      </c>
      <c r="D612">
        <f>[1]!'3607.TW-PreClose'</f>
        <v>12.1</v>
      </c>
      <c r="E612" t="str">
        <f>[1]!'3607.TW-SimulateTime'</f>
        <v>13:29:14</v>
      </c>
    </row>
    <row r="613" spans="1:5" x14ac:dyDescent="0.25">
      <c r="A613" t="str">
        <f>[1]!'3645.TW-ID'</f>
        <v>3645</v>
      </c>
      <c r="B613" t="str">
        <f>[1]!'3645.TW-Name'</f>
        <v>達邁</v>
      </c>
      <c r="C613">
        <f>[1]!'3645.TW-SimulatePrice'</f>
        <v>39.799999999999997</v>
      </c>
      <c r="D613">
        <f>[1]!'3645.TW-PreClose'</f>
        <v>39.4</v>
      </c>
      <c r="E613" t="str">
        <f>[1]!'3645.TW-SimulateTime'</f>
        <v>13:29:59</v>
      </c>
    </row>
    <row r="614" spans="1:5" x14ac:dyDescent="0.25">
      <c r="A614" t="str">
        <f>[1]!'3653.TW-ID'</f>
        <v>3653</v>
      </c>
      <c r="B614" t="str">
        <f>[1]!'3653.TW-Name'</f>
        <v>健策</v>
      </c>
      <c r="C614">
        <f>[1]!'3653.TW-SimulatePrice'</f>
        <v>212</v>
      </c>
      <c r="D614">
        <f>[1]!'3653.TW-PreClose'</f>
        <v>208</v>
      </c>
      <c r="E614" t="str">
        <f>[1]!'3653.TW-SimulateTime'</f>
        <v>13:29:56</v>
      </c>
    </row>
    <row r="615" spans="1:5" x14ac:dyDescent="0.25">
      <c r="A615" t="str">
        <f>[1]!'3679.TW-ID'</f>
        <v>3679</v>
      </c>
      <c r="B615" t="str">
        <f>[1]!'3679.TW-Name'</f>
        <v>新至陞</v>
      </c>
      <c r="C615">
        <f>[1]!'3679.TW-SimulatePrice'</f>
        <v>61.6</v>
      </c>
      <c r="D615">
        <f>[1]!'3679.TW-PreClose'</f>
        <v>62.3</v>
      </c>
      <c r="E615" t="str">
        <f>[1]!'3679.TW-SimulateTime'</f>
        <v>13:29:54</v>
      </c>
    </row>
    <row r="616" spans="1:5" x14ac:dyDescent="0.25">
      <c r="A616" t="str">
        <f>[1]!'4545.TW-ID'</f>
        <v>4545</v>
      </c>
      <c r="B616" t="str">
        <f>[1]!'4545.TW-Name'</f>
        <v>銘鈺</v>
      </c>
      <c r="C616">
        <f>[1]!'4545.TW-SimulatePrice'</f>
        <v>27.8</v>
      </c>
      <c r="D616">
        <f>[1]!'4545.TW-PreClose'</f>
        <v>27.35</v>
      </c>
      <c r="E616" t="str">
        <f>[1]!'4545.TW-SimulateTime'</f>
        <v>13:29:31</v>
      </c>
    </row>
    <row r="617" spans="1:5" x14ac:dyDescent="0.25">
      <c r="A617" t="str">
        <f>[1]!'4912.TW-ID'</f>
        <v>4912</v>
      </c>
      <c r="B617" t="str">
        <f>[1]!'4912.TW-Name'</f>
        <v>聯德控股-KY</v>
      </c>
      <c r="C617">
        <f>[1]!'4912.TW-SimulatePrice'</f>
        <v>79.3</v>
      </c>
      <c r="D617">
        <f>[1]!'4912.TW-PreClose'</f>
        <v>80.5</v>
      </c>
      <c r="E617" t="str">
        <f>[1]!'4912.TW-SimulateTime'</f>
        <v>13:29:08</v>
      </c>
    </row>
    <row r="618" spans="1:5" x14ac:dyDescent="0.25">
      <c r="A618" t="str">
        <f>[1]!'4915.TW-ID'</f>
        <v>4915</v>
      </c>
      <c r="B618" t="str">
        <f>[1]!'4915.TW-Name'</f>
        <v>致伸</v>
      </c>
      <c r="C618">
        <f>[1]!'4915.TW-SimulatePrice'</f>
        <v>47.9</v>
      </c>
      <c r="D618">
        <f>[1]!'4915.TW-PreClose'</f>
        <v>47.8</v>
      </c>
      <c r="E618" t="str">
        <f>[1]!'4915.TW-SimulateTime'</f>
        <v>13:29:55</v>
      </c>
    </row>
    <row r="619" spans="1:5" x14ac:dyDescent="0.25">
      <c r="A619" t="str">
        <f>[1]!'4927.TW-ID'</f>
        <v>4927</v>
      </c>
      <c r="B619" t="str">
        <f>[1]!'4927.TW-Name'</f>
        <v>泰鼎-KY</v>
      </c>
      <c r="C619">
        <f>[1]!'4927.TW-SimulatePrice'</f>
        <v>60.9</v>
      </c>
      <c r="D619">
        <f>[1]!'4927.TW-PreClose'</f>
        <v>60.6</v>
      </c>
      <c r="E619" t="str">
        <f>[1]!'4927.TW-SimulateTime'</f>
        <v>13:29:58</v>
      </c>
    </row>
    <row r="620" spans="1:5" x14ac:dyDescent="0.25">
      <c r="A620" t="str">
        <f>[1]!'4943.TW-ID'</f>
        <v>4943</v>
      </c>
      <c r="B620" t="str">
        <f>[1]!'4943.TW-Name'</f>
        <v>康控-KY</v>
      </c>
      <c r="C620">
        <f>[1]!'4943.TW-SimulatePrice'</f>
        <v>115.5</v>
      </c>
      <c r="D620">
        <f>[1]!'4943.TW-PreClose'</f>
        <v>118</v>
      </c>
      <c r="E620" t="str">
        <f>[1]!'4943.TW-SimulateTime'</f>
        <v>13:29:57</v>
      </c>
    </row>
    <row r="621" spans="1:5" x14ac:dyDescent="0.25">
      <c r="A621" t="str">
        <f>[1]!'4958.TW-ID'</f>
        <v>4958</v>
      </c>
      <c r="B621" t="str">
        <f>[1]!'4958.TW-Name'</f>
        <v>臻鼎-KY</v>
      </c>
      <c r="C621">
        <f>[1]!'4958.TW-SimulatePrice'</f>
        <v>113.5</v>
      </c>
      <c r="D621">
        <f>[1]!'4958.TW-PreClose'</f>
        <v>113.5</v>
      </c>
      <c r="E621" t="str">
        <f>[1]!'4958.TW-SimulateTime'</f>
        <v>13:29:57</v>
      </c>
    </row>
    <row r="622" spans="1:5" x14ac:dyDescent="0.25">
      <c r="A622" t="str">
        <f>[1]!'4989.TW-ID'</f>
        <v>4989</v>
      </c>
      <c r="B622" t="str">
        <f>[1]!'4989.TW-Name'</f>
        <v>榮科</v>
      </c>
      <c r="C622">
        <f>[1]!'4989.TW-SimulatePrice'</f>
        <v>19.2</v>
      </c>
      <c r="D622">
        <f>[1]!'4989.TW-PreClose'</f>
        <v>19.2</v>
      </c>
      <c r="E622" t="str">
        <f>[1]!'4989.TW-SimulateTime'</f>
        <v>13:28:52</v>
      </c>
    </row>
    <row r="623" spans="1:5" x14ac:dyDescent="0.25">
      <c r="A623" t="str">
        <f>[1]!'4999.TW-ID'</f>
        <v>4999</v>
      </c>
      <c r="B623" t="str">
        <f>[1]!'4999.TW-Name'</f>
        <v>鑫禾</v>
      </c>
      <c r="C623">
        <f>[1]!'4999.TW-SimulatePrice'</f>
        <v>40.200000000000003</v>
      </c>
      <c r="D623">
        <f>[1]!'4999.TW-PreClose'</f>
        <v>39.85</v>
      </c>
      <c r="E623" t="str">
        <f>[1]!'4999.TW-SimulateTime'</f>
        <v>13:29:34</v>
      </c>
    </row>
    <row r="624" spans="1:5" x14ac:dyDescent="0.25">
      <c r="A624" t="str">
        <f>[1]!'5469.TW-ID'</f>
        <v>5469</v>
      </c>
      <c r="B624" t="str">
        <f>[1]!'5469.TW-Name'</f>
        <v>瀚宇博</v>
      </c>
      <c r="C624">
        <f>[1]!'5469.TW-SimulatePrice'</f>
        <v>37.6</v>
      </c>
      <c r="D624">
        <f>[1]!'5469.TW-PreClose'</f>
        <v>37.65</v>
      </c>
      <c r="E624" t="str">
        <f>[1]!'5469.TW-SimulateTime'</f>
        <v>13:29:55</v>
      </c>
    </row>
    <row r="625" spans="1:5" x14ac:dyDescent="0.25">
      <c r="A625" t="str">
        <f>[1]!'6108.TW-ID'</f>
        <v>6108</v>
      </c>
      <c r="B625" t="str">
        <f>[1]!'6108.TW-Name'</f>
        <v>競國</v>
      </c>
      <c r="C625">
        <f>[1]!'6108.TW-SimulatePrice'</f>
        <v>22.65</v>
      </c>
      <c r="D625">
        <f>[1]!'6108.TW-PreClose'</f>
        <v>22.8</v>
      </c>
      <c r="E625" t="str">
        <f>[1]!'6108.TW-SimulateTime'</f>
        <v>13:29:49</v>
      </c>
    </row>
    <row r="626" spans="1:5" x14ac:dyDescent="0.25">
      <c r="A626" t="str">
        <f>[1]!'6115.TW-ID'</f>
        <v>6115</v>
      </c>
      <c r="B626" t="str">
        <f>[1]!'6115.TW-Name'</f>
        <v>鎰勝</v>
      </c>
      <c r="C626">
        <f>[1]!'6115.TW-SimulatePrice'</f>
        <v>43.3</v>
      </c>
      <c r="D626">
        <f>[1]!'6115.TW-PreClose'</f>
        <v>43.35</v>
      </c>
      <c r="E626" t="str">
        <f>[1]!'6115.TW-SimulateTime'</f>
        <v>13:27:58</v>
      </c>
    </row>
    <row r="627" spans="1:5" x14ac:dyDescent="0.25">
      <c r="A627" t="str">
        <f>[1]!'6133.TW-ID'</f>
        <v>6133</v>
      </c>
      <c r="B627" t="str">
        <f>[1]!'6133.TW-Name'</f>
        <v>金橋</v>
      </c>
      <c r="C627">
        <f>[1]!'6133.TW-SimulatePrice'</f>
        <v>7.05</v>
      </c>
      <c r="D627">
        <f>[1]!'6133.TW-PreClose'</f>
        <v>7.18</v>
      </c>
      <c r="E627" t="str">
        <f>[1]!'6133.TW-SimulateTime'</f>
        <v>13:29:57</v>
      </c>
    </row>
    <row r="628" spans="1:5" x14ac:dyDescent="0.25">
      <c r="A628" t="str">
        <f>[1]!'6141.TW-ID'</f>
        <v>6141</v>
      </c>
      <c r="B628" t="str">
        <f>[1]!'6141.TW-Name'</f>
        <v>柏承</v>
      </c>
      <c r="C628">
        <f>[1]!'6141.TW-SimulatePrice'</f>
        <v>17.350000000000001</v>
      </c>
      <c r="D628">
        <f>[1]!'6141.TW-PreClose'</f>
        <v>17.45</v>
      </c>
      <c r="E628" t="str">
        <f>[1]!'6141.TW-SimulateTime'</f>
        <v>13:29:57</v>
      </c>
    </row>
    <row r="629" spans="1:5" x14ac:dyDescent="0.25">
      <c r="A629" t="str">
        <f>[1]!'6153.TW-ID'</f>
        <v>6153</v>
      </c>
      <c r="B629" t="str">
        <f>[1]!'6153.TW-Name'</f>
        <v>嘉聯益</v>
      </c>
      <c r="C629">
        <f>[1]!'6153.TW-SimulatePrice'</f>
        <v>26.6</v>
      </c>
      <c r="D629">
        <f>[1]!'6153.TW-PreClose'</f>
        <v>26.95</v>
      </c>
      <c r="E629" t="str">
        <f>[1]!'6153.TW-SimulateTime'</f>
        <v>13:29:56</v>
      </c>
    </row>
    <row r="630" spans="1:5" x14ac:dyDescent="0.25">
      <c r="A630" t="str">
        <f>[1]!'6155.TW-ID'</f>
        <v>6155</v>
      </c>
      <c r="B630" t="str">
        <f>[1]!'6155.TW-Name'</f>
        <v>鈞寶</v>
      </c>
      <c r="C630">
        <f>[1]!'6155.TW-SimulatePrice'</f>
        <v>24.6</v>
      </c>
      <c r="D630">
        <f>[1]!'6155.TW-PreClose'</f>
        <v>25.1</v>
      </c>
      <c r="E630" t="str">
        <f>[1]!'6155.TW-SimulateTime'</f>
        <v>13:29:37</v>
      </c>
    </row>
    <row r="631" spans="1:5" x14ac:dyDescent="0.25">
      <c r="A631" t="str">
        <f>[1]!'6165.TW-ID'</f>
        <v>6165</v>
      </c>
      <c r="B631" t="str">
        <f>[1]!'6165.TW-Name'</f>
        <v>捷泰</v>
      </c>
      <c r="C631">
        <f>[1]!'6165.TW-SimulatePrice'</f>
        <v>26.95</v>
      </c>
      <c r="D631">
        <f>[1]!'6165.TW-PreClose'</f>
        <v>26.6</v>
      </c>
      <c r="E631" t="str">
        <f>[1]!'6165.TW-SimulateTime'</f>
        <v>13:29:22</v>
      </c>
    </row>
    <row r="632" spans="1:5" x14ac:dyDescent="0.25">
      <c r="A632" t="str">
        <f>[1]!'6191.TW-ID'</f>
        <v>6191</v>
      </c>
      <c r="B632" t="str">
        <f>[1]!'6191.TW-Name'</f>
        <v>精成科</v>
      </c>
      <c r="C632">
        <f>[1]!'6191.TW-SimulatePrice'</f>
        <v>13.35</v>
      </c>
      <c r="D632">
        <f>[1]!'6191.TW-PreClose'</f>
        <v>13.4</v>
      </c>
      <c r="E632" t="str">
        <f>[1]!'6191.TW-SimulateTime'</f>
        <v>13:29:58</v>
      </c>
    </row>
    <row r="633" spans="1:5" x14ac:dyDescent="0.25">
      <c r="A633" t="str">
        <f>[1]!'6197.TW-ID'</f>
        <v>6197</v>
      </c>
      <c r="B633" t="str">
        <f>[1]!'6197.TW-Name'</f>
        <v>佳必琪</v>
      </c>
      <c r="C633">
        <f>[1]!'6197.TW-SimulatePrice'</f>
        <v>31.6</v>
      </c>
      <c r="D633">
        <f>[1]!'6197.TW-PreClose'</f>
        <v>31.6</v>
      </c>
      <c r="E633" t="str">
        <f>[1]!'6197.TW-SimulateTime'</f>
        <v>13:29:54</v>
      </c>
    </row>
    <row r="634" spans="1:5" x14ac:dyDescent="0.25">
      <c r="A634" t="str">
        <f>[1]!'6205.TW-ID'</f>
        <v>6205</v>
      </c>
      <c r="B634" t="str">
        <f>[1]!'6205.TW-Name'</f>
        <v>詮欣</v>
      </c>
      <c r="C634">
        <f>[1]!'6205.TW-SimulatePrice'</f>
        <v>24.9</v>
      </c>
      <c r="D634">
        <f>[1]!'6205.TW-PreClose'</f>
        <v>24.8</v>
      </c>
      <c r="E634" t="str">
        <f>[1]!'6205.TW-SimulateTime'</f>
        <v>13:28:26</v>
      </c>
    </row>
    <row r="635" spans="1:5" x14ac:dyDescent="0.25">
      <c r="A635" t="str">
        <f>[1]!'6213.TW-ID'</f>
        <v>6213</v>
      </c>
      <c r="B635" t="str">
        <f>[1]!'6213.TW-Name'</f>
        <v>聯茂</v>
      </c>
      <c r="C635">
        <f>[1]!'6213.TW-SimulatePrice'</f>
        <v>141.5</v>
      </c>
      <c r="D635">
        <f>[1]!'6213.TW-PreClose'</f>
        <v>141</v>
      </c>
      <c r="E635" t="str">
        <f>[1]!'6213.TW-SimulateTime'</f>
        <v>13:29:55</v>
      </c>
    </row>
    <row r="636" spans="1:5" x14ac:dyDescent="0.25">
      <c r="A636" t="str">
        <f>[1]!'6224.TW-ID'</f>
        <v>6224</v>
      </c>
      <c r="B636" t="str">
        <f>[1]!'6224.TW-Name'</f>
        <v>聚鼎</v>
      </c>
      <c r="C636">
        <f>[1]!'6224.TW-SimulatePrice'</f>
        <v>61</v>
      </c>
      <c r="D636">
        <f>[1]!'6224.TW-PreClose'</f>
        <v>61.6</v>
      </c>
      <c r="E636" t="str">
        <f>[1]!'6224.TW-SimulateTime'</f>
        <v>13:29:59</v>
      </c>
    </row>
    <row r="637" spans="1:5" x14ac:dyDescent="0.25">
      <c r="A637" t="str">
        <f>[1]!'6251.TW-ID'</f>
        <v>6251</v>
      </c>
      <c r="B637" t="str">
        <f>[1]!'6251.TW-Name'</f>
        <v>定穎</v>
      </c>
      <c r="C637">
        <f>[1]!'6251.TW-SimulatePrice'</f>
        <v>18</v>
      </c>
      <c r="D637">
        <f>[1]!'6251.TW-PreClose'</f>
        <v>17.75</v>
      </c>
      <c r="E637" t="str">
        <f>[1]!'6251.TW-SimulateTime'</f>
        <v>13:29:54</v>
      </c>
    </row>
    <row r="638" spans="1:5" x14ac:dyDescent="0.25">
      <c r="A638" t="str">
        <f>[1]!'6269.TW-ID'</f>
        <v>6269</v>
      </c>
      <c r="B638" t="str">
        <f>[1]!'6269.TW-Name'</f>
        <v>台郡</v>
      </c>
      <c r="C638">
        <f>[1]!'6269.TW-SimulatePrice'</f>
        <v>103.5</v>
      </c>
      <c r="D638">
        <f>[1]!'6269.TW-PreClose'</f>
        <v>104.5</v>
      </c>
      <c r="E638" t="str">
        <f>[1]!'6269.TW-SimulateTime'</f>
        <v>13:29:59</v>
      </c>
    </row>
    <row r="639" spans="1:5" x14ac:dyDescent="0.25">
      <c r="A639" t="str">
        <f>[1]!'6282.TW-ID'</f>
        <v>6282</v>
      </c>
      <c r="B639" t="str">
        <f>[1]!'6282.TW-Name'</f>
        <v>康舒</v>
      </c>
      <c r="C639">
        <f>[1]!'6282.TW-SimulatePrice'</f>
        <v>19.95</v>
      </c>
      <c r="D639">
        <f>[1]!'6282.TW-PreClose'</f>
        <v>20</v>
      </c>
      <c r="E639" t="str">
        <f>[1]!'6282.TW-SimulateTime'</f>
        <v>13:29:57</v>
      </c>
    </row>
    <row r="640" spans="1:5" x14ac:dyDescent="0.25">
      <c r="A640" t="str">
        <f>[1]!'6412.TW-ID'</f>
        <v>6412</v>
      </c>
      <c r="B640" t="str">
        <f>[1]!'6412.TW-Name'</f>
        <v>群電</v>
      </c>
      <c r="C640">
        <f>[1]!'6412.TW-SimulatePrice'</f>
        <v>62.6</v>
      </c>
      <c r="D640">
        <f>[1]!'6412.TW-PreClose'</f>
        <v>64.3</v>
      </c>
      <c r="E640" t="str">
        <f>[1]!'6412.TW-SimulateTime'</f>
        <v>13:29:58</v>
      </c>
    </row>
    <row r="641" spans="1:5" x14ac:dyDescent="0.25">
      <c r="A641" t="str">
        <f>[1]!'6449.TW-ID'</f>
        <v>6449</v>
      </c>
      <c r="B641" t="str">
        <f>[1]!'6449.TW-Name'</f>
        <v>鈺邦</v>
      </c>
      <c r="C641">
        <f>[1]!'6449.TW-SimulatePrice'</f>
        <v>30.5</v>
      </c>
      <c r="D641">
        <f>[1]!'6449.TW-PreClose'</f>
        <v>31</v>
      </c>
      <c r="E641" t="str">
        <f>[1]!'6449.TW-SimulateTime'</f>
        <v>13:28:51</v>
      </c>
    </row>
    <row r="642" spans="1:5" x14ac:dyDescent="0.25">
      <c r="A642" t="str">
        <f>[1]!'6672.TW-ID'</f>
        <v>6672</v>
      </c>
      <c r="B642" t="str">
        <f>[1]!'6672.TW-Name'</f>
        <v>騰輝電子-KY</v>
      </c>
      <c r="C642">
        <f>[1]!'6672.TW-SimulatePrice'</f>
        <v>86.5</v>
      </c>
      <c r="D642">
        <f>[1]!'6672.TW-PreClose'</f>
        <v>87.2</v>
      </c>
      <c r="E642" t="str">
        <f>[1]!'6672.TW-SimulateTime'</f>
        <v>13:29:58</v>
      </c>
    </row>
    <row r="643" spans="1:5" x14ac:dyDescent="0.25">
      <c r="A643" t="str">
        <f>[1]!'6715.TW-ID'</f>
        <v>6715</v>
      </c>
      <c r="B643" t="str">
        <f>[1]!'6715.TW-Name'</f>
        <v>嘉基</v>
      </c>
      <c r="C643">
        <f>[1]!'6715.TW-SimulatePrice'</f>
        <v>102</v>
      </c>
      <c r="D643">
        <f>[1]!'6715.TW-PreClose'</f>
        <v>100.5</v>
      </c>
      <c r="E643" t="str">
        <f>[1]!'6715.TW-SimulateTime'</f>
        <v>13:29:41</v>
      </c>
    </row>
    <row r="644" spans="1:5" x14ac:dyDescent="0.25">
      <c r="A644" t="str">
        <f>[1]!'8039.TW-ID'</f>
        <v>8039</v>
      </c>
      <c r="B644" t="str">
        <f>[1]!'8039.TW-Name'</f>
        <v>台虹</v>
      </c>
      <c r="C644">
        <f>[1]!'8039.TW-SimulatePrice'</f>
        <v>47.55</v>
      </c>
      <c r="D644">
        <f>[1]!'8039.TW-PreClose'</f>
        <v>48.05</v>
      </c>
      <c r="E644" t="str">
        <f>[1]!'8039.TW-SimulateTime'</f>
        <v>13:29:56</v>
      </c>
    </row>
    <row r="645" spans="1:5" x14ac:dyDescent="0.25">
      <c r="A645" t="str">
        <f>[1]!'8046.TW-ID'</f>
        <v>8046</v>
      </c>
      <c r="B645" t="str">
        <f>[1]!'8046.TW-Name'</f>
        <v>南電</v>
      </c>
      <c r="C645">
        <f>[1]!'8046.TW-SimulatePrice'</f>
        <v>70</v>
      </c>
      <c r="D645">
        <f>[1]!'8046.TW-PreClose'</f>
        <v>70.5</v>
      </c>
      <c r="E645" t="str">
        <f>[1]!'8046.TW-SimulateTime'</f>
        <v>13:29:55</v>
      </c>
    </row>
    <row r="646" spans="1:5" x14ac:dyDescent="0.25">
      <c r="A646" t="str">
        <f>[1]!'8103.TW-ID'</f>
        <v>8103</v>
      </c>
      <c r="B646" t="str">
        <f>[1]!'8103.TW-Name'</f>
        <v>瀚荃</v>
      </c>
      <c r="C646">
        <f>[1]!'8103.TW-SimulatePrice'</f>
        <v>23.95</v>
      </c>
      <c r="D646">
        <f>[1]!'8103.TW-PreClose'</f>
        <v>24.1</v>
      </c>
      <c r="E646" t="str">
        <f>[1]!'8103.TW-SimulateTime'</f>
        <v>13:29:05</v>
      </c>
    </row>
    <row r="647" spans="1:5" x14ac:dyDescent="0.25">
      <c r="A647" t="str">
        <f>[1]!'8213.TW-ID'</f>
        <v>8213</v>
      </c>
      <c r="B647" t="str">
        <f>[1]!'8213.TW-Name'</f>
        <v>志超</v>
      </c>
      <c r="C647">
        <f>[1]!'8213.TW-SimulatePrice'</f>
        <v>34.9</v>
      </c>
      <c r="D647">
        <f>[1]!'8213.TW-PreClose'</f>
        <v>34.549999999999997</v>
      </c>
      <c r="E647" t="str">
        <f>[1]!'8213.TW-SimulateTime'</f>
        <v>13:29:51</v>
      </c>
    </row>
    <row r="648" spans="1:5" x14ac:dyDescent="0.25">
      <c r="A648" t="str">
        <f>[1]!'8249.TW-ID'</f>
        <v>8249</v>
      </c>
      <c r="B648" t="str">
        <f>[1]!'8249.TW-Name'</f>
        <v>菱光</v>
      </c>
      <c r="C648">
        <f>[1]!'8249.TW-SimulatePrice'</f>
        <v>18.399999999999999</v>
      </c>
      <c r="D648">
        <f>[1]!'8249.TW-PreClose'</f>
        <v>18.55</v>
      </c>
      <c r="E648" t="str">
        <f>[1]!'8249.TW-SimulateTime'</f>
        <v>13:29:51</v>
      </c>
    </row>
    <row r="649" spans="1:5" x14ac:dyDescent="0.25">
      <c r="A649" t="str">
        <f>[1]!'2347.TW-ID'</f>
        <v>2347</v>
      </c>
      <c r="B649" t="str">
        <f>[1]!'2347.TW-Name'</f>
        <v>聯強</v>
      </c>
      <c r="C649">
        <f>[1]!'2347.TW-SimulatePrice'</f>
        <v>42.4</v>
      </c>
      <c r="D649">
        <f>[1]!'2347.TW-PreClose'</f>
        <v>41.4</v>
      </c>
      <c r="E649" t="str">
        <f>[1]!'2347.TW-SimulateTime'</f>
        <v>13:29:53</v>
      </c>
    </row>
    <row r="650" spans="1:5" x14ac:dyDescent="0.25">
      <c r="A650" t="str">
        <f>[1]!'2414.TW-ID'</f>
        <v>2414</v>
      </c>
      <c r="B650" t="str">
        <f>[1]!'2414.TW-Name'</f>
        <v>精技</v>
      </c>
      <c r="C650">
        <f>[1]!'2414.TW-SimulatePrice'</f>
        <v>24</v>
      </c>
      <c r="D650">
        <f>[1]!'2414.TW-PreClose'</f>
        <v>23.8</v>
      </c>
      <c r="E650" t="str">
        <f>[1]!'2414.TW-SimulateTime'</f>
        <v>13:29:35</v>
      </c>
    </row>
    <row r="651" spans="1:5" x14ac:dyDescent="0.25">
      <c r="A651" t="str">
        <f>[1]!'2430.TW-ID'</f>
        <v>2430</v>
      </c>
      <c r="B651" t="str">
        <f>[1]!'2430.TW-Name'</f>
        <v>燦坤</v>
      </c>
      <c r="C651">
        <f>[1]!'2430.TW-SimulatePrice'</f>
        <v>16.45</v>
      </c>
      <c r="D651">
        <f>[1]!'2430.TW-PreClose'</f>
        <v>16.75</v>
      </c>
      <c r="E651" t="str">
        <f>[1]!'2430.TW-SimulateTime'</f>
        <v>13:29:51</v>
      </c>
    </row>
    <row r="652" spans="1:5" x14ac:dyDescent="0.25">
      <c r="A652" t="str">
        <f>[1]!'2459.TW-ID'</f>
        <v>2459</v>
      </c>
      <c r="B652" t="str">
        <f>[1]!'2459.TW-Name'</f>
        <v>敦吉</v>
      </c>
      <c r="C652">
        <f>[1]!'2459.TW-SimulatePrice'</f>
        <v>39.950000000000003</v>
      </c>
      <c r="D652">
        <f>[1]!'2459.TW-PreClose'</f>
        <v>40</v>
      </c>
      <c r="E652" t="str">
        <f>[1]!'2459.TW-SimulateTime'</f>
        <v>13:29:55</v>
      </c>
    </row>
    <row r="653" spans="1:5" x14ac:dyDescent="0.25">
      <c r="A653" t="str">
        <f>[1]!'3010.TW-ID'</f>
        <v>3010</v>
      </c>
      <c r="B653" t="str">
        <f>[1]!'3010.TW-Name'</f>
        <v>華立</v>
      </c>
      <c r="C653">
        <f>[1]!'3010.TW-SimulatePrice'</f>
        <v>54.4</v>
      </c>
      <c r="D653">
        <f>[1]!'3010.TW-PreClose'</f>
        <v>53.8</v>
      </c>
      <c r="E653" t="str">
        <f>[1]!'3010.TW-SimulateTime'</f>
        <v>13:29:37</v>
      </c>
    </row>
    <row r="654" spans="1:5" x14ac:dyDescent="0.25">
      <c r="A654" t="str">
        <f>[1]!'3028.TW-ID'</f>
        <v>3028</v>
      </c>
      <c r="B654" t="str">
        <f>[1]!'3028.TW-Name'</f>
        <v>增你強</v>
      </c>
      <c r="C654">
        <f>[1]!'3028.TW-SimulatePrice'</f>
        <v>18.95</v>
      </c>
      <c r="D654">
        <f>[1]!'3028.TW-PreClose'</f>
        <v>19.2</v>
      </c>
      <c r="E654" t="str">
        <f>[1]!'3028.TW-SimulateTime'</f>
        <v>13:29:47</v>
      </c>
    </row>
    <row r="655" spans="1:5" x14ac:dyDescent="0.25">
      <c r="A655" t="str">
        <f>[1]!'3033.TW-ID'</f>
        <v>3033</v>
      </c>
      <c r="B655" t="str">
        <f>[1]!'3033.TW-Name'</f>
        <v>威健</v>
      </c>
      <c r="C655">
        <f>[1]!'3033.TW-SimulatePrice'</f>
        <v>14.65</v>
      </c>
      <c r="D655">
        <f>[1]!'3033.TW-PreClose'</f>
        <v>14.75</v>
      </c>
      <c r="E655" t="str">
        <f>[1]!'3033.TW-SimulateTime'</f>
        <v>13:29:06</v>
      </c>
    </row>
    <row r="656" spans="1:5" x14ac:dyDescent="0.25">
      <c r="A656" t="str">
        <f>[1]!'3036.TW-ID'</f>
        <v>3036</v>
      </c>
      <c r="B656" t="str">
        <f>[1]!'3036.TW-Name'</f>
        <v>文曄</v>
      </c>
      <c r="C656">
        <f>[1]!'3036.TW-SimulatePrice'</f>
        <v>38.75</v>
      </c>
      <c r="D656">
        <f>[1]!'3036.TW-PreClose'</f>
        <v>38.799999999999997</v>
      </c>
      <c r="E656" t="str">
        <f>[1]!'3036.TW-SimulateTime'</f>
        <v>13:29:58</v>
      </c>
    </row>
    <row r="657" spans="1:5" x14ac:dyDescent="0.25">
      <c r="A657" t="str">
        <f>[1]!'3048.TW-ID'</f>
        <v>3048</v>
      </c>
      <c r="B657" t="str">
        <f>[1]!'3048.TW-Name'</f>
        <v>益登</v>
      </c>
      <c r="C657">
        <f>[1]!'3048.TW-SimulatePrice'</f>
        <v>17.149999999999999</v>
      </c>
      <c r="D657">
        <f>[1]!'3048.TW-PreClose'</f>
        <v>17.350000000000001</v>
      </c>
      <c r="E657" t="str">
        <f>[1]!'3048.TW-SimulateTime'</f>
        <v>13:29:38</v>
      </c>
    </row>
    <row r="658" spans="1:5" x14ac:dyDescent="0.25">
      <c r="A658" t="str">
        <f>[1]!'3055.TW-ID'</f>
        <v>3055</v>
      </c>
      <c r="B658" t="str">
        <f>[1]!'3055.TW-Name'</f>
        <v>蔚華科</v>
      </c>
      <c r="C658">
        <f>[1]!'3055.TW-SimulatePrice'</f>
        <v>27.5</v>
      </c>
      <c r="D658">
        <f>[1]!'3055.TW-PreClose'</f>
        <v>27.65</v>
      </c>
      <c r="E658" t="str">
        <f>[1]!'3055.TW-SimulateTime'</f>
        <v>13:29:26</v>
      </c>
    </row>
    <row r="659" spans="1:5" x14ac:dyDescent="0.25">
      <c r="A659" t="str">
        <f>[1]!'3209.TW-ID'</f>
        <v>3209</v>
      </c>
      <c r="B659" t="str">
        <f>[1]!'3209.TW-Name'</f>
        <v>全科</v>
      </c>
      <c r="C659">
        <f>[1]!'3209.TW-SimulatePrice'</f>
        <v>20.05</v>
      </c>
      <c r="D659">
        <f>[1]!'3209.TW-PreClose'</f>
        <v>19.75</v>
      </c>
      <c r="E659" t="str">
        <f>[1]!'3209.TW-SimulateTime'</f>
        <v>13:29:59</v>
      </c>
    </row>
    <row r="660" spans="1:5" x14ac:dyDescent="0.25">
      <c r="A660" t="str">
        <f>[1]!'3312.TW-ID'</f>
        <v>3312</v>
      </c>
      <c r="B660" t="str">
        <f>[1]!'3312.TW-Name'</f>
        <v>弘憶股</v>
      </c>
      <c r="C660">
        <f>[1]!'3312.TW-SimulatePrice'</f>
        <v>15.15</v>
      </c>
      <c r="D660">
        <f>[1]!'3312.TW-PreClose'</f>
        <v>15</v>
      </c>
      <c r="E660" t="str">
        <f>[1]!'3312.TW-SimulateTime'</f>
        <v>13:29:56</v>
      </c>
    </row>
    <row r="661" spans="1:5" x14ac:dyDescent="0.25">
      <c r="A661" t="str">
        <f>[1]!'3528.TW-ID'</f>
        <v>3528</v>
      </c>
      <c r="B661" t="str">
        <f>[1]!'3528.TW-Name'</f>
        <v>安馳</v>
      </c>
      <c r="C661">
        <f>[1]!'3528.TW-SimulatePrice'</f>
        <v>38.25</v>
      </c>
      <c r="D661">
        <f>[1]!'3528.TW-PreClose'</f>
        <v>38.299999999999997</v>
      </c>
      <c r="E661" t="str">
        <f>[1]!'3528.TW-SimulateTime'</f>
        <v>13:29:12</v>
      </c>
    </row>
    <row r="662" spans="1:5" x14ac:dyDescent="0.25">
      <c r="A662" t="str">
        <f>[1]!'3702.TW-ID'</f>
        <v>3702</v>
      </c>
      <c r="B662" t="str">
        <f>[1]!'3702.TW-Name'</f>
        <v>大聯大</v>
      </c>
      <c r="C662">
        <f>[1]!'3702.TW-SimulatePrice'</f>
        <v>38.950000000000003</v>
      </c>
      <c r="D662">
        <f>[1]!'3702.TW-PreClose'</f>
        <v>39.049999999999997</v>
      </c>
      <c r="E662" t="str">
        <f>[1]!'3702.TW-SimulateTime'</f>
        <v>13:29:58</v>
      </c>
    </row>
    <row r="663" spans="1:5" x14ac:dyDescent="0.25">
      <c r="A663" t="str">
        <f>[1]!'5434.TW-ID'</f>
        <v>5434</v>
      </c>
      <c r="B663" t="str">
        <f>[1]!'5434.TW-Name'</f>
        <v>崇越</v>
      </c>
      <c r="C663">
        <f>[1]!'5434.TW-SimulatePrice'</f>
        <v>102.5</v>
      </c>
      <c r="D663">
        <f>[1]!'5434.TW-PreClose'</f>
        <v>101</v>
      </c>
      <c r="E663" t="str">
        <f>[1]!'5434.TW-SimulateTime'</f>
        <v>13:29:59</v>
      </c>
    </row>
    <row r="664" spans="1:5" x14ac:dyDescent="0.25">
      <c r="A664" t="str">
        <f>[1]!'6189.TW-ID'</f>
        <v>6189</v>
      </c>
      <c r="B664" t="str">
        <f>[1]!'6189.TW-Name'</f>
        <v>豐藝</v>
      </c>
      <c r="C664">
        <f>[1]!'6189.TW-SimulatePrice'</f>
        <v>33.700000000000003</v>
      </c>
      <c r="D664">
        <f>[1]!'6189.TW-PreClose'</f>
        <v>33.6</v>
      </c>
      <c r="E664" t="str">
        <f>[1]!'6189.TW-SimulateTime'</f>
        <v>13:29:23</v>
      </c>
    </row>
    <row r="665" spans="1:5" x14ac:dyDescent="0.25">
      <c r="A665" t="str">
        <f>[1]!'6281.TW-ID'</f>
        <v>6281</v>
      </c>
      <c r="B665" t="str">
        <f>[1]!'6281.TW-Name'</f>
        <v>全國電</v>
      </c>
      <c r="C665">
        <f>[1]!'6281.TW-SimulatePrice'</f>
        <v>67.599999999999994</v>
      </c>
      <c r="D665">
        <f>[1]!'6281.TW-PreClose'</f>
        <v>67.400000000000006</v>
      </c>
      <c r="E665" t="str">
        <f>[1]!'6281.TW-SimulateTime'</f>
        <v>13:29:29</v>
      </c>
    </row>
    <row r="666" spans="1:5" x14ac:dyDescent="0.25">
      <c r="A666" t="str">
        <f>[1]!'8070.TW-ID'</f>
        <v>8070</v>
      </c>
      <c r="B666" t="str">
        <f>[1]!'8070.TW-Name'</f>
        <v>長華</v>
      </c>
      <c r="C666" t="str">
        <f>[1]!'8070.TW-SimulatePrice'</f>
        <v>--</v>
      </c>
      <c r="D666">
        <f>[1]!'8070.TW-PreClose'</f>
        <v>155</v>
      </c>
      <c r="E666" t="str">
        <f>[1]!'8070.TW-SimulateTime'</f>
        <v>--</v>
      </c>
    </row>
    <row r="667" spans="1:5" x14ac:dyDescent="0.25">
      <c r="A667" t="str">
        <f>[1]!'8072.TW-ID'</f>
        <v>8072</v>
      </c>
      <c r="B667" t="str">
        <f>[1]!'8072.TW-Name'</f>
        <v>陞泰</v>
      </c>
      <c r="C667">
        <f>[1]!'8072.TW-SimulatePrice'</f>
        <v>21.4</v>
      </c>
      <c r="D667">
        <f>[1]!'8072.TW-PreClose'</f>
        <v>21.25</v>
      </c>
      <c r="E667" t="str">
        <f>[1]!'8072.TW-SimulateTime'</f>
        <v>13:29:36</v>
      </c>
    </row>
    <row r="668" spans="1:5" x14ac:dyDescent="0.25">
      <c r="A668" t="str">
        <f>[1]!'8112.TW-ID'</f>
        <v>8112</v>
      </c>
      <c r="B668" t="str">
        <f>[1]!'8112.TW-Name'</f>
        <v>至上</v>
      </c>
      <c r="C668">
        <f>[1]!'8112.TW-SimulatePrice'</f>
        <v>30.75</v>
      </c>
      <c r="D668">
        <f>[1]!'8112.TW-PreClose'</f>
        <v>31.35</v>
      </c>
      <c r="E668" t="str">
        <f>[1]!'8112.TW-SimulateTime'</f>
        <v>13:29:57</v>
      </c>
    </row>
    <row r="669" spans="1:5" x14ac:dyDescent="0.25">
      <c r="A669" t="str">
        <f>[1]!'2427.TW-ID'</f>
        <v>2427</v>
      </c>
      <c r="B669" t="str">
        <f>[1]!'2427.TW-Name'</f>
        <v>三商電</v>
      </c>
      <c r="C669">
        <f>[1]!'2427.TW-SimulatePrice'</f>
        <v>10.1</v>
      </c>
      <c r="D669">
        <f>[1]!'2427.TW-PreClose'</f>
        <v>10.050000000000001</v>
      </c>
      <c r="E669" t="str">
        <f>[1]!'2427.TW-SimulateTime'</f>
        <v>13:29:55</v>
      </c>
    </row>
    <row r="670" spans="1:5" x14ac:dyDescent="0.25">
      <c r="A670" t="str">
        <f>[1]!'2453.TW-ID'</f>
        <v>2453</v>
      </c>
      <c r="B670" t="str">
        <f>[1]!'2453.TW-Name'</f>
        <v>凌群</v>
      </c>
      <c r="C670">
        <f>[1]!'2453.TW-SimulatePrice'</f>
        <v>16.149999999999999</v>
      </c>
      <c r="D670">
        <f>[1]!'2453.TW-PreClose'</f>
        <v>16.5</v>
      </c>
      <c r="E670" t="str">
        <f>[1]!'2453.TW-SimulateTime'</f>
        <v>13:29:58</v>
      </c>
    </row>
    <row r="671" spans="1:5" x14ac:dyDescent="0.25">
      <c r="A671" t="str">
        <f>[1]!'2468.TW-ID'</f>
        <v>2468</v>
      </c>
      <c r="B671" t="str">
        <f>[1]!'2468.TW-Name'</f>
        <v>華經</v>
      </c>
      <c r="C671">
        <f>[1]!'2468.TW-SimulatePrice'</f>
        <v>12.65</v>
      </c>
      <c r="D671">
        <f>[1]!'2468.TW-PreClose'</f>
        <v>12.75</v>
      </c>
      <c r="E671" t="str">
        <f>[1]!'2468.TW-SimulateTime'</f>
        <v>13:29:54</v>
      </c>
    </row>
    <row r="672" spans="1:5" x14ac:dyDescent="0.25">
      <c r="A672" t="str">
        <f>[1]!'2471.TW-ID'</f>
        <v>2471</v>
      </c>
      <c r="B672" t="str">
        <f>[1]!'2471.TW-Name'</f>
        <v>資通</v>
      </c>
      <c r="C672">
        <f>[1]!'2471.TW-SimulatePrice'</f>
        <v>21.05</v>
      </c>
      <c r="D672">
        <f>[1]!'2471.TW-PreClose'</f>
        <v>21.2</v>
      </c>
      <c r="E672" t="str">
        <f>[1]!'2471.TW-SimulateTime'</f>
        <v>13:29:56</v>
      </c>
    </row>
    <row r="673" spans="1:5" x14ac:dyDescent="0.25">
      <c r="A673" t="str">
        <f>[1]!'2480.TW-ID'</f>
        <v>2480</v>
      </c>
      <c r="B673" t="str">
        <f>[1]!'2480.TW-Name'</f>
        <v>敦陽科</v>
      </c>
      <c r="C673">
        <f>[1]!'2480.TW-SimulatePrice'</f>
        <v>62.9</v>
      </c>
      <c r="D673">
        <f>[1]!'2480.TW-PreClose'</f>
        <v>62.8</v>
      </c>
      <c r="E673" t="str">
        <f>[1]!'2480.TW-SimulateTime'</f>
        <v>13:29:58</v>
      </c>
    </row>
    <row r="674" spans="1:5" x14ac:dyDescent="0.25">
      <c r="A674" t="str">
        <f>[1]!'3029.TW-ID'</f>
        <v>3029</v>
      </c>
      <c r="B674" t="str">
        <f>[1]!'3029.TW-Name'</f>
        <v>零壹</v>
      </c>
      <c r="C674">
        <f>[1]!'3029.TW-SimulatePrice'</f>
        <v>31.8</v>
      </c>
      <c r="D674">
        <f>[1]!'3029.TW-PreClose'</f>
        <v>31.8</v>
      </c>
      <c r="E674" t="str">
        <f>[1]!'3029.TW-SimulateTime'</f>
        <v>13:29:44</v>
      </c>
    </row>
    <row r="675" spans="1:5" x14ac:dyDescent="0.25">
      <c r="A675" t="str">
        <f>[1]!'3130.TW-ID'</f>
        <v>3130</v>
      </c>
      <c r="B675" t="str">
        <f>[1]!'3130.TW-Name'</f>
        <v>一零四</v>
      </c>
      <c r="C675" t="str">
        <f>[1]!'3130.TW-SimulatePrice'</f>
        <v>--</v>
      </c>
      <c r="D675">
        <f>[1]!'3130.TW-PreClose'</f>
        <v>152</v>
      </c>
      <c r="E675" t="str">
        <f>[1]!'3130.TW-SimulateTime'</f>
        <v>--</v>
      </c>
    </row>
    <row r="676" spans="1:5" x14ac:dyDescent="0.25">
      <c r="A676" t="str">
        <f>[1]!'4994.TW-ID'</f>
        <v>4994</v>
      </c>
      <c r="B676" t="str">
        <f>[1]!'4994.TW-Name'</f>
        <v>傳奇</v>
      </c>
      <c r="C676">
        <f>[1]!'4994.TW-SimulatePrice'</f>
        <v>64.900000000000006</v>
      </c>
      <c r="D676">
        <f>[1]!'4994.TW-PreClose'</f>
        <v>64.900000000000006</v>
      </c>
      <c r="E676" t="str">
        <f>[1]!'4994.TW-SimulateTime'</f>
        <v>13:28:58</v>
      </c>
    </row>
    <row r="677" spans="1:5" x14ac:dyDescent="0.25">
      <c r="A677" t="str">
        <f>[1]!'5203.TW-ID'</f>
        <v>5203</v>
      </c>
      <c r="B677" t="str">
        <f>[1]!'5203.TW-Name'</f>
        <v>訊連</v>
      </c>
      <c r="C677">
        <f>[1]!'5203.TW-SimulatePrice'</f>
        <v>115</v>
      </c>
      <c r="D677">
        <f>[1]!'5203.TW-PreClose'</f>
        <v>112</v>
      </c>
      <c r="E677" t="str">
        <f>[1]!'5203.TW-SimulateTime'</f>
        <v>13:29:51</v>
      </c>
    </row>
    <row r="678" spans="1:5" x14ac:dyDescent="0.25">
      <c r="A678" t="str">
        <f>[1]!'6112.TW-ID'</f>
        <v>6112</v>
      </c>
      <c r="B678" t="str">
        <f>[1]!'6112.TW-Name'</f>
        <v>聚碩</v>
      </c>
      <c r="C678">
        <f>[1]!'6112.TW-SimulatePrice'</f>
        <v>39.25</v>
      </c>
      <c r="D678">
        <f>[1]!'6112.TW-PreClose'</f>
        <v>38.6</v>
      </c>
      <c r="E678" t="str">
        <f>[1]!'6112.TW-SimulateTime'</f>
        <v>13:29:55</v>
      </c>
    </row>
    <row r="679" spans="1:5" x14ac:dyDescent="0.25">
      <c r="A679" t="str">
        <f>[1]!'6183.TW-ID'</f>
        <v>6183</v>
      </c>
      <c r="B679" t="str">
        <f>[1]!'6183.TW-Name'</f>
        <v>關貿</v>
      </c>
      <c r="C679">
        <f>[1]!'6183.TW-SimulatePrice'</f>
        <v>42</v>
      </c>
      <c r="D679">
        <f>[1]!'6183.TW-PreClose'</f>
        <v>42.05</v>
      </c>
      <c r="E679" t="str">
        <f>[1]!'6183.TW-SimulateTime'</f>
        <v>13:29:58</v>
      </c>
    </row>
    <row r="680" spans="1:5" x14ac:dyDescent="0.25">
      <c r="A680" t="str">
        <f>[1]!'6214.TW-ID'</f>
        <v>6214</v>
      </c>
      <c r="B680" t="str">
        <f>[1]!'6214.TW-Name'</f>
        <v>精誠</v>
      </c>
      <c r="C680">
        <f>[1]!'6214.TW-SimulatePrice'</f>
        <v>77.599999999999994</v>
      </c>
      <c r="D680">
        <f>[1]!'6214.TW-PreClose'</f>
        <v>78</v>
      </c>
      <c r="E680" t="str">
        <f>[1]!'6214.TW-SimulateTime'</f>
        <v>13:29:53</v>
      </c>
    </row>
    <row r="681" spans="1:5" x14ac:dyDescent="0.25">
      <c r="A681" t="str">
        <f>[1]!'2312.TW-ID'</f>
        <v>2312</v>
      </c>
      <c r="B681" t="str">
        <f>[1]!'2312.TW-Name'</f>
        <v>金寶</v>
      </c>
      <c r="C681">
        <f>[1]!'2312.TW-SimulatePrice'</f>
        <v>11.6</v>
      </c>
      <c r="D681">
        <f>[1]!'2312.TW-PreClose'</f>
        <v>11.6</v>
      </c>
      <c r="E681" t="str">
        <f>[1]!'2312.TW-SimulateTime'</f>
        <v>13:29:57</v>
      </c>
    </row>
    <row r="682" spans="1:5" x14ac:dyDescent="0.25">
      <c r="A682" t="str">
        <f>[1]!'2317.TW-ID'</f>
        <v>2317</v>
      </c>
      <c r="B682" t="str">
        <f>[1]!'2317.TW-Name'</f>
        <v>鴻海</v>
      </c>
      <c r="C682">
        <f>[1]!'2317.TW-SimulatePrice'</f>
        <v>77.099999999999994</v>
      </c>
      <c r="D682">
        <f>[1]!'2317.TW-PreClose'</f>
        <v>78.2</v>
      </c>
      <c r="E682" t="str">
        <f>[1]!'2317.TW-SimulateTime'</f>
        <v>13:29:57</v>
      </c>
    </row>
    <row r="683" spans="1:5" x14ac:dyDescent="0.25">
      <c r="A683" t="str">
        <f>[1]!'2354.TW-ID'</f>
        <v>2354</v>
      </c>
      <c r="B683" t="str">
        <f>[1]!'2354.TW-Name'</f>
        <v>鴻準</v>
      </c>
      <c r="C683">
        <f>[1]!'2354.TW-SimulatePrice'</f>
        <v>54.8</v>
      </c>
      <c r="D683">
        <f>[1]!'2354.TW-PreClose'</f>
        <v>55.5</v>
      </c>
      <c r="E683" t="str">
        <f>[1]!'2354.TW-SimulateTime'</f>
        <v>13:29:56</v>
      </c>
    </row>
    <row r="684" spans="1:5" x14ac:dyDescent="0.25">
      <c r="A684" t="str">
        <f>[1]!'2359.TW-ID'</f>
        <v>2359</v>
      </c>
      <c r="B684" t="str">
        <f>[1]!'2359.TW-Name'</f>
        <v>所羅門</v>
      </c>
      <c r="C684">
        <f>[1]!'2359.TW-SimulatePrice'</f>
        <v>18.3</v>
      </c>
      <c r="D684">
        <f>[1]!'2359.TW-PreClose'</f>
        <v>18.55</v>
      </c>
      <c r="E684" t="str">
        <f>[1]!'2359.TW-SimulateTime'</f>
        <v>13:29:58</v>
      </c>
    </row>
    <row r="685" spans="1:5" x14ac:dyDescent="0.25">
      <c r="A685" t="str">
        <f>[1]!'2360.TW-ID'</f>
        <v>2360</v>
      </c>
      <c r="B685" t="str">
        <f>[1]!'2360.TW-Name'</f>
        <v>致茂</v>
      </c>
      <c r="C685">
        <f>[1]!'2360.TW-SimulatePrice'</f>
        <v>135.5</v>
      </c>
      <c r="D685">
        <f>[1]!'2360.TW-PreClose'</f>
        <v>131</v>
      </c>
      <c r="E685" t="str">
        <f>[1]!'2360.TW-SimulateTime'</f>
        <v>13:29:50</v>
      </c>
    </row>
    <row r="686" spans="1:5" x14ac:dyDescent="0.25">
      <c r="A686" t="str">
        <f>[1]!'2373.TW-ID'</f>
        <v>2373</v>
      </c>
      <c r="B686" t="str">
        <f>[1]!'2373.TW-Name'</f>
        <v>震旦行</v>
      </c>
      <c r="C686">
        <f>[1]!'2373.TW-SimulatePrice'</f>
        <v>89.2</v>
      </c>
      <c r="D686">
        <f>[1]!'2373.TW-PreClose'</f>
        <v>89</v>
      </c>
      <c r="E686" t="str">
        <f>[1]!'2373.TW-SimulateTime'</f>
        <v>13:29:17</v>
      </c>
    </row>
    <row r="687" spans="1:5" x14ac:dyDescent="0.25">
      <c r="A687" t="str">
        <f>[1]!'2390.TW-ID'</f>
        <v>2390</v>
      </c>
      <c r="B687" t="str">
        <f>[1]!'2390.TW-Name'</f>
        <v>云辰</v>
      </c>
      <c r="C687">
        <f>[1]!'2390.TW-SimulatePrice'</f>
        <v>8.27</v>
      </c>
      <c r="D687">
        <f>[1]!'2390.TW-PreClose'</f>
        <v>8.26</v>
      </c>
      <c r="E687" t="str">
        <f>[1]!'2390.TW-SimulateTime'</f>
        <v>13:29:49</v>
      </c>
    </row>
    <row r="688" spans="1:5" x14ac:dyDescent="0.25">
      <c r="A688" t="str">
        <f>[1]!'2404.TW-ID'</f>
        <v>2404</v>
      </c>
      <c r="B688" t="str">
        <f>[1]!'2404.TW-Name'</f>
        <v>漢唐</v>
      </c>
      <c r="C688">
        <f>[1]!'2404.TW-SimulatePrice'</f>
        <v>195</v>
      </c>
      <c r="D688">
        <f>[1]!'2404.TW-PreClose'</f>
        <v>194</v>
      </c>
      <c r="E688" t="str">
        <f>[1]!'2404.TW-SimulateTime'</f>
        <v>13:29:56</v>
      </c>
    </row>
    <row r="689" spans="1:5" x14ac:dyDescent="0.25">
      <c r="A689" t="str">
        <f>[1]!'2423.TW-ID'</f>
        <v>2423</v>
      </c>
      <c r="B689" t="str">
        <f>[1]!'2423.TW-Name'</f>
        <v>固緯</v>
      </c>
      <c r="C689">
        <f>[1]!'2423.TW-SimulatePrice'</f>
        <v>23.4</v>
      </c>
      <c r="D689">
        <f>[1]!'2423.TW-PreClose'</f>
        <v>23.55</v>
      </c>
      <c r="E689" t="str">
        <f>[1]!'2423.TW-SimulateTime'</f>
        <v>13:29:10</v>
      </c>
    </row>
    <row r="690" spans="1:5" x14ac:dyDescent="0.25">
      <c r="A690" t="str">
        <f>[1]!'2433.TW-ID'</f>
        <v>2433</v>
      </c>
      <c r="B690" t="str">
        <f>[1]!'2433.TW-Name'</f>
        <v>互盛電</v>
      </c>
      <c r="C690">
        <f>[1]!'2433.TW-SimulatePrice'</f>
        <v>52.7</v>
      </c>
      <c r="D690">
        <f>[1]!'2433.TW-PreClose'</f>
        <v>52.5</v>
      </c>
      <c r="E690" t="str">
        <f>[1]!'2433.TW-SimulateTime'</f>
        <v>13:28:22</v>
      </c>
    </row>
    <row r="691" spans="1:5" x14ac:dyDescent="0.25">
      <c r="A691" t="str">
        <f>[1]!'2461.TW-ID'</f>
        <v>2461</v>
      </c>
      <c r="B691" t="str">
        <f>[1]!'2461.TW-Name'</f>
        <v>光群雷</v>
      </c>
      <c r="C691">
        <f>[1]!'2461.TW-SimulatePrice'</f>
        <v>14.9</v>
      </c>
      <c r="D691">
        <f>[1]!'2461.TW-PreClose'</f>
        <v>15</v>
      </c>
      <c r="E691" t="str">
        <f>[1]!'2461.TW-SimulateTime'</f>
        <v>13:29:41</v>
      </c>
    </row>
    <row r="692" spans="1:5" x14ac:dyDescent="0.25">
      <c r="A692" t="str">
        <f>[1]!'2464.TW-ID'</f>
        <v>2464</v>
      </c>
      <c r="B692" t="str">
        <f>[1]!'2464.TW-Name'</f>
        <v>盟立</v>
      </c>
      <c r="C692">
        <f>[1]!'2464.TW-SimulatePrice'</f>
        <v>37.25</v>
      </c>
      <c r="D692">
        <f>[1]!'2464.TW-PreClose'</f>
        <v>37.049999999999997</v>
      </c>
      <c r="E692" t="str">
        <f>[1]!'2464.TW-SimulateTime'</f>
        <v>13:29:58</v>
      </c>
    </row>
    <row r="693" spans="1:5" x14ac:dyDescent="0.25">
      <c r="A693" t="str">
        <f>[1]!'2474.TW-ID'</f>
        <v>2474</v>
      </c>
      <c r="B693" t="str">
        <f>[1]!'2474.TW-Name'</f>
        <v>可成</v>
      </c>
      <c r="C693">
        <f>[1]!'2474.TW-SimulatePrice'</f>
        <v>232.5</v>
      </c>
      <c r="D693">
        <f>[1]!'2474.TW-PreClose'</f>
        <v>232.5</v>
      </c>
      <c r="E693" t="str">
        <f>[1]!'2474.TW-SimulateTime'</f>
        <v>13:29:59</v>
      </c>
    </row>
    <row r="694" spans="1:5" x14ac:dyDescent="0.25">
      <c r="A694" t="str">
        <f>[1]!'2477.TW-ID'</f>
        <v>2477</v>
      </c>
      <c r="B694" t="str">
        <f>[1]!'2477.TW-Name'</f>
        <v>美隆電</v>
      </c>
      <c r="C694">
        <f>[1]!'2477.TW-SimulatePrice'</f>
        <v>20.65</v>
      </c>
      <c r="D694">
        <f>[1]!'2477.TW-PreClose'</f>
        <v>21.1</v>
      </c>
      <c r="E694" t="str">
        <f>[1]!'2477.TW-SimulateTime'</f>
        <v>13:29:46</v>
      </c>
    </row>
    <row r="695" spans="1:5" x14ac:dyDescent="0.25">
      <c r="A695" t="str">
        <f>[1]!'2482.TW-ID'</f>
        <v>2482</v>
      </c>
      <c r="B695" t="str">
        <f>[1]!'2482.TW-Name'</f>
        <v>連宇</v>
      </c>
      <c r="C695">
        <f>[1]!'2482.TW-SimulatePrice'</f>
        <v>10.7</v>
      </c>
      <c r="D695">
        <f>[1]!'2482.TW-PreClose'</f>
        <v>10.8</v>
      </c>
      <c r="E695" t="str">
        <f>[1]!'2482.TW-SimulateTime'</f>
        <v>13:28:21</v>
      </c>
    </row>
    <row r="696" spans="1:5" x14ac:dyDescent="0.25">
      <c r="A696" t="str">
        <f>[1]!'2488.TW-ID'</f>
        <v>2488</v>
      </c>
      <c r="B696" t="str">
        <f>[1]!'2488.TW-Name'</f>
        <v>漢平</v>
      </c>
      <c r="C696">
        <f>[1]!'2488.TW-SimulatePrice'</f>
        <v>28.1</v>
      </c>
      <c r="D696">
        <f>[1]!'2488.TW-PreClose'</f>
        <v>28</v>
      </c>
      <c r="E696" t="str">
        <f>[1]!'2488.TW-SimulateTime'</f>
        <v>13:29:32</v>
      </c>
    </row>
    <row r="697" spans="1:5" x14ac:dyDescent="0.25">
      <c r="A697" t="str">
        <f>[1]!'2495.TW-ID'</f>
        <v>2495</v>
      </c>
      <c r="B697" t="str">
        <f>[1]!'2495.TW-Name'</f>
        <v>普安</v>
      </c>
      <c r="C697">
        <f>[1]!'2495.TW-SimulatePrice'</f>
        <v>11.25</v>
      </c>
      <c r="D697">
        <f>[1]!'2495.TW-PreClose'</f>
        <v>11.3</v>
      </c>
      <c r="E697" t="str">
        <f>[1]!'2495.TW-SimulateTime'</f>
        <v>13:27:47</v>
      </c>
    </row>
    <row r="698" spans="1:5" x14ac:dyDescent="0.25">
      <c r="A698" t="str">
        <f>[1]!'3018.TW-ID'</f>
        <v>3018</v>
      </c>
      <c r="B698" t="str">
        <f>[1]!'3018.TW-Name'</f>
        <v>同開</v>
      </c>
      <c r="C698">
        <f>[1]!'3018.TW-SimulatePrice'</f>
        <v>18.899999999999999</v>
      </c>
      <c r="D698">
        <f>[1]!'3018.TW-PreClose'</f>
        <v>17.899999999999999</v>
      </c>
      <c r="E698" t="str">
        <f>[1]!'3018.TW-SimulateTime'</f>
        <v>13:29:18</v>
      </c>
    </row>
    <row r="699" spans="1:5" x14ac:dyDescent="0.25">
      <c r="A699" t="str">
        <f>[1]!'3030.TW-ID'</f>
        <v>3030</v>
      </c>
      <c r="B699" t="str">
        <f>[1]!'3030.TW-Name'</f>
        <v>德律</v>
      </c>
      <c r="C699">
        <f>[1]!'3030.TW-SimulatePrice'</f>
        <v>53.6</v>
      </c>
      <c r="D699">
        <f>[1]!'3030.TW-PreClose'</f>
        <v>54</v>
      </c>
      <c r="E699" t="str">
        <f>[1]!'3030.TW-SimulateTime'</f>
        <v>13:29:45</v>
      </c>
    </row>
    <row r="700" spans="1:5" x14ac:dyDescent="0.25">
      <c r="A700" t="str">
        <f>[1]!'3043.TW-ID'</f>
        <v>3043</v>
      </c>
      <c r="B700" t="str">
        <f>[1]!'3043.TW-Name'</f>
        <v>科風</v>
      </c>
      <c r="C700" t="str">
        <f>[1]!'3043.TW-SimulatePrice'</f>
        <v>--</v>
      </c>
      <c r="D700">
        <f>[1]!'3043.TW-PreClose'</f>
        <v>1.37</v>
      </c>
      <c r="E700" t="str">
        <f>[1]!'3043.TW-SimulateTime'</f>
        <v>--</v>
      </c>
    </row>
    <row r="701" spans="1:5" x14ac:dyDescent="0.25">
      <c r="A701" t="str">
        <f>[1]!'3305.TW-ID'</f>
        <v>3305</v>
      </c>
      <c r="B701" t="str">
        <f>[1]!'3305.TW-Name'</f>
        <v>昇貿</v>
      </c>
      <c r="C701">
        <f>[1]!'3305.TW-SimulatePrice'</f>
        <v>19.5</v>
      </c>
      <c r="D701">
        <f>[1]!'3305.TW-PreClose'</f>
        <v>19.45</v>
      </c>
      <c r="E701" t="str">
        <f>[1]!'3305.TW-SimulateTime'</f>
        <v>13:29:59</v>
      </c>
    </row>
    <row r="702" spans="1:5" x14ac:dyDescent="0.25">
      <c r="A702" t="str">
        <f>[1]!'3450.TW-ID'</f>
        <v>3450</v>
      </c>
      <c r="B702" t="str">
        <f>[1]!'3450.TW-Name'</f>
        <v>聯鈞</v>
      </c>
      <c r="C702">
        <f>[1]!'3450.TW-SimulatePrice'</f>
        <v>65.2</v>
      </c>
      <c r="D702">
        <f>[1]!'3450.TW-PreClose'</f>
        <v>67.7</v>
      </c>
      <c r="E702" t="str">
        <f>[1]!'3450.TW-SimulateTime'</f>
        <v>13:29:57</v>
      </c>
    </row>
    <row r="703" spans="1:5" x14ac:dyDescent="0.25">
      <c r="A703" t="str">
        <f>[1]!'3518.TW-ID'</f>
        <v>3518</v>
      </c>
      <c r="B703" t="str">
        <f>[1]!'3518.TW-Name'</f>
        <v>柏騰</v>
      </c>
      <c r="C703">
        <f>[1]!'3518.TW-SimulatePrice'</f>
        <v>34.299999999999997</v>
      </c>
      <c r="D703">
        <f>[1]!'3518.TW-PreClose'</f>
        <v>34.15</v>
      </c>
      <c r="E703" t="str">
        <f>[1]!'3518.TW-SimulateTime'</f>
        <v>13:29:58</v>
      </c>
    </row>
    <row r="704" spans="1:5" x14ac:dyDescent="0.25">
      <c r="A704" t="str">
        <f>[1]!'3617.TW-ID'</f>
        <v>3617</v>
      </c>
      <c r="B704" t="str">
        <f>[1]!'3617.TW-Name'</f>
        <v>碩天</v>
      </c>
      <c r="C704">
        <f>[1]!'3617.TW-SimulatePrice'</f>
        <v>79.599999999999994</v>
      </c>
      <c r="D704">
        <f>[1]!'3617.TW-PreClose'</f>
        <v>80.3</v>
      </c>
      <c r="E704" t="str">
        <f>[1]!'3617.TW-SimulateTime'</f>
        <v>13:29:37</v>
      </c>
    </row>
    <row r="705" spans="1:5" x14ac:dyDescent="0.25">
      <c r="A705" t="str">
        <f>[1]!'3665.TW-ID'</f>
        <v>3665</v>
      </c>
      <c r="B705" t="str">
        <f>[1]!'3665.TW-Name'</f>
        <v>貿聯-KY</v>
      </c>
      <c r="C705">
        <f>[1]!'3665.TW-SimulatePrice'</f>
        <v>181</v>
      </c>
      <c r="D705">
        <f>[1]!'3665.TW-PreClose'</f>
        <v>181.5</v>
      </c>
      <c r="E705" t="str">
        <f>[1]!'3665.TW-SimulateTime'</f>
        <v>13:29:59</v>
      </c>
    </row>
    <row r="706" spans="1:5" x14ac:dyDescent="0.25">
      <c r="A706" t="str">
        <f>[1]!'5225.TW-ID'</f>
        <v>5225</v>
      </c>
      <c r="B706" t="str">
        <f>[1]!'5225.TW-Name'</f>
        <v>東科-KY</v>
      </c>
      <c r="C706">
        <f>[1]!'5225.TW-SimulatePrice'</f>
        <v>25.2</v>
      </c>
      <c r="D706">
        <f>[1]!'5225.TW-PreClose'</f>
        <v>25.55</v>
      </c>
      <c r="E706" t="str">
        <f>[1]!'5225.TW-SimulateTime'</f>
        <v>13:29:28</v>
      </c>
    </row>
    <row r="707" spans="1:5" x14ac:dyDescent="0.25">
      <c r="A707" t="str">
        <f>[1]!'6139.TW-ID'</f>
        <v>6139</v>
      </c>
      <c r="B707" t="str">
        <f>[1]!'6139.TW-Name'</f>
        <v>亞翔</v>
      </c>
      <c r="C707">
        <f>[1]!'6139.TW-SimulatePrice'</f>
        <v>25.05</v>
      </c>
      <c r="D707">
        <f>[1]!'6139.TW-PreClose'</f>
        <v>25.3</v>
      </c>
      <c r="E707" t="str">
        <f>[1]!'6139.TW-SimulateTime'</f>
        <v>13:29:49</v>
      </c>
    </row>
    <row r="708" spans="1:5" x14ac:dyDescent="0.25">
      <c r="A708" t="str">
        <f>[1]!'6192.TW-ID'</f>
        <v>6192</v>
      </c>
      <c r="B708" t="str">
        <f>[1]!'6192.TW-Name'</f>
        <v>巨路</v>
      </c>
      <c r="C708">
        <f>[1]!'6192.TW-SimulatePrice'</f>
        <v>64.599999999999994</v>
      </c>
      <c r="D708">
        <f>[1]!'6192.TW-PreClose'</f>
        <v>64.900000000000006</v>
      </c>
      <c r="E708" t="str">
        <f>[1]!'6192.TW-SimulateTime'</f>
        <v>13:28:05</v>
      </c>
    </row>
    <row r="709" spans="1:5" x14ac:dyDescent="0.25">
      <c r="A709" t="str">
        <f>[1]!'6196.TW-ID'</f>
        <v>6196</v>
      </c>
      <c r="B709" t="str">
        <f>[1]!'6196.TW-Name'</f>
        <v>帆宣</v>
      </c>
      <c r="C709">
        <f>[1]!'6196.TW-SimulatePrice'</f>
        <v>72.099999999999994</v>
      </c>
      <c r="D709">
        <f>[1]!'6196.TW-PreClose'</f>
        <v>74.5</v>
      </c>
      <c r="E709" t="str">
        <f>[1]!'6196.TW-SimulateTime'</f>
        <v>13:29:54</v>
      </c>
    </row>
    <row r="710" spans="1:5" x14ac:dyDescent="0.25">
      <c r="A710" t="str">
        <f>[1]!'6201.TW-ID'</f>
        <v>6201</v>
      </c>
      <c r="B710" t="str">
        <f>[1]!'6201.TW-Name'</f>
        <v>亞弘電</v>
      </c>
      <c r="C710">
        <f>[1]!'6201.TW-SimulatePrice'</f>
        <v>33.299999999999997</v>
      </c>
      <c r="D710">
        <f>[1]!'6201.TW-PreClose'</f>
        <v>33.5</v>
      </c>
      <c r="E710" t="str">
        <f>[1]!'6201.TW-SimulateTime'</f>
        <v>13:27:25</v>
      </c>
    </row>
    <row r="711" spans="1:5" x14ac:dyDescent="0.25">
      <c r="A711" t="str">
        <f>[1]!'6215.TW-ID'</f>
        <v>6215</v>
      </c>
      <c r="B711" t="str">
        <f>[1]!'6215.TW-Name'</f>
        <v>和椿</v>
      </c>
      <c r="C711">
        <f>[1]!'6215.TW-SimulatePrice'</f>
        <v>14.95</v>
      </c>
      <c r="D711">
        <f>[1]!'6215.TW-PreClose'</f>
        <v>14.8</v>
      </c>
      <c r="E711" t="str">
        <f>[1]!'6215.TW-SimulateTime'</f>
        <v>13:29:00</v>
      </c>
    </row>
    <row r="712" spans="1:5" x14ac:dyDescent="0.25">
      <c r="A712" t="str">
        <f>[1]!'6283.TW-ID'</f>
        <v>6283</v>
      </c>
      <c r="B712" t="str">
        <f>[1]!'6283.TW-Name'</f>
        <v>淳安</v>
      </c>
      <c r="C712">
        <f>[1]!'6283.TW-SimulatePrice'</f>
        <v>20.8</v>
      </c>
      <c r="D712">
        <f>[1]!'6283.TW-PreClose'</f>
        <v>21.25</v>
      </c>
      <c r="E712" t="str">
        <f>[1]!'6283.TW-SimulateTime'</f>
        <v>13:26:20</v>
      </c>
    </row>
    <row r="713" spans="1:5" x14ac:dyDescent="0.25">
      <c r="A713" t="str">
        <f>[1]!'6409.TW-ID'</f>
        <v>6409</v>
      </c>
      <c r="B713" t="str">
        <f>[1]!'6409.TW-Name'</f>
        <v>旭隼</v>
      </c>
      <c r="C713">
        <f>[1]!'6409.TW-SimulatePrice'</f>
        <v>784</v>
      </c>
      <c r="D713">
        <f>[1]!'6409.TW-PreClose'</f>
        <v>765</v>
      </c>
      <c r="E713" t="str">
        <f>[1]!'6409.TW-SimulateTime'</f>
        <v>13:29:38</v>
      </c>
    </row>
    <row r="714" spans="1:5" x14ac:dyDescent="0.25">
      <c r="A714" t="str">
        <f>[1]!'6558.TW-ID'</f>
        <v>6558</v>
      </c>
      <c r="B714" t="str">
        <f>[1]!'6558.TW-Name'</f>
        <v>興能高</v>
      </c>
      <c r="C714">
        <f>[1]!'6558.TW-SimulatePrice'</f>
        <v>45.75</v>
      </c>
      <c r="D714">
        <f>[1]!'6558.TW-PreClose'</f>
        <v>45.65</v>
      </c>
      <c r="E714" t="str">
        <f>[1]!'6558.TW-SimulateTime'</f>
        <v>13:29:59</v>
      </c>
    </row>
    <row r="715" spans="1:5" x14ac:dyDescent="0.25">
      <c r="A715" t="str">
        <f>[1]!'6698.TW-ID'</f>
        <v>6698</v>
      </c>
      <c r="B715" t="str">
        <f>[1]!'6698.TW-Name'</f>
        <v>旭暉應材</v>
      </c>
      <c r="C715">
        <f>[1]!'6698.TW-SimulatePrice'</f>
        <v>52.8</v>
      </c>
      <c r="D715">
        <f>[1]!'6698.TW-PreClose'</f>
        <v>53.5</v>
      </c>
      <c r="E715" t="str">
        <f>[1]!'6698.TW-SimulateTime'</f>
        <v>13:29:54</v>
      </c>
    </row>
    <row r="716" spans="1:5" x14ac:dyDescent="0.25">
      <c r="A716" t="str">
        <f>[1]!'8021.TW-ID'</f>
        <v>8021</v>
      </c>
      <c r="B716" t="str">
        <f>[1]!'8021.TW-Name'</f>
        <v>尖點</v>
      </c>
      <c r="C716">
        <f>[1]!'8021.TW-SimulatePrice'</f>
        <v>20.149999999999999</v>
      </c>
      <c r="D716">
        <f>[1]!'8021.TW-PreClose'</f>
        <v>20.6</v>
      </c>
      <c r="E716" t="str">
        <f>[1]!'8021.TW-SimulateTime'</f>
        <v>13:29:31</v>
      </c>
    </row>
    <row r="717" spans="1:5" x14ac:dyDescent="0.25">
      <c r="A717" t="str">
        <f>[1]!'8201.TW-ID'</f>
        <v>8201</v>
      </c>
      <c r="B717" t="str">
        <f>[1]!'8201.TW-Name'</f>
        <v>無敵</v>
      </c>
      <c r="C717">
        <f>[1]!'8201.TW-SimulatePrice'</f>
        <v>8.33</v>
      </c>
      <c r="D717">
        <f>[1]!'8201.TW-PreClose'</f>
        <v>8.27</v>
      </c>
      <c r="E717" t="str">
        <f>[1]!'8201.TW-SimulateTime'</f>
        <v>13:29:43</v>
      </c>
    </row>
    <row r="718" spans="1:5" x14ac:dyDescent="0.25">
      <c r="A718" t="str">
        <f>[1]!'1316.TW-ID'</f>
        <v>1316</v>
      </c>
      <c r="B718" t="str">
        <f>[1]!'1316.TW-Name'</f>
        <v>上曜</v>
      </c>
      <c r="C718">
        <f>[1]!'1316.TW-SimulatePrice'</f>
        <v>11.15</v>
      </c>
      <c r="D718">
        <f>[1]!'1316.TW-PreClose'</f>
        <v>11.1</v>
      </c>
      <c r="E718" t="str">
        <f>[1]!'1316.TW-SimulateTime'</f>
        <v>13:29:58</v>
      </c>
    </row>
    <row r="719" spans="1:5" x14ac:dyDescent="0.25">
      <c r="A719" t="str">
        <f>[1]!'1436.TW-ID'</f>
        <v>1436</v>
      </c>
      <c r="B719" t="str">
        <f>[1]!'1436.TW-Name'</f>
        <v>華友聯</v>
      </c>
      <c r="C719">
        <f>[1]!'1436.TW-SimulatePrice'</f>
        <v>37.200000000000003</v>
      </c>
      <c r="D719">
        <f>[1]!'1436.TW-PreClose'</f>
        <v>37</v>
      </c>
      <c r="E719" t="str">
        <f>[1]!'1436.TW-SimulateTime'</f>
        <v>13:26:29</v>
      </c>
    </row>
    <row r="720" spans="1:5" x14ac:dyDescent="0.25">
      <c r="A720" t="str">
        <f>[1]!'1438.TW-ID'</f>
        <v>1438</v>
      </c>
      <c r="B720" t="str">
        <f>[1]!'1438.TW-Name'</f>
        <v>裕豐</v>
      </c>
      <c r="C720">
        <f>[1]!'1438.TW-SimulatePrice'</f>
        <v>11.7</v>
      </c>
      <c r="D720">
        <f>[1]!'1438.TW-PreClose'</f>
        <v>11.5</v>
      </c>
      <c r="E720" t="str">
        <f>[1]!'1438.TW-SimulateTime'</f>
        <v>13:26:45</v>
      </c>
    </row>
    <row r="721" spans="1:5" x14ac:dyDescent="0.25">
      <c r="A721" t="str">
        <f>[1]!'1442.TW-ID'</f>
        <v>1442</v>
      </c>
      <c r="B721" t="str">
        <f>[1]!'1442.TW-Name'</f>
        <v>名軒</v>
      </c>
      <c r="C721" t="str">
        <f>[1]!'1442.TW-SimulatePrice'</f>
        <v>--</v>
      </c>
      <c r="D721">
        <f>[1]!'1442.TW-PreClose'</f>
        <v>17.600000000000001</v>
      </c>
      <c r="E721" t="str">
        <f>[1]!'1442.TW-SimulateTime'</f>
        <v>--</v>
      </c>
    </row>
    <row r="722" spans="1:5" x14ac:dyDescent="0.25">
      <c r="A722" t="str">
        <f>[1]!'1805.TW-ID'</f>
        <v>1805</v>
      </c>
      <c r="B722" t="str">
        <f>[1]!'1805.TW-Name'</f>
        <v>寶徠</v>
      </c>
      <c r="C722" t="str">
        <f>[1]!'1805.TW-SimulatePrice'</f>
        <v>--</v>
      </c>
      <c r="D722">
        <f>[1]!'1805.TW-PreClose'</f>
        <v>8.31</v>
      </c>
      <c r="E722" t="str">
        <f>[1]!'1805.TW-SimulateTime'</f>
        <v>--</v>
      </c>
    </row>
    <row r="723" spans="1:5" x14ac:dyDescent="0.25">
      <c r="A723" t="str">
        <f>[1]!'1808.TW-ID'</f>
        <v>1808</v>
      </c>
      <c r="B723" t="str">
        <f>[1]!'1808.TW-Name'</f>
        <v>潤隆</v>
      </c>
      <c r="C723">
        <f>[1]!'1808.TW-SimulatePrice'</f>
        <v>59.3</v>
      </c>
      <c r="D723">
        <f>[1]!'1808.TW-PreClose'</f>
        <v>58.4</v>
      </c>
      <c r="E723" t="str">
        <f>[1]!'1808.TW-SimulateTime'</f>
        <v>13:29:26</v>
      </c>
    </row>
    <row r="724" spans="1:5" x14ac:dyDescent="0.25">
      <c r="A724" t="str">
        <f>[1]!'2501.TW-ID'</f>
        <v>2501</v>
      </c>
      <c r="B724" t="str">
        <f>[1]!'2501.TW-Name'</f>
        <v>國建</v>
      </c>
      <c r="C724">
        <f>[1]!'2501.TW-SimulatePrice'</f>
        <v>18.7</v>
      </c>
      <c r="D724">
        <f>[1]!'2501.TW-PreClose'</f>
        <v>18.7</v>
      </c>
      <c r="E724" t="str">
        <f>[1]!'2501.TW-SimulateTime'</f>
        <v>13:29:29</v>
      </c>
    </row>
    <row r="725" spans="1:5" x14ac:dyDescent="0.25">
      <c r="A725" t="str">
        <f>[1]!'2504.TW-ID'</f>
        <v>2504</v>
      </c>
      <c r="B725" t="str">
        <f>[1]!'2504.TW-Name'</f>
        <v>國產</v>
      </c>
      <c r="C725">
        <f>[1]!'2504.TW-SimulatePrice'</f>
        <v>13.8</v>
      </c>
      <c r="D725">
        <f>[1]!'2504.TW-PreClose'</f>
        <v>13.65</v>
      </c>
      <c r="E725" t="str">
        <f>[1]!'2504.TW-SimulateTime'</f>
        <v>13:29:58</v>
      </c>
    </row>
    <row r="726" spans="1:5" x14ac:dyDescent="0.25">
      <c r="A726" t="str">
        <f>[1]!'2505.TW-ID'</f>
        <v>2505</v>
      </c>
      <c r="B726" t="str">
        <f>[1]!'2505.TW-Name'</f>
        <v>國揚</v>
      </c>
      <c r="C726">
        <f>[1]!'2505.TW-SimulatePrice'</f>
        <v>19.649999999999999</v>
      </c>
      <c r="D726">
        <f>[1]!'2505.TW-PreClose'</f>
        <v>19.850000000000001</v>
      </c>
      <c r="E726" t="str">
        <f>[1]!'2505.TW-SimulateTime'</f>
        <v>13:29:59</v>
      </c>
    </row>
    <row r="727" spans="1:5" x14ac:dyDescent="0.25">
      <c r="A727" t="str">
        <f>[1]!'2506.TW-ID'</f>
        <v>2506</v>
      </c>
      <c r="B727" t="str">
        <f>[1]!'2506.TW-Name'</f>
        <v>太設</v>
      </c>
      <c r="C727">
        <f>[1]!'2506.TW-SimulatePrice'</f>
        <v>9.02</v>
      </c>
      <c r="D727">
        <f>[1]!'2506.TW-PreClose'</f>
        <v>9.0399999999999991</v>
      </c>
      <c r="E727" t="str">
        <f>[1]!'2506.TW-SimulateTime'</f>
        <v>13:29:21</v>
      </c>
    </row>
    <row r="728" spans="1:5" x14ac:dyDescent="0.25">
      <c r="A728" t="str">
        <f>[1]!'2509.TW-ID'</f>
        <v>2509</v>
      </c>
      <c r="B728" t="str">
        <f>[1]!'2509.TW-Name'</f>
        <v>全坤建</v>
      </c>
      <c r="C728">
        <f>[1]!'2509.TW-SimulatePrice'</f>
        <v>20.25</v>
      </c>
      <c r="D728">
        <f>[1]!'2509.TW-PreClose'</f>
        <v>20.6</v>
      </c>
      <c r="E728" t="str">
        <f>[1]!'2509.TW-SimulateTime'</f>
        <v>13:29:27</v>
      </c>
    </row>
    <row r="729" spans="1:5" x14ac:dyDescent="0.25">
      <c r="A729" t="str">
        <f>[1]!'2511.TW-ID'</f>
        <v>2511</v>
      </c>
      <c r="B729" t="str">
        <f>[1]!'2511.TW-Name'</f>
        <v>太子</v>
      </c>
      <c r="C729">
        <f>[1]!'2511.TW-SimulatePrice'</f>
        <v>9.7100000000000009</v>
      </c>
      <c r="D729">
        <f>[1]!'2511.TW-PreClose'</f>
        <v>9.7100000000000009</v>
      </c>
      <c r="E729" t="str">
        <f>[1]!'2511.TW-SimulateTime'</f>
        <v>13:29:52</v>
      </c>
    </row>
    <row r="730" spans="1:5" x14ac:dyDescent="0.25">
      <c r="A730" t="str">
        <f>[1]!'2515.TW-ID'</f>
        <v>2515</v>
      </c>
      <c r="B730" t="str">
        <f>[1]!'2515.TW-Name'</f>
        <v>中工</v>
      </c>
      <c r="C730">
        <f>[1]!'2515.TW-SimulatePrice'</f>
        <v>6.74</v>
      </c>
      <c r="D730">
        <f>[1]!'2515.TW-PreClose'</f>
        <v>6.78</v>
      </c>
      <c r="E730" t="str">
        <f>[1]!'2515.TW-SimulateTime'</f>
        <v>13:29:58</v>
      </c>
    </row>
    <row r="731" spans="1:5" x14ac:dyDescent="0.25">
      <c r="A731" t="str">
        <f>[1]!'2516.TW-ID'</f>
        <v>2516</v>
      </c>
      <c r="B731" t="str">
        <f>[1]!'2516.TW-Name'</f>
        <v>新建</v>
      </c>
      <c r="C731">
        <f>[1]!'2516.TW-SimulatePrice'</f>
        <v>4.5599999999999996</v>
      </c>
      <c r="D731">
        <f>[1]!'2516.TW-PreClose'</f>
        <v>4.5999999999999996</v>
      </c>
      <c r="E731" t="str">
        <f>[1]!'2516.TW-SimulateTime'</f>
        <v>13:29:38</v>
      </c>
    </row>
    <row r="732" spans="1:5" x14ac:dyDescent="0.25">
      <c r="A732" t="str">
        <f>[1]!'2520.TW-ID'</f>
        <v>2520</v>
      </c>
      <c r="B732" t="str">
        <f>[1]!'2520.TW-Name'</f>
        <v>冠德</v>
      </c>
      <c r="C732">
        <f>[1]!'2520.TW-SimulatePrice'</f>
        <v>25.3</v>
      </c>
      <c r="D732">
        <f>[1]!'2520.TW-PreClose'</f>
        <v>25.7</v>
      </c>
      <c r="E732" t="str">
        <f>[1]!'2520.TW-SimulateTime'</f>
        <v>13:29:59</v>
      </c>
    </row>
    <row r="733" spans="1:5" x14ac:dyDescent="0.25">
      <c r="A733" t="str">
        <f>[1]!'2524.TW-ID'</f>
        <v>2524</v>
      </c>
      <c r="B733" t="str">
        <f>[1]!'2524.TW-Name'</f>
        <v>京城</v>
      </c>
      <c r="C733">
        <f>[1]!'2524.TW-SimulatePrice'</f>
        <v>31.3</v>
      </c>
      <c r="D733">
        <f>[1]!'2524.TW-PreClose'</f>
        <v>31.7</v>
      </c>
      <c r="E733" t="str">
        <f>[1]!'2524.TW-SimulateTime'</f>
        <v>13:29:59</v>
      </c>
    </row>
    <row r="734" spans="1:5" x14ac:dyDescent="0.25">
      <c r="A734" t="str">
        <f>[1]!'2527.TW-ID'</f>
        <v>2527</v>
      </c>
      <c r="B734" t="str">
        <f>[1]!'2527.TW-Name'</f>
        <v>宏璟</v>
      </c>
      <c r="C734">
        <f>[1]!'2527.TW-SimulatePrice'</f>
        <v>19.600000000000001</v>
      </c>
      <c r="D734">
        <f>[1]!'2527.TW-PreClose'</f>
        <v>19.600000000000001</v>
      </c>
      <c r="E734" t="str">
        <f>[1]!'2527.TW-SimulateTime'</f>
        <v>13:29:37</v>
      </c>
    </row>
    <row r="735" spans="1:5" x14ac:dyDescent="0.25">
      <c r="A735" t="str">
        <f>[1]!'2528.TW-ID'</f>
        <v>2528</v>
      </c>
      <c r="B735" t="str">
        <f>[1]!'2528.TW-Name'</f>
        <v>皇普</v>
      </c>
      <c r="C735">
        <f>[1]!'2528.TW-SimulatePrice'</f>
        <v>20</v>
      </c>
      <c r="D735">
        <f>[1]!'2528.TW-PreClose'</f>
        <v>19.7</v>
      </c>
      <c r="E735" t="str">
        <f>[1]!'2528.TW-SimulateTime'</f>
        <v>13:29:52</v>
      </c>
    </row>
    <row r="736" spans="1:5" x14ac:dyDescent="0.25">
      <c r="A736" t="str">
        <f>[1]!'2530.TW-ID'</f>
        <v>2530</v>
      </c>
      <c r="B736" t="str">
        <f>[1]!'2530.TW-Name'</f>
        <v>華建</v>
      </c>
      <c r="C736">
        <f>[1]!'2530.TW-SimulatePrice'</f>
        <v>16.25</v>
      </c>
      <c r="D736">
        <f>[1]!'2530.TW-PreClose'</f>
        <v>15.9</v>
      </c>
      <c r="E736" t="str">
        <f>[1]!'2530.TW-SimulateTime'</f>
        <v>13:29:58</v>
      </c>
    </row>
    <row r="737" spans="1:5" x14ac:dyDescent="0.25">
      <c r="A737" t="str">
        <f>[1]!'2534.TW-ID'</f>
        <v>2534</v>
      </c>
      <c r="B737" t="str">
        <f>[1]!'2534.TW-Name'</f>
        <v>宏盛</v>
      </c>
      <c r="C737">
        <f>[1]!'2534.TW-SimulatePrice'</f>
        <v>16.899999999999999</v>
      </c>
      <c r="D737">
        <f>[1]!'2534.TW-PreClose'</f>
        <v>16.7</v>
      </c>
      <c r="E737" t="str">
        <f>[1]!'2534.TW-SimulateTime'</f>
        <v>13:29:40</v>
      </c>
    </row>
    <row r="738" spans="1:5" x14ac:dyDescent="0.25">
      <c r="A738" t="str">
        <f>[1]!'2535.TW-ID'</f>
        <v>2535</v>
      </c>
      <c r="B738" t="str">
        <f>[1]!'2535.TW-Name'</f>
        <v>達欣工</v>
      </c>
      <c r="C738">
        <f>[1]!'2535.TW-SimulatePrice'</f>
        <v>21.4</v>
      </c>
      <c r="D738">
        <f>[1]!'2535.TW-PreClose'</f>
        <v>21.45</v>
      </c>
      <c r="E738" t="str">
        <f>[1]!'2535.TW-SimulateTime'</f>
        <v>13:29:56</v>
      </c>
    </row>
    <row r="739" spans="1:5" x14ac:dyDescent="0.25">
      <c r="A739" t="str">
        <f>[1]!'2536.TW-ID'</f>
        <v>2536</v>
      </c>
      <c r="B739" t="str">
        <f>[1]!'2536.TW-Name'</f>
        <v>宏普</v>
      </c>
      <c r="C739">
        <f>[1]!'2536.TW-SimulatePrice'</f>
        <v>22.85</v>
      </c>
      <c r="D739">
        <f>[1]!'2536.TW-PreClose'</f>
        <v>22.95</v>
      </c>
      <c r="E739" t="str">
        <f>[1]!'2536.TW-SimulateTime'</f>
        <v>13:29:39</v>
      </c>
    </row>
    <row r="740" spans="1:5" x14ac:dyDescent="0.25">
      <c r="A740" t="str">
        <f>[1]!'2537.TW-ID'</f>
        <v>2537</v>
      </c>
      <c r="B740" t="str">
        <f>[1]!'2537.TW-Name'</f>
        <v>聯上發</v>
      </c>
      <c r="C740">
        <f>[1]!'2537.TW-SimulatePrice'</f>
        <v>9.7899999999999991</v>
      </c>
      <c r="D740">
        <f>[1]!'2537.TW-PreClose'</f>
        <v>9.91</v>
      </c>
      <c r="E740" t="str">
        <f>[1]!'2537.TW-SimulateTime'</f>
        <v>13:29:57</v>
      </c>
    </row>
    <row r="741" spans="1:5" x14ac:dyDescent="0.25">
      <c r="A741" t="str">
        <f>[1]!'2538.TW-ID'</f>
        <v>2538</v>
      </c>
      <c r="B741" t="str">
        <f>[1]!'2538.TW-Name'</f>
        <v>基泰</v>
      </c>
      <c r="C741">
        <f>[1]!'2538.TW-SimulatePrice'</f>
        <v>9.68</v>
      </c>
      <c r="D741">
        <f>[1]!'2538.TW-PreClose'</f>
        <v>9.73</v>
      </c>
      <c r="E741" t="str">
        <f>[1]!'2538.TW-SimulateTime'</f>
        <v>13:29:34</v>
      </c>
    </row>
    <row r="742" spans="1:5" x14ac:dyDescent="0.25">
      <c r="A742" t="str">
        <f>[1]!'2539.TW-ID'</f>
        <v>2539</v>
      </c>
      <c r="B742" t="str">
        <f>[1]!'2539.TW-Name'</f>
        <v>櫻花建</v>
      </c>
      <c r="C742">
        <f>[1]!'2539.TW-SimulatePrice'</f>
        <v>33.6</v>
      </c>
      <c r="D742">
        <f>[1]!'2539.TW-PreClose'</f>
        <v>33.700000000000003</v>
      </c>
      <c r="E742" t="str">
        <f>[1]!'2539.TW-SimulateTime'</f>
        <v>13:29:56</v>
      </c>
    </row>
    <row r="743" spans="1:5" x14ac:dyDescent="0.25">
      <c r="A743" t="str">
        <f>[1]!'2540.TW-ID'</f>
        <v>2540</v>
      </c>
      <c r="B743" t="str">
        <f>[1]!'2540.TW-Name'</f>
        <v>愛山林</v>
      </c>
      <c r="C743">
        <f>[1]!'2540.TW-SimulatePrice'</f>
        <v>28.7</v>
      </c>
      <c r="D743">
        <f>[1]!'2540.TW-PreClose'</f>
        <v>28.5</v>
      </c>
      <c r="E743" t="str">
        <f>[1]!'2540.TW-SimulateTime'</f>
        <v>13:29:50</v>
      </c>
    </row>
    <row r="744" spans="1:5" x14ac:dyDescent="0.25">
      <c r="A744" t="str">
        <f>[1]!'2542.TW-ID'</f>
        <v>2542</v>
      </c>
      <c r="B744" t="str">
        <f>[1]!'2542.TW-Name'</f>
        <v>興富發</v>
      </c>
      <c r="C744">
        <f>[1]!'2542.TW-SimulatePrice'</f>
        <v>43.55</v>
      </c>
      <c r="D744">
        <f>[1]!'2542.TW-PreClose'</f>
        <v>43.05</v>
      </c>
      <c r="E744" t="str">
        <f>[1]!'2542.TW-SimulateTime'</f>
        <v>13:29:56</v>
      </c>
    </row>
    <row r="745" spans="1:5" x14ac:dyDescent="0.25">
      <c r="A745" t="str">
        <f>[1]!'2543.TW-ID'</f>
        <v>2543</v>
      </c>
      <c r="B745" t="str">
        <f>[1]!'2543.TW-Name'</f>
        <v>皇昌</v>
      </c>
      <c r="C745" t="str">
        <f>[1]!'2543.TW-SimulatePrice'</f>
        <v>--</v>
      </c>
      <c r="D745">
        <f>[1]!'2543.TW-PreClose'</f>
        <v>6.5</v>
      </c>
      <c r="E745" t="str">
        <f>[1]!'2543.TW-SimulateTime'</f>
        <v>--</v>
      </c>
    </row>
    <row r="746" spans="1:5" x14ac:dyDescent="0.25">
      <c r="A746" t="str">
        <f>[1]!'2545.TW-ID'</f>
        <v>2545</v>
      </c>
      <c r="B746" t="str">
        <f>[1]!'2545.TW-Name'</f>
        <v>皇翔</v>
      </c>
      <c r="C746">
        <f>[1]!'2545.TW-SimulatePrice'</f>
        <v>33</v>
      </c>
      <c r="D746">
        <f>[1]!'2545.TW-PreClose'</f>
        <v>33</v>
      </c>
      <c r="E746" t="str">
        <f>[1]!'2545.TW-SimulateTime'</f>
        <v>13:29:58</v>
      </c>
    </row>
    <row r="747" spans="1:5" x14ac:dyDescent="0.25">
      <c r="A747" t="str">
        <f>[1]!'2546.TW-ID'</f>
        <v>2546</v>
      </c>
      <c r="B747" t="str">
        <f>[1]!'2546.TW-Name'</f>
        <v>根基</v>
      </c>
      <c r="C747">
        <f>[1]!'2546.TW-SimulatePrice'</f>
        <v>37.85</v>
      </c>
      <c r="D747">
        <f>[1]!'2546.TW-PreClose'</f>
        <v>37.9</v>
      </c>
      <c r="E747" t="str">
        <f>[1]!'2546.TW-SimulateTime'</f>
        <v>13:29:59</v>
      </c>
    </row>
    <row r="748" spans="1:5" x14ac:dyDescent="0.25">
      <c r="A748" t="str">
        <f>[1]!'2547.TW-ID'</f>
        <v>2547</v>
      </c>
      <c r="B748" t="str">
        <f>[1]!'2547.TW-Name'</f>
        <v>日勝生</v>
      </c>
      <c r="C748">
        <f>[1]!'2547.TW-SimulatePrice'</f>
        <v>9.7200000000000006</v>
      </c>
      <c r="D748">
        <f>[1]!'2547.TW-PreClose'</f>
        <v>9.84</v>
      </c>
      <c r="E748" t="str">
        <f>[1]!'2547.TW-SimulateTime'</f>
        <v>13:29:54</v>
      </c>
    </row>
    <row r="749" spans="1:5" x14ac:dyDescent="0.25">
      <c r="A749" t="str">
        <f>[1]!'2548.TW-ID'</f>
        <v>2548</v>
      </c>
      <c r="B749" t="str">
        <f>[1]!'2548.TW-Name'</f>
        <v>華固</v>
      </c>
      <c r="C749">
        <f>[1]!'2548.TW-SimulatePrice'</f>
        <v>90.4</v>
      </c>
      <c r="D749">
        <f>[1]!'2548.TW-PreClose'</f>
        <v>91</v>
      </c>
      <c r="E749" t="str">
        <f>[1]!'2548.TW-SimulateTime'</f>
        <v>13:29:50</v>
      </c>
    </row>
    <row r="750" spans="1:5" x14ac:dyDescent="0.25">
      <c r="A750" t="str">
        <f>[1]!'2597.TW-ID'</f>
        <v>2597</v>
      </c>
      <c r="B750" t="str">
        <f>[1]!'2597.TW-Name'</f>
        <v>潤弘</v>
      </c>
      <c r="C750">
        <f>[1]!'2597.TW-SimulatePrice'</f>
        <v>61.8</v>
      </c>
      <c r="D750">
        <f>[1]!'2597.TW-PreClose'</f>
        <v>62.3</v>
      </c>
      <c r="E750" t="str">
        <f>[1]!'2597.TW-SimulateTime'</f>
        <v>13:29:54</v>
      </c>
    </row>
    <row r="751" spans="1:5" x14ac:dyDescent="0.25">
      <c r="A751" t="str">
        <f>[1]!'2841.TW-ID'</f>
        <v>2841</v>
      </c>
      <c r="B751" t="str">
        <f>[1]!'2841.TW-Name'</f>
        <v>台開</v>
      </c>
      <c r="C751">
        <f>[1]!'2841.TW-SimulatePrice'</f>
        <v>6.46</v>
      </c>
      <c r="D751">
        <f>[1]!'2841.TW-PreClose'</f>
        <v>6.5</v>
      </c>
      <c r="E751" t="str">
        <f>[1]!'2841.TW-SimulateTime'</f>
        <v>13:29:59</v>
      </c>
    </row>
    <row r="752" spans="1:5" x14ac:dyDescent="0.25">
      <c r="A752" t="str">
        <f>[1]!'2923.TW-ID'</f>
        <v>2923</v>
      </c>
      <c r="B752" t="str">
        <f>[1]!'2923.TW-Name'</f>
        <v>鼎固-KY</v>
      </c>
      <c r="C752">
        <f>[1]!'2923.TW-SimulatePrice'</f>
        <v>24.5</v>
      </c>
      <c r="D752">
        <f>[1]!'2923.TW-PreClose'</f>
        <v>24.7</v>
      </c>
      <c r="E752" t="str">
        <f>[1]!'2923.TW-SimulateTime'</f>
        <v>13:29:52</v>
      </c>
    </row>
    <row r="753" spans="1:5" x14ac:dyDescent="0.25">
      <c r="A753" t="str">
        <f>[1]!'3052.TW-ID'</f>
        <v>3052</v>
      </c>
      <c r="B753" t="str">
        <f>[1]!'3052.TW-Name'</f>
        <v>夆典</v>
      </c>
      <c r="C753">
        <f>[1]!'3052.TW-SimulatePrice'</f>
        <v>10.4</v>
      </c>
      <c r="D753">
        <f>[1]!'3052.TW-PreClose'</f>
        <v>10.5</v>
      </c>
      <c r="E753" t="str">
        <f>[1]!'3052.TW-SimulateTime'</f>
        <v>13:29:59</v>
      </c>
    </row>
    <row r="754" spans="1:5" x14ac:dyDescent="0.25">
      <c r="A754" t="str">
        <f>[1]!'3056.TW-ID'</f>
        <v>3056</v>
      </c>
      <c r="B754" t="str">
        <f>[1]!'3056.TW-Name'</f>
        <v>總太</v>
      </c>
      <c r="C754">
        <f>[1]!'3056.TW-SimulatePrice'</f>
        <v>31.45</v>
      </c>
      <c r="D754">
        <f>[1]!'3056.TW-PreClose'</f>
        <v>31.45</v>
      </c>
      <c r="E754" t="str">
        <f>[1]!'3056.TW-SimulateTime'</f>
        <v>13:29:57</v>
      </c>
    </row>
    <row r="755" spans="1:5" x14ac:dyDescent="0.25">
      <c r="A755" t="str">
        <f>[1]!'3266.TW-ID'</f>
        <v>3266</v>
      </c>
      <c r="B755" t="str">
        <f>[1]!'3266.TW-Name'</f>
        <v>昇陽</v>
      </c>
      <c r="C755">
        <f>[1]!'3266.TW-SimulatePrice'</f>
        <v>14.15</v>
      </c>
      <c r="D755">
        <f>[1]!'3266.TW-PreClose'</f>
        <v>12.9</v>
      </c>
      <c r="E755" t="str">
        <f>[1]!'3266.TW-SimulateTime'</f>
        <v>13:28:43</v>
      </c>
    </row>
    <row r="756" spans="1:5" x14ac:dyDescent="0.25">
      <c r="A756" t="str">
        <f>[1]!'3703.TW-ID'</f>
        <v>3703</v>
      </c>
      <c r="B756" t="str">
        <f>[1]!'3703.TW-Name'</f>
        <v>欣陸</v>
      </c>
      <c r="C756">
        <f>[1]!'3703.TW-SimulatePrice'</f>
        <v>11.55</v>
      </c>
      <c r="D756">
        <f>[1]!'3703.TW-PreClose'</f>
        <v>11.35</v>
      </c>
      <c r="E756" t="str">
        <f>[1]!'3703.TW-SimulateTime'</f>
        <v>13:29:41</v>
      </c>
    </row>
    <row r="757" spans="1:5" x14ac:dyDescent="0.25">
      <c r="A757" t="str">
        <f>[1]!'5515.TW-ID'</f>
        <v>5515</v>
      </c>
      <c r="B757" t="str">
        <f>[1]!'5515.TW-Name'</f>
        <v>建國</v>
      </c>
      <c r="C757">
        <f>[1]!'5515.TW-SimulatePrice'</f>
        <v>9.7799999999999994</v>
      </c>
      <c r="D757">
        <f>[1]!'5515.TW-PreClose'</f>
        <v>9.9</v>
      </c>
      <c r="E757" t="str">
        <f>[1]!'5515.TW-SimulateTime'</f>
        <v>13:28:40</v>
      </c>
    </row>
    <row r="758" spans="1:5" x14ac:dyDescent="0.25">
      <c r="A758" t="str">
        <f>[1]!'5519.TW-ID'</f>
        <v>5519</v>
      </c>
      <c r="B758" t="str">
        <f>[1]!'5519.TW-Name'</f>
        <v>隆大</v>
      </c>
      <c r="C758">
        <f>[1]!'5519.TW-SimulatePrice'</f>
        <v>14.6</v>
      </c>
      <c r="D758">
        <f>[1]!'5519.TW-PreClose'</f>
        <v>14.65</v>
      </c>
      <c r="E758" t="str">
        <f>[1]!'5519.TW-SimulateTime'</f>
        <v>13:29:55</v>
      </c>
    </row>
    <row r="759" spans="1:5" x14ac:dyDescent="0.25">
      <c r="A759" t="str">
        <f>[1]!'5521.TW-ID'</f>
        <v>5521</v>
      </c>
      <c r="B759" t="str">
        <f>[1]!'5521.TW-Name'</f>
        <v>工信</v>
      </c>
      <c r="C759">
        <f>[1]!'5521.TW-SimulatePrice'</f>
        <v>8.07</v>
      </c>
      <c r="D759">
        <f>[1]!'5521.TW-PreClose'</f>
        <v>8.0399999999999991</v>
      </c>
      <c r="E759" t="str">
        <f>[1]!'5521.TW-SimulateTime'</f>
        <v>13:29:49</v>
      </c>
    </row>
    <row r="760" spans="1:5" x14ac:dyDescent="0.25">
      <c r="A760" t="str">
        <f>[1]!'5522.TW-ID'</f>
        <v>5522</v>
      </c>
      <c r="B760" t="str">
        <f>[1]!'5522.TW-Name'</f>
        <v>遠雄</v>
      </c>
      <c r="C760">
        <f>[1]!'5522.TW-SimulatePrice'</f>
        <v>44</v>
      </c>
      <c r="D760">
        <f>[1]!'5522.TW-PreClose'</f>
        <v>44</v>
      </c>
      <c r="E760" t="str">
        <f>[1]!'5522.TW-SimulateTime'</f>
        <v>13:29:55</v>
      </c>
    </row>
    <row r="761" spans="1:5" x14ac:dyDescent="0.25">
      <c r="A761" t="str">
        <f>[1]!'5525.TW-ID'</f>
        <v>5525</v>
      </c>
      <c r="B761" t="str">
        <f>[1]!'5525.TW-Name'</f>
        <v>順天</v>
      </c>
      <c r="C761">
        <f>[1]!'5525.TW-SimulatePrice'</f>
        <v>20</v>
      </c>
      <c r="D761">
        <f>[1]!'5525.TW-PreClose'</f>
        <v>20</v>
      </c>
      <c r="E761" t="str">
        <f>[1]!'5525.TW-SimulateTime'</f>
        <v>13:26:25</v>
      </c>
    </row>
    <row r="762" spans="1:5" x14ac:dyDescent="0.25">
      <c r="A762" t="str">
        <f>[1]!'5531.TW-ID'</f>
        <v>5531</v>
      </c>
      <c r="B762" t="str">
        <f>[1]!'5531.TW-Name'</f>
        <v>鄉林</v>
      </c>
      <c r="C762">
        <f>[1]!'5531.TW-SimulatePrice'</f>
        <v>8.58</v>
      </c>
      <c r="D762">
        <f>[1]!'5531.TW-PreClose'</f>
        <v>8.66</v>
      </c>
      <c r="E762" t="str">
        <f>[1]!'5531.TW-SimulateTime'</f>
        <v>13:29:58</v>
      </c>
    </row>
    <row r="763" spans="1:5" x14ac:dyDescent="0.25">
      <c r="A763" t="str">
        <f>[1]!'5533.TW-ID'</f>
        <v>5533</v>
      </c>
      <c r="B763" t="str">
        <f>[1]!'5533.TW-Name'</f>
        <v>皇鼎</v>
      </c>
      <c r="C763" t="str">
        <f>[1]!'5533.TW-SimulatePrice'</f>
        <v>--</v>
      </c>
      <c r="D763">
        <f>[1]!'5533.TW-PreClose'</f>
        <v>15.4</v>
      </c>
      <c r="E763" t="str">
        <f>[1]!'5533.TW-SimulateTime'</f>
        <v>--</v>
      </c>
    </row>
    <row r="764" spans="1:5" x14ac:dyDescent="0.25">
      <c r="A764" t="str">
        <f>[1]!'5534.TW-ID'</f>
        <v>5534</v>
      </c>
      <c r="B764" t="str">
        <f>[1]!'5534.TW-Name'</f>
        <v>長虹</v>
      </c>
      <c r="C764">
        <f>[1]!'5534.TW-SimulatePrice'</f>
        <v>81.900000000000006</v>
      </c>
      <c r="D764">
        <f>[1]!'5534.TW-PreClose'</f>
        <v>82</v>
      </c>
      <c r="E764" t="str">
        <f>[1]!'5534.TW-SimulateTime'</f>
        <v>13:29:53</v>
      </c>
    </row>
    <row r="765" spans="1:5" x14ac:dyDescent="0.25">
      <c r="A765" t="str">
        <f>[1]!'6177.TW-ID'</f>
        <v>6177</v>
      </c>
      <c r="B765" t="str">
        <f>[1]!'6177.TW-Name'</f>
        <v>達麗</v>
      </c>
      <c r="C765">
        <f>[1]!'6177.TW-SimulatePrice'</f>
        <v>28.35</v>
      </c>
      <c r="D765">
        <f>[1]!'6177.TW-PreClose'</f>
        <v>28.3</v>
      </c>
      <c r="E765" t="str">
        <f>[1]!'6177.TW-SimulateTime'</f>
        <v>13:29:57</v>
      </c>
    </row>
    <row r="766" spans="1:5" x14ac:dyDescent="0.25">
      <c r="A766" t="str">
        <f>[1]!'9906.TW-ID'</f>
        <v>9906</v>
      </c>
      <c r="B766" t="str">
        <f>[1]!'9906.TW-Name'</f>
        <v>欣巴巴</v>
      </c>
      <c r="C766" t="str">
        <f>[1]!'9906.TW-SimulatePrice'</f>
        <v>--</v>
      </c>
      <c r="D766">
        <f>[1]!'9906.TW-PreClose'</f>
        <v>21</v>
      </c>
      <c r="E766" t="str">
        <f>[1]!'9906.TW-SimulateTime'</f>
        <v>--</v>
      </c>
    </row>
    <row r="767" spans="1:5" x14ac:dyDescent="0.25">
      <c r="A767" t="str">
        <f>[1]!'9946.TW-ID'</f>
        <v>9946</v>
      </c>
      <c r="B767" t="str">
        <f>[1]!'9946.TW-Name'</f>
        <v>三發地產</v>
      </c>
      <c r="C767">
        <f>[1]!'9946.TW-SimulatePrice'</f>
        <v>14.95</v>
      </c>
      <c r="D767">
        <f>[1]!'9946.TW-PreClose'</f>
        <v>15.2</v>
      </c>
      <c r="E767" t="str">
        <f>[1]!'9946.TW-SimulateTime'</f>
        <v>13:27:54</v>
      </c>
    </row>
    <row r="768" spans="1:5" x14ac:dyDescent="0.25">
      <c r="A768" t="str">
        <f>[1]!'2208.TW-ID'</f>
        <v>2208</v>
      </c>
      <c r="B768" t="str">
        <f>[1]!'2208.TW-Name'</f>
        <v>台船</v>
      </c>
      <c r="C768">
        <f>[1]!'2208.TW-SimulatePrice'</f>
        <v>23.45</v>
      </c>
      <c r="D768">
        <f>[1]!'2208.TW-PreClose'</f>
        <v>23.75</v>
      </c>
      <c r="E768" t="str">
        <f>[1]!'2208.TW-SimulateTime'</f>
        <v>13:29:55</v>
      </c>
    </row>
    <row r="769" spans="1:5" x14ac:dyDescent="0.25">
      <c r="A769" t="str">
        <f>[1]!'2603.TW-ID'</f>
        <v>2603</v>
      </c>
      <c r="B769" t="str">
        <f>[1]!'2603.TW-Name'</f>
        <v>長榮</v>
      </c>
      <c r="C769">
        <f>[1]!'2603.TW-SimulatePrice'</f>
        <v>10.45</v>
      </c>
      <c r="D769">
        <f>[1]!'2603.TW-PreClose'</f>
        <v>10.35</v>
      </c>
      <c r="E769" t="str">
        <f>[1]!'2603.TW-SimulateTime'</f>
        <v>13:29:58</v>
      </c>
    </row>
    <row r="770" spans="1:5" x14ac:dyDescent="0.25">
      <c r="A770" t="str">
        <f>[1]!'2605.TW-ID'</f>
        <v>2605</v>
      </c>
      <c r="B770" t="str">
        <f>[1]!'2605.TW-Name'</f>
        <v>新興</v>
      </c>
      <c r="C770">
        <f>[1]!'2605.TW-SimulatePrice'</f>
        <v>13.6</v>
      </c>
      <c r="D770">
        <f>[1]!'2605.TW-PreClose'</f>
        <v>13.85</v>
      </c>
      <c r="E770" t="str">
        <f>[1]!'2605.TW-SimulateTime'</f>
        <v>13:29:57</v>
      </c>
    </row>
    <row r="771" spans="1:5" x14ac:dyDescent="0.25">
      <c r="A771" t="str">
        <f>[1]!'2606.TW-ID'</f>
        <v>2606</v>
      </c>
      <c r="B771" t="str">
        <f>[1]!'2606.TW-Name'</f>
        <v>裕民</v>
      </c>
      <c r="C771">
        <f>[1]!'2606.TW-SimulatePrice'</f>
        <v>28</v>
      </c>
      <c r="D771">
        <f>[1]!'2606.TW-PreClose'</f>
        <v>28.1</v>
      </c>
      <c r="E771" t="str">
        <f>[1]!'2606.TW-SimulateTime'</f>
        <v>13:29:57</v>
      </c>
    </row>
    <row r="772" spans="1:5" x14ac:dyDescent="0.25">
      <c r="A772" t="str">
        <f>[1]!'2607.TW-ID'</f>
        <v>2607</v>
      </c>
      <c r="B772" t="str">
        <f>[1]!'2607.TW-Name'</f>
        <v>榮運</v>
      </c>
      <c r="C772">
        <f>[1]!'2607.TW-SimulatePrice'</f>
        <v>12.8</v>
      </c>
      <c r="D772">
        <f>[1]!'2607.TW-PreClose'</f>
        <v>12.75</v>
      </c>
      <c r="E772" t="str">
        <f>[1]!'2607.TW-SimulateTime'</f>
        <v>13:29:49</v>
      </c>
    </row>
    <row r="773" spans="1:5" x14ac:dyDescent="0.25">
      <c r="A773" t="str">
        <f>[1]!'2608.TW-ID'</f>
        <v>2608</v>
      </c>
      <c r="B773" t="str">
        <f>[1]!'2608.TW-Name'</f>
        <v>嘉里大榮</v>
      </c>
      <c r="C773">
        <f>[1]!'2608.TW-SimulatePrice'</f>
        <v>39.85</v>
      </c>
      <c r="D773">
        <f>[1]!'2608.TW-PreClose'</f>
        <v>39.200000000000003</v>
      </c>
      <c r="E773" t="str">
        <f>[1]!'2608.TW-SimulateTime'</f>
        <v>13:29:41</v>
      </c>
    </row>
    <row r="774" spans="1:5" x14ac:dyDescent="0.25">
      <c r="A774" t="str">
        <f>[1]!'2609.TW-ID'</f>
        <v>2609</v>
      </c>
      <c r="B774" t="str">
        <f>[1]!'2609.TW-Name'</f>
        <v>陽明</v>
      </c>
      <c r="C774">
        <f>[1]!'2609.TW-SimulatePrice'</f>
        <v>6.32</v>
      </c>
      <c r="D774">
        <f>[1]!'2609.TW-PreClose'</f>
        <v>6.39</v>
      </c>
      <c r="E774" t="str">
        <f>[1]!'2609.TW-SimulateTime'</f>
        <v>13:29:52</v>
      </c>
    </row>
    <row r="775" spans="1:5" x14ac:dyDescent="0.25">
      <c r="A775" t="str">
        <f>[1]!'2610.TW-ID'</f>
        <v>2610</v>
      </c>
      <c r="B775" t="str">
        <f>[1]!'2610.TW-Name'</f>
        <v>華航</v>
      </c>
      <c r="C775">
        <f>[1]!'2610.TW-SimulatePrice'</f>
        <v>8.0299999999999994</v>
      </c>
      <c r="D775">
        <f>[1]!'2610.TW-PreClose'</f>
        <v>8.0399999999999991</v>
      </c>
      <c r="E775" t="str">
        <f>[1]!'2610.TW-SimulateTime'</f>
        <v>13:29:56</v>
      </c>
    </row>
    <row r="776" spans="1:5" x14ac:dyDescent="0.25">
      <c r="A776" t="str">
        <f>[1]!'2611.TW-ID'</f>
        <v>2611</v>
      </c>
      <c r="B776" t="str">
        <f>[1]!'2611.TW-Name'</f>
        <v>志信</v>
      </c>
      <c r="C776" t="str">
        <f>[1]!'2611.TW-SimulatePrice'</f>
        <v>--</v>
      </c>
      <c r="D776">
        <f>[1]!'2611.TW-PreClose'</f>
        <v>6.01</v>
      </c>
      <c r="E776" t="str">
        <f>[1]!'2611.TW-SimulateTime'</f>
        <v>--</v>
      </c>
    </row>
    <row r="777" spans="1:5" x14ac:dyDescent="0.25">
      <c r="A777" t="str">
        <f>[1]!'2612.TW-ID'</f>
        <v>2612</v>
      </c>
      <c r="B777" t="str">
        <f>[1]!'2612.TW-Name'</f>
        <v>中航</v>
      </c>
      <c r="C777">
        <f>[1]!'2612.TW-SimulatePrice'</f>
        <v>22.8</v>
      </c>
      <c r="D777">
        <f>[1]!'2612.TW-PreClose'</f>
        <v>22.8</v>
      </c>
      <c r="E777" t="str">
        <f>[1]!'2612.TW-SimulateTime'</f>
        <v>13:29:55</v>
      </c>
    </row>
    <row r="778" spans="1:5" x14ac:dyDescent="0.25">
      <c r="A778" t="str">
        <f>[1]!'2613.TW-ID'</f>
        <v>2613</v>
      </c>
      <c r="B778" t="str">
        <f>[1]!'2613.TW-Name'</f>
        <v>中櫃</v>
      </c>
      <c r="C778" t="str">
        <f>[1]!'2613.TW-SimulatePrice'</f>
        <v>--</v>
      </c>
      <c r="D778">
        <f>[1]!'2613.TW-PreClose'</f>
        <v>13.2</v>
      </c>
      <c r="E778" t="str">
        <f>[1]!'2613.TW-SimulateTime'</f>
        <v>--</v>
      </c>
    </row>
    <row r="779" spans="1:5" x14ac:dyDescent="0.25">
      <c r="A779" t="str">
        <f>[1]!'2615.TW-ID'</f>
        <v>2615</v>
      </c>
      <c r="B779" t="str">
        <f>[1]!'2615.TW-Name'</f>
        <v>萬海</v>
      </c>
      <c r="C779">
        <f>[1]!'2615.TW-SimulatePrice'</f>
        <v>15.55</v>
      </c>
      <c r="D779">
        <f>[1]!'2615.TW-PreClose'</f>
        <v>15.6</v>
      </c>
      <c r="E779" t="str">
        <f>[1]!'2615.TW-SimulateTime'</f>
        <v>13:27:59</v>
      </c>
    </row>
    <row r="780" spans="1:5" x14ac:dyDescent="0.25">
      <c r="A780" t="str">
        <f>[1]!'2617.TW-ID'</f>
        <v>2617</v>
      </c>
      <c r="B780" t="str">
        <f>[1]!'2617.TW-Name'</f>
        <v>台航</v>
      </c>
      <c r="C780">
        <f>[1]!'2617.TW-SimulatePrice'</f>
        <v>15.25</v>
      </c>
      <c r="D780">
        <f>[1]!'2617.TW-PreClose'</f>
        <v>15.1</v>
      </c>
      <c r="E780" t="str">
        <f>[1]!'2617.TW-SimulateTime'</f>
        <v>13:29:15</v>
      </c>
    </row>
    <row r="781" spans="1:5" x14ac:dyDescent="0.25">
      <c r="A781" t="str">
        <f>[1]!'2618.TW-ID'</f>
        <v>2618</v>
      </c>
      <c r="B781" t="str">
        <f>[1]!'2618.TW-Name'</f>
        <v>長榮航</v>
      </c>
      <c r="C781">
        <f>[1]!'2618.TW-SimulatePrice'</f>
        <v>10.8</v>
      </c>
      <c r="D781">
        <f>[1]!'2618.TW-PreClose'</f>
        <v>11</v>
      </c>
      <c r="E781" t="str">
        <f>[1]!'2618.TW-SimulateTime'</f>
        <v>13:29:58</v>
      </c>
    </row>
    <row r="782" spans="1:5" x14ac:dyDescent="0.25">
      <c r="A782" t="str">
        <f>[1]!'2630.TW-ID'</f>
        <v>2630</v>
      </c>
      <c r="B782" t="str">
        <f>[1]!'2630.TW-Name'</f>
        <v>亞航</v>
      </c>
      <c r="C782">
        <f>[1]!'2630.TW-SimulatePrice'</f>
        <v>16.7</v>
      </c>
      <c r="D782">
        <f>[1]!'2630.TW-PreClose'</f>
        <v>16.899999999999999</v>
      </c>
      <c r="E782" t="str">
        <f>[1]!'2630.TW-SimulateTime'</f>
        <v>13:29:35</v>
      </c>
    </row>
    <row r="783" spans="1:5" x14ac:dyDescent="0.25">
      <c r="A783" t="str">
        <f>[1]!'2633.TW-ID'</f>
        <v>2633</v>
      </c>
      <c r="B783" t="str">
        <f>[1]!'2633.TW-Name'</f>
        <v>台灣高鐵</v>
      </c>
      <c r="C783">
        <f>[1]!'2633.TW-SimulatePrice'</f>
        <v>33.5</v>
      </c>
      <c r="D783">
        <f>[1]!'2633.TW-PreClose'</f>
        <v>33.6</v>
      </c>
      <c r="E783" t="str">
        <f>[1]!'2633.TW-SimulateTime'</f>
        <v>13:29:55</v>
      </c>
    </row>
    <row r="784" spans="1:5" x14ac:dyDescent="0.25">
      <c r="A784" t="str">
        <f>[1]!'2634.TW-ID'</f>
        <v>2634</v>
      </c>
      <c r="B784" t="str">
        <f>[1]!'2634.TW-Name'</f>
        <v>漢翔</v>
      </c>
      <c r="C784">
        <f>[1]!'2634.TW-SimulatePrice'</f>
        <v>27.4</v>
      </c>
      <c r="D784">
        <f>[1]!'2634.TW-PreClose'</f>
        <v>27.5</v>
      </c>
      <c r="E784" t="str">
        <f>[1]!'2634.TW-SimulateTime'</f>
        <v>13:29:38</v>
      </c>
    </row>
    <row r="785" spans="1:5" x14ac:dyDescent="0.25">
      <c r="A785" t="str">
        <f>[1]!'2636.TW-ID'</f>
        <v>2636</v>
      </c>
      <c r="B785" t="str">
        <f>[1]!'2636.TW-Name'</f>
        <v>台驊投控</v>
      </c>
      <c r="C785">
        <f>[1]!'2636.TW-SimulatePrice'</f>
        <v>22.7</v>
      </c>
      <c r="D785">
        <f>[1]!'2636.TW-PreClose'</f>
        <v>22.45</v>
      </c>
      <c r="E785" t="str">
        <f>[1]!'2636.TW-SimulateTime'</f>
        <v>13:29:25</v>
      </c>
    </row>
    <row r="786" spans="1:5" x14ac:dyDescent="0.25">
      <c r="A786" t="str">
        <f>[1]!'2637.TW-ID'</f>
        <v>2637</v>
      </c>
      <c r="B786" t="str">
        <f>[1]!'2637.TW-Name'</f>
        <v>慧洋-KY</v>
      </c>
      <c r="C786">
        <f>[1]!'2637.TW-SimulatePrice'</f>
        <v>23.35</v>
      </c>
      <c r="D786">
        <f>[1]!'2637.TW-PreClose'</f>
        <v>23.4</v>
      </c>
      <c r="E786" t="str">
        <f>[1]!'2637.TW-SimulateTime'</f>
        <v>13:29:40</v>
      </c>
    </row>
    <row r="787" spans="1:5" x14ac:dyDescent="0.25">
      <c r="A787" t="str">
        <f>[1]!'2642.TW-ID'</f>
        <v>2642</v>
      </c>
      <c r="B787" t="str">
        <f>[1]!'2642.TW-Name'</f>
        <v>宅配通</v>
      </c>
      <c r="C787">
        <f>[1]!'2642.TW-SimulatePrice'</f>
        <v>33</v>
      </c>
      <c r="D787">
        <f>[1]!'2642.TW-PreClose'</f>
        <v>30.45</v>
      </c>
      <c r="E787" t="str">
        <f>[1]!'2642.TW-SimulateTime'</f>
        <v>13:29:51</v>
      </c>
    </row>
    <row r="788" spans="1:5" x14ac:dyDescent="0.25">
      <c r="A788" t="str">
        <f>[1]!'5607.TW-ID'</f>
        <v>5607</v>
      </c>
      <c r="B788" t="str">
        <f>[1]!'5607.TW-Name'</f>
        <v>遠雄港</v>
      </c>
      <c r="C788">
        <f>[1]!'5607.TW-SimulatePrice'</f>
        <v>21.65</v>
      </c>
      <c r="D788">
        <f>[1]!'5607.TW-PreClose'</f>
        <v>21.8</v>
      </c>
      <c r="E788" t="str">
        <f>[1]!'5607.TW-SimulateTime'</f>
        <v>13:29:53</v>
      </c>
    </row>
    <row r="789" spans="1:5" x14ac:dyDescent="0.25">
      <c r="A789" t="str">
        <f>[1]!'5608.TW-ID'</f>
        <v>5608</v>
      </c>
      <c r="B789" t="str">
        <f>[1]!'5608.TW-Name'</f>
        <v>四維航</v>
      </c>
      <c r="C789">
        <f>[1]!'5608.TW-SimulatePrice'</f>
        <v>5.2</v>
      </c>
      <c r="D789">
        <f>[1]!'5608.TW-PreClose'</f>
        <v>5.49</v>
      </c>
      <c r="E789" t="str">
        <f>[1]!'5608.TW-SimulateTime'</f>
        <v>13:29:45</v>
      </c>
    </row>
    <row r="790" spans="1:5" x14ac:dyDescent="0.25">
      <c r="A790" t="str">
        <f>[1]!'8367.TW-ID'</f>
        <v>8367</v>
      </c>
      <c r="B790" t="str">
        <f>[1]!'8367.TW-Name'</f>
        <v>建新國際</v>
      </c>
      <c r="C790" t="str">
        <f>[1]!'8367.TW-SimulatePrice'</f>
        <v>--</v>
      </c>
      <c r="D790">
        <f>[1]!'8367.TW-PreClose'</f>
        <v>24.85</v>
      </c>
      <c r="E790" t="str">
        <f>[1]!'8367.TW-SimulateTime'</f>
        <v>--</v>
      </c>
    </row>
    <row r="791" spans="1:5" x14ac:dyDescent="0.25">
      <c r="A791" t="str">
        <f>[1]!'2701.TW-ID'</f>
        <v>2701</v>
      </c>
      <c r="B791" t="str">
        <f>[1]!'2701.TW-Name'</f>
        <v>萬企</v>
      </c>
      <c r="C791">
        <f>[1]!'2701.TW-SimulatePrice'</f>
        <v>11.65</v>
      </c>
      <c r="D791">
        <f>[1]!'2701.TW-PreClose'</f>
        <v>11.65</v>
      </c>
      <c r="E791" t="str">
        <f>[1]!'2701.TW-SimulateTime'</f>
        <v>13:27:06</v>
      </c>
    </row>
    <row r="792" spans="1:5" x14ac:dyDescent="0.25">
      <c r="A792" t="str">
        <f>[1]!'2702.TW-ID'</f>
        <v>2702</v>
      </c>
      <c r="B792" t="str">
        <f>[1]!'2702.TW-Name'</f>
        <v>華園</v>
      </c>
      <c r="C792">
        <f>[1]!'2702.TW-SimulatePrice'</f>
        <v>15.6</v>
      </c>
      <c r="D792">
        <f>[1]!'2702.TW-PreClose'</f>
        <v>15.15</v>
      </c>
      <c r="E792" t="str">
        <f>[1]!'2702.TW-SimulateTime'</f>
        <v>13:29:57</v>
      </c>
    </row>
    <row r="793" spans="1:5" x14ac:dyDescent="0.25">
      <c r="A793" t="str">
        <f>[1]!'2704.TW-ID'</f>
        <v>2704</v>
      </c>
      <c r="B793" t="str">
        <f>[1]!'2704.TW-Name'</f>
        <v>國賓</v>
      </c>
      <c r="C793">
        <f>[1]!'2704.TW-SimulatePrice'</f>
        <v>26.4</v>
      </c>
      <c r="D793">
        <f>[1]!'2704.TW-PreClose'</f>
        <v>26.4</v>
      </c>
      <c r="E793" t="str">
        <f>[1]!'2704.TW-SimulateTime'</f>
        <v>13:29:22</v>
      </c>
    </row>
    <row r="794" spans="1:5" x14ac:dyDescent="0.25">
      <c r="A794" t="str">
        <f>[1]!'2705.TW-ID'</f>
        <v>2705</v>
      </c>
      <c r="B794" t="str">
        <f>[1]!'2705.TW-Name'</f>
        <v>六福</v>
      </c>
      <c r="C794">
        <f>[1]!'2705.TW-SimulatePrice'</f>
        <v>12.2</v>
      </c>
      <c r="D794">
        <f>[1]!'2705.TW-PreClose'</f>
        <v>12.45</v>
      </c>
      <c r="E794" t="str">
        <f>[1]!'2705.TW-SimulateTime'</f>
        <v>13:29:42</v>
      </c>
    </row>
    <row r="795" spans="1:5" x14ac:dyDescent="0.25">
      <c r="A795" t="str">
        <f>[1]!'2706.TW-ID'</f>
        <v>2706</v>
      </c>
      <c r="B795" t="str">
        <f>[1]!'2706.TW-Name'</f>
        <v>第一店</v>
      </c>
      <c r="C795">
        <f>[1]!'2706.TW-SimulatePrice'</f>
        <v>12.85</v>
      </c>
      <c r="D795">
        <f>[1]!'2706.TW-PreClose'</f>
        <v>12.9</v>
      </c>
      <c r="E795" t="str">
        <f>[1]!'2706.TW-SimulateTime'</f>
        <v>13:25:48</v>
      </c>
    </row>
    <row r="796" spans="1:5" x14ac:dyDescent="0.25">
      <c r="A796" t="str">
        <f>[1]!'2707.TW-ID'</f>
        <v>2707</v>
      </c>
      <c r="B796" t="str">
        <f>[1]!'2707.TW-Name'</f>
        <v>晶華</v>
      </c>
      <c r="C796">
        <f>[1]!'2707.TW-SimulatePrice'</f>
        <v>136.5</v>
      </c>
      <c r="D796">
        <f>[1]!'2707.TW-PreClose'</f>
        <v>135</v>
      </c>
      <c r="E796" t="str">
        <f>[1]!'2707.TW-SimulateTime'</f>
        <v>13:29:56</v>
      </c>
    </row>
    <row r="797" spans="1:5" x14ac:dyDescent="0.25">
      <c r="A797" t="str">
        <f>[1]!'2712.TW-ID'</f>
        <v>2712</v>
      </c>
      <c r="B797" t="str">
        <f>[1]!'2712.TW-Name'</f>
        <v>遠雄來</v>
      </c>
      <c r="C797" t="str">
        <f>[1]!'2712.TW-SimulatePrice'</f>
        <v>--</v>
      </c>
      <c r="D797">
        <f>[1]!'2712.TW-PreClose'</f>
        <v>36.049999999999997</v>
      </c>
      <c r="E797" t="str">
        <f>[1]!'2712.TW-SimulateTime'</f>
        <v>--</v>
      </c>
    </row>
    <row r="798" spans="1:5" x14ac:dyDescent="0.25">
      <c r="A798" t="str">
        <f>[1]!'2722.TW-ID'</f>
        <v>2722</v>
      </c>
      <c r="B798" t="str">
        <f>[1]!'2722.TW-Name'</f>
        <v>夏都</v>
      </c>
      <c r="C798" t="str">
        <f>[1]!'2722.TW-SimulatePrice'</f>
        <v>--</v>
      </c>
      <c r="D798">
        <f>[1]!'2722.TW-PreClose'</f>
        <v>23.75</v>
      </c>
      <c r="E798" t="str">
        <f>[1]!'2722.TW-SimulateTime'</f>
        <v>--</v>
      </c>
    </row>
    <row r="799" spans="1:5" x14ac:dyDescent="0.25">
      <c r="A799" t="str">
        <f>[1]!'2723.TW-ID'</f>
        <v>2723</v>
      </c>
      <c r="B799" t="str">
        <f>[1]!'2723.TW-Name'</f>
        <v>美食-KY</v>
      </c>
      <c r="C799">
        <f>[1]!'2723.TW-SimulatePrice'</f>
        <v>96</v>
      </c>
      <c r="D799">
        <f>[1]!'2723.TW-PreClose'</f>
        <v>96.6</v>
      </c>
      <c r="E799" t="str">
        <f>[1]!'2723.TW-SimulateTime'</f>
        <v>13:29:56</v>
      </c>
    </row>
    <row r="800" spans="1:5" x14ac:dyDescent="0.25">
      <c r="A800" t="str">
        <f>[1]!'2727.TW-ID'</f>
        <v>2727</v>
      </c>
      <c r="B800" t="str">
        <f>[1]!'2727.TW-Name'</f>
        <v>王品</v>
      </c>
      <c r="C800">
        <f>[1]!'2727.TW-SimulatePrice'</f>
        <v>65.599999999999994</v>
      </c>
      <c r="D800">
        <f>[1]!'2727.TW-PreClose'</f>
        <v>66.5</v>
      </c>
      <c r="E800" t="str">
        <f>[1]!'2727.TW-SimulateTime'</f>
        <v>13:29:46</v>
      </c>
    </row>
    <row r="801" spans="1:5" x14ac:dyDescent="0.25">
      <c r="A801" t="str">
        <f>[1]!'2731.TW-ID'</f>
        <v>2731</v>
      </c>
      <c r="B801" t="str">
        <f>[1]!'2731.TW-Name'</f>
        <v>雄獅</v>
      </c>
      <c r="C801">
        <f>[1]!'2731.TW-SimulatePrice'</f>
        <v>68.7</v>
      </c>
      <c r="D801">
        <f>[1]!'2731.TW-PreClose'</f>
        <v>69.099999999999994</v>
      </c>
      <c r="E801" t="str">
        <f>[1]!'2731.TW-SimulateTime'</f>
        <v>13:29:58</v>
      </c>
    </row>
    <row r="802" spans="1:5" x14ac:dyDescent="0.25">
      <c r="A802" t="str">
        <f>[1]!'2739.TW-ID'</f>
        <v>2739</v>
      </c>
      <c r="B802" t="str">
        <f>[1]!'2739.TW-Name'</f>
        <v>寒舍</v>
      </c>
      <c r="C802">
        <f>[1]!'2739.TW-SimulatePrice'</f>
        <v>22.65</v>
      </c>
      <c r="D802">
        <f>[1]!'2739.TW-PreClose'</f>
        <v>22.6</v>
      </c>
      <c r="E802" t="str">
        <f>[1]!'2739.TW-SimulateTime'</f>
        <v>13:28:29</v>
      </c>
    </row>
    <row r="803" spans="1:5" x14ac:dyDescent="0.25">
      <c r="A803" t="str">
        <f>[1]!'2748.TW-ID'</f>
        <v>2748</v>
      </c>
      <c r="B803" t="str">
        <f>[1]!'2748.TW-Name'</f>
        <v>雲品</v>
      </c>
      <c r="C803">
        <f>[1]!'2748.TW-SimulatePrice'</f>
        <v>42.65</v>
      </c>
      <c r="D803">
        <f>[1]!'2748.TW-PreClose'</f>
        <v>42.9</v>
      </c>
      <c r="E803" t="str">
        <f>[1]!'2748.TW-SimulateTime'</f>
        <v>13:28:46</v>
      </c>
    </row>
    <row r="804" spans="1:5" x14ac:dyDescent="0.25">
      <c r="A804" t="str">
        <f>[1]!'5706.TW-ID'</f>
        <v>5706</v>
      </c>
      <c r="B804" t="str">
        <f>[1]!'5706.TW-Name'</f>
        <v>鳳凰</v>
      </c>
      <c r="C804" t="str">
        <f>[1]!'5706.TW-SimulatePrice'</f>
        <v>--</v>
      </c>
      <c r="D804">
        <f>[1]!'5706.TW-PreClose'</f>
        <v>31.3</v>
      </c>
      <c r="E804" t="str">
        <f>[1]!'5706.TW-SimulateTime'</f>
        <v>--</v>
      </c>
    </row>
    <row r="805" spans="1:5" x14ac:dyDescent="0.25">
      <c r="A805" t="str">
        <f>[1]!'8462.TW-ID'</f>
        <v>8462</v>
      </c>
      <c r="B805" t="str">
        <f>[1]!'8462.TW-Name'</f>
        <v>柏文</v>
      </c>
      <c r="C805">
        <f>[1]!'8462.TW-SimulatePrice'</f>
        <v>179</v>
      </c>
      <c r="D805">
        <f>[1]!'8462.TW-PreClose'</f>
        <v>176</v>
      </c>
      <c r="E805" t="str">
        <f>[1]!'8462.TW-SimulateTime'</f>
        <v>13:29:59</v>
      </c>
    </row>
    <row r="806" spans="1:5" x14ac:dyDescent="0.25">
      <c r="A806" t="str">
        <f>[1]!'8940.TW-ID'</f>
        <v>8940</v>
      </c>
      <c r="B806" t="str">
        <f>[1]!'8940.TW-Name'</f>
        <v>新天地</v>
      </c>
      <c r="C806">
        <f>[1]!'8940.TW-SimulatePrice'</f>
        <v>9.68</v>
      </c>
      <c r="D806">
        <f>[1]!'8940.TW-PreClose'</f>
        <v>9.68</v>
      </c>
      <c r="E806" t="str">
        <f>[1]!'8940.TW-SimulateTime'</f>
        <v>13:29:05</v>
      </c>
    </row>
    <row r="807" spans="1:5" x14ac:dyDescent="0.25">
      <c r="A807" t="str">
        <f>[1]!'9943.TW-ID'</f>
        <v>9943</v>
      </c>
      <c r="B807" t="str">
        <f>[1]!'9943.TW-Name'</f>
        <v>好樂迪</v>
      </c>
      <c r="C807">
        <f>[1]!'9943.TW-SimulatePrice'</f>
        <v>62.5</v>
      </c>
      <c r="D807">
        <f>[1]!'9943.TW-PreClose'</f>
        <v>62.8</v>
      </c>
      <c r="E807" t="str">
        <f>[1]!'9943.TW-SimulateTime'</f>
        <v>13:29:59</v>
      </c>
    </row>
    <row r="808" spans="1:5" x14ac:dyDescent="0.25">
      <c r="A808" t="str">
        <f>[1]!'2801.TW-ID'</f>
        <v>2801</v>
      </c>
      <c r="B808" t="str">
        <f>[1]!'2801.TW-Name'</f>
        <v>彰銀</v>
      </c>
      <c r="C808">
        <f>[1]!'2801.TW-SimulatePrice'</f>
        <v>18.8</v>
      </c>
      <c r="D808">
        <f>[1]!'2801.TW-PreClose'</f>
        <v>18.8</v>
      </c>
      <c r="E808" t="str">
        <f>[1]!'2801.TW-SimulateTime'</f>
        <v>13:29:55</v>
      </c>
    </row>
    <row r="809" spans="1:5" x14ac:dyDescent="0.25">
      <c r="A809" t="str">
        <f>[1]!'2809.TW-ID'</f>
        <v>2809</v>
      </c>
      <c r="B809" t="str">
        <f>[1]!'2809.TW-Name'</f>
        <v>京城銀</v>
      </c>
      <c r="C809">
        <f>[1]!'2809.TW-SimulatePrice'</f>
        <v>32.1</v>
      </c>
      <c r="D809">
        <f>[1]!'2809.TW-PreClose'</f>
        <v>32.35</v>
      </c>
      <c r="E809" t="str">
        <f>[1]!'2809.TW-SimulateTime'</f>
        <v>13:29:57</v>
      </c>
    </row>
    <row r="810" spans="1:5" x14ac:dyDescent="0.25">
      <c r="A810" t="str">
        <f>[1]!'2812.TW-ID'</f>
        <v>2812</v>
      </c>
      <c r="B810" t="str">
        <f>[1]!'2812.TW-Name'</f>
        <v>台中銀</v>
      </c>
      <c r="C810">
        <f>[1]!'2812.TW-SimulatePrice'</f>
        <v>11.35</v>
      </c>
      <c r="D810">
        <f>[1]!'2812.TW-PreClose'</f>
        <v>11.35</v>
      </c>
      <c r="E810" t="str">
        <f>[1]!'2812.TW-SimulateTime'</f>
        <v>13:29:56</v>
      </c>
    </row>
    <row r="811" spans="1:5" x14ac:dyDescent="0.25">
      <c r="A811" t="str">
        <f>[1]!'2816.TW-ID'</f>
        <v>2816</v>
      </c>
      <c r="B811" t="str">
        <f>[1]!'2816.TW-Name'</f>
        <v>旺旺保</v>
      </c>
      <c r="C811">
        <f>[1]!'2816.TW-SimulatePrice'</f>
        <v>19.149999999999999</v>
      </c>
      <c r="D811">
        <f>[1]!'2816.TW-PreClose'</f>
        <v>19.399999999999999</v>
      </c>
      <c r="E811" t="str">
        <f>[1]!'2816.TW-SimulateTime'</f>
        <v>13:28:49</v>
      </c>
    </row>
    <row r="812" spans="1:5" x14ac:dyDescent="0.25">
      <c r="A812" t="str">
        <f>[1]!'2820.TW-ID'</f>
        <v>2820</v>
      </c>
      <c r="B812" t="str">
        <f>[1]!'2820.TW-Name'</f>
        <v>華票</v>
      </c>
      <c r="C812">
        <f>[1]!'2820.TW-SimulatePrice'</f>
        <v>14.5</v>
      </c>
      <c r="D812">
        <f>[1]!'2820.TW-PreClose'</f>
        <v>14.5</v>
      </c>
      <c r="E812" t="str">
        <f>[1]!'2820.TW-SimulateTime'</f>
        <v>13:29:20</v>
      </c>
    </row>
    <row r="813" spans="1:5" x14ac:dyDescent="0.25">
      <c r="A813" t="str">
        <f>[1]!'2823.TW-ID'</f>
        <v>2823</v>
      </c>
      <c r="B813" t="str">
        <f>[1]!'2823.TW-Name'</f>
        <v>中壽</v>
      </c>
      <c r="C813">
        <f>[1]!'2823.TW-SimulatePrice'</f>
        <v>19.75</v>
      </c>
      <c r="D813">
        <f>[1]!'2823.TW-PreClose'</f>
        <v>20</v>
      </c>
      <c r="E813" t="str">
        <f>[1]!'2823.TW-SimulateTime'</f>
        <v>13:29:58</v>
      </c>
    </row>
    <row r="814" spans="1:5" x14ac:dyDescent="0.25">
      <c r="A814" t="str">
        <f>[1]!'2832.TW-ID'</f>
        <v>2832</v>
      </c>
      <c r="B814" t="str">
        <f>[1]!'2832.TW-Name'</f>
        <v>台產</v>
      </c>
      <c r="C814">
        <f>[1]!'2832.TW-SimulatePrice'</f>
        <v>19.600000000000001</v>
      </c>
      <c r="D814">
        <f>[1]!'2832.TW-PreClose'</f>
        <v>19.5</v>
      </c>
      <c r="E814" t="str">
        <f>[1]!'2832.TW-SimulateTime'</f>
        <v>13:29:39</v>
      </c>
    </row>
    <row r="815" spans="1:5" x14ac:dyDescent="0.25">
      <c r="A815" t="str">
        <f>[1]!'2834.TW-ID'</f>
        <v>2834</v>
      </c>
      <c r="B815" t="str">
        <f>[1]!'2834.TW-Name'</f>
        <v>臺企銀</v>
      </c>
      <c r="C815">
        <f>[1]!'2834.TW-SimulatePrice'</f>
        <v>10.6</v>
      </c>
      <c r="D815">
        <f>[1]!'2834.TW-PreClose'</f>
        <v>10.7</v>
      </c>
      <c r="E815" t="str">
        <f>[1]!'2834.TW-SimulateTime'</f>
        <v>13:29:59</v>
      </c>
    </row>
    <row r="816" spans="1:5" x14ac:dyDescent="0.25">
      <c r="A816" t="str">
        <f>[1]!'2836.TW-ID'</f>
        <v>2836</v>
      </c>
      <c r="B816" t="str">
        <f>[1]!'2836.TW-Name'</f>
        <v>高雄銀</v>
      </c>
      <c r="C816">
        <f>[1]!'2836.TW-SimulatePrice'</f>
        <v>9.43</v>
      </c>
      <c r="D816">
        <f>[1]!'2836.TW-PreClose'</f>
        <v>9.43</v>
      </c>
      <c r="E816" t="str">
        <f>[1]!'2836.TW-SimulateTime'</f>
        <v>13:28:53</v>
      </c>
    </row>
    <row r="817" spans="1:5" x14ac:dyDescent="0.25">
      <c r="A817" t="str">
        <f>[1]!'2838.TW-ID'</f>
        <v>2838</v>
      </c>
      <c r="B817" t="str">
        <f>[1]!'2838.TW-Name'</f>
        <v>聯邦銀</v>
      </c>
      <c r="C817">
        <f>[1]!'2838.TW-SimulatePrice'</f>
        <v>10.7</v>
      </c>
      <c r="D817">
        <f>[1]!'2838.TW-PreClose'</f>
        <v>10.65</v>
      </c>
      <c r="E817" t="str">
        <f>[1]!'2838.TW-SimulateTime'</f>
        <v>13:29:58</v>
      </c>
    </row>
    <row r="818" spans="1:5" x14ac:dyDescent="0.25">
      <c r="A818" t="str">
        <f>[1]!'2845.TW-ID'</f>
        <v>2845</v>
      </c>
      <c r="B818" t="str">
        <f>[1]!'2845.TW-Name'</f>
        <v>遠東銀</v>
      </c>
      <c r="C818">
        <f>[1]!'2845.TW-SimulatePrice'</f>
        <v>10.7</v>
      </c>
      <c r="D818">
        <f>[1]!'2845.TW-PreClose'</f>
        <v>10.7</v>
      </c>
      <c r="E818" t="str">
        <f>[1]!'2845.TW-SimulateTime'</f>
        <v>13:29:59</v>
      </c>
    </row>
    <row r="819" spans="1:5" x14ac:dyDescent="0.25">
      <c r="A819" t="str">
        <f>[1]!'2849.TW-ID'</f>
        <v>2849</v>
      </c>
      <c r="B819" t="str">
        <f>[1]!'2849.TW-Name'</f>
        <v>安泰銀</v>
      </c>
      <c r="C819">
        <f>[1]!'2849.TW-SimulatePrice'</f>
        <v>14.3</v>
      </c>
      <c r="D819">
        <f>[1]!'2849.TW-PreClose'</f>
        <v>14.2</v>
      </c>
      <c r="E819" t="str">
        <f>[1]!'2849.TW-SimulateTime'</f>
        <v>13:27:37</v>
      </c>
    </row>
    <row r="820" spans="1:5" x14ac:dyDescent="0.25">
      <c r="A820" t="str">
        <f>[1]!'2850.TW-ID'</f>
        <v>2850</v>
      </c>
      <c r="B820" t="str">
        <f>[1]!'2850.TW-Name'</f>
        <v>新產</v>
      </c>
      <c r="C820">
        <f>[1]!'2850.TW-SimulatePrice'</f>
        <v>35.200000000000003</v>
      </c>
      <c r="D820">
        <f>[1]!'2850.TW-PreClose'</f>
        <v>35.4</v>
      </c>
      <c r="E820" t="str">
        <f>[1]!'2850.TW-SimulateTime'</f>
        <v>13:29:50</v>
      </c>
    </row>
    <row r="821" spans="1:5" x14ac:dyDescent="0.25">
      <c r="A821" t="str">
        <f>[1]!'2851.TW-ID'</f>
        <v>2851</v>
      </c>
      <c r="B821" t="str">
        <f>[1]!'2851.TW-Name'</f>
        <v>中再保</v>
      </c>
      <c r="C821">
        <f>[1]!'2851.TW-SimulatePrice'</f>
        <v>18.850000000000001</v>
      </c>
      <c r="D821">
        <f>[1]!'2851.TW-PreClose'</f>
        <v>18.850000000000001</v>
      </c>
      <c r="E821" t="str">
        <f>[1]!'2851.TW-SimulateTime'</f>
        <v>13:29:51</v>
      </c>
    </row>
    <row r="822" spans="1:5" x14ac:dyDescent="0.25">
      <c r="A822" t="str">
        <f>[1]!'2852.TW-ID'</f>
        <v>2852</v>
      </c>
      <c r="B822" t="str">
        <f>[1]!'2852.TW-Name'</f>
        <v>第一保</v>
      </c>
      <c r="C822" t="str">
        <f>[1]!'2852.TW-SimulatePrice'</f>
        <v>--</v>
      </c>
      <c r="D822">
        <f>[1]!'2852.TW-PreClose'</f>
        <v>13.8</v>
      </c>
      <c r="E822" t="str">
        <f>[1]!'2852.TW-SimulateTime'</f>
        <v>--</v>
      </c>
    </row>
    <row r="823" spans="1:5" x14ac:dyDescent="0.25">
      <c r="A823" t="str">
        <f>[1]!'2855.TW-ID'</f>
        <v>2855</v>
      </c>
      <c r="B823" t="str">
        <f>[1]!'2855.TW-Name'</f>
        <v>統一證</v>
      </c>
      <c r="C823">
        <f>[1]!'2855.TW-SimulatePrice'</f>
        <v>13.25</v>
      </c>
      <c r="D823">
        <f>[1]!'2855.TW-PreClose'</f>
        <v>13.2</v>
      </c>
      <c r="E823" t="str">
        <f>[1]!'2855.TW-SimulateTime'</f>
        <v>13:29:52</v>
      </c>
    </row>
    <row r="824" spans="1:5" x14ac:dyDescent="0.25">
      <c r="A824" t="str">
        <f>[1]!'2867.TW-ID'</f>
        <v>2867</v>
      </c>
      <c r="B824" t="str">
        <f>[1]!'2867.TW-Name'</f>
        <v>三商壽</v>
      </c>
      <c r="C824">
        <f>[1]!'2867.TW-SimulatePrice'</f>
        <v>9.49</v>
      </c>
      <c r="D824">
        <f>[1]!'2867.TW-PreClose'</f>
        <v>9.19</v>
      </c>
      <c r="E824" t="str">
        <f>[1]!'2867.TW-SimulateTime'</f>
        <v>13:29:55</v>
      </c>
    </row>
    <row r="825" spans="1:5" x14ac:dyDescent="0.25">
      <c r="A825" t="str">
        <f>[1]!'2880.TW-ID'</f>
        <v>2880</v>
      </c>
      <c r="B825" t="str">
        <f>[1]!'2880.TW-Name'</f>
        <v>華南金</v>
      </c>
      <c r="C825">
        <f>[1]!'2880.TW-SimulatePrice'</f>
        <v>19</v>
      </c>
      <c r="D825">
        <f>[1]!'2880.TW-PreClose'</f>
        <v>19.05</v>
      </c>
      <c r="E825" t="str">
        <f>[1]!'2880.TW-SimulateTime'</f>
        <v>13:29:57</v>
      </c>
    </row>
    <row r="826" spans="1:5" x14ac:dyDescent="0.25">
      <c r="A826" t="str">
        <f>[1]!'2881.TW-ID'</f>
        <v>2881</v>
      </c>
      <c r="B826" t="str">
        <f>[1]!'2881.TW-Name'</f>
        <v>富邦金</v>
      </c>
      <c r="C826">
        <f>[1]!'2881.TW-SimulatePrice'</f>
        <v>41.15</v>
      </c>
      <c r="D826">
        <f>[1]!'2881.TW-PreClose'</f>
        <v>40.549999999999997</v>
      </c>
      <c r="E826" t="str">
        <f>[1]!'2881.TW-SimulateTime'</f>
        <v>13:29:57</v>
      </c>
    </row>
    <row r="827" spans="1:5" x14ac:dyDescent="0.25">
      <c r="A827" t="str">
        <f>[1]!'2882.TW-ID'</f>
        <v>2882</v>
      </c>
      <c r="B827" t="str">
        <f>[1]!'2882.TW-Name'</f>
        <v>國泰金</v>
      </c>
      <c r="C827">
        <f>[1]!'2882.TW-SimulatePrice'</f>
        <v>39.049999999999997</v>
      </c>
      <c r="D827">
        <f>[1]!'2882.TW-PreClose'</f>
        <v>39.15</v>
      </c>
      <c r="E827" t="str">
        <f>[1]!'2882.TW-SimulateTime'</f>
        <v>13:29:57</v>
      </c>
    </row>
    <row r="828" spans="1:5" x14ac:dyDescent="0.25">
      <c r="A828" t="str">
        <f>[1]!'2883.TW-ID'</f>
        <v>2883</v>
      </c>
      <c r="B828" t="str">
        <f>[1]!'2883.TW-Name'</f>
        <v>開發金</v>
      </c>
      <c r="C828">
        <f>[1]!'2883.TW-SimulatePrice'</f>
        <v>8.9499999999999993</v>
      </c>
      <c r="D828">
        <f>[1]!'2883.TW-PreClose'</f>
        <v>8.99</v>
      </c>
      <c r="E828" t="str">
        <f>[1]!'2883.TW-SimulateTime'</f>
        <v>13:29:57</v>
      </c>
    </row>
    <row r="829" spans="1:5" x14ac:dyDescent="0.25">
      <c r="A829" t="str">
        <f>[1]!'2884.TW-ID'</f>
        <v>2884</v>
      </c>
      <c r="B829" t="str">
        <f>[1]!'2884.TW-Name'</f>
        <v>玉山金</v>
      </c>
      <c r="C829">
        <f>[1]!'2884.TW-SimulatePrice'</f>
        <v>26.95</v>
      </c>
      <c r="D829">
        <f>[1]!'2884.TW-PreClose'</f>
        <v>26.9</v>
      </c>
      <c r="E829" t="str">
        <f>[1]!'2884.TW-SimulateTime'</f>
        <v>13:29:59</v>
      </c>
    </row>
    <row r="830" spans="1:5" x14ac:dyDescent="0.25">
      <c r="A830" t="str">
        <f>[1]!'2885.TW-ID'</f>
        <v>2885</v>
      </c>
      <c r="B830" t="str">
        <f>[1]!'2885.TW-Name'</f>
        <v>元大金</v>
      </c>
      <c r="C830">
        <f>[1]!'2885.TW-SimulatePrice'</f>
        <v>16.25</v>
      </c>
      <c r="D830">
        <f>[1]!'2885.TW-PreClose'</f>
        <v>16.3</v>
      </c>
      <c r="E830" t="str">
        <f>[1]!'2885.TW-SimulateTime'</f>
        <v>13:29:58</v>
      </c>
    </row>
    <row r="831" spans="1:5" x14ac:dyDescent="0.25">
      <c r="A831" t="str">
        <f>[1]!'2886.TW-ID'</f>
        <v>2886</v>
      </c>
      <c r="B831" t="str">
        <f>[1]!'2886.TW-Name'</f>
        <v>兆豐金</v>
      </c>
      <c r="C831">
        <f>[1]!'2886.TW-SimulatePrice'</f>
        <v>30.3</v>
      </c>
      <c r="D831">
        <f>[1]!'2886.TW-PreClose'</f>
        <v>30.25</v>
      </c>
      <c r="E831" t="str">
        <f>[1]!'2886.TW-SimulateTime'</f>
        <v>13:29:55</v>
      </c>
    </row>
    <row r="832" spans="1:5" x14ac:dyDescent="0.25">
      <c r="A832" t="str">
        <f>[1]!'2887.TW-ID'</f>
        <v>2887</v>
      </c>
      <c r="B832" t="str">
        <f>[1]!'2887.TW-Name'</f>
        <v>台新金</v>
      </c>
      <c r="C832">
        <f>[1]!'2887.TW-SimulatePrice'</f>
        <v>12.35</v>
      </c>
      <c r="D832">
        <f>[1]!'2887.TW-PreClose'</f>
        <v>12.3</v>
      </c>
      <c r="E832" t="str">
        <f>[1]!'2887.TW-SimulateTime'</f>
        <v>13:29:56</v>
      </c>
    </row>
    <row r="833" spans="1:5" x14ac:dyDescent="0.25">
      <c r="A833" t="str">
        <f>[1]!'2888.TW-ID'</f>
        <v>2888</v>
      </c>
      <c r="B833" t="str">
        <f>[1]!'2888.TW-Name'</f>
        <v>新光金</v>
      </c>
      <c r="C833">
        <f>[1]!'2888.TW-SimulatePrice'</f>
        <v>8.16</v>
      </c>
      <c r="D833">
        <f>[1]!'2888.TW-PreClose'</f>
        <v>8.16</v>
      </c>
      <c r="E833" t="str">
        <f>[1]!'2888.TW-SimulateTime'</f>
        <v>13:29:55</v>
      </c>
    </row>
    <row r="834" spans="1:5" x14ac:dyDescent="0.25">
      <c r="A834" t="str">
        <f>[1]!'2889.TW-ID'</f>
        <v>2889</v>
      </c>
      <c r="B834" t="str">
        <f>[1]!'2889.TW-Name'</f>
        <v>國票金</v>
      </c>
      <c r="C834">
        <f>[1]!'2889.TW-SimulatePrice'</f>
        <v>11.25</v>
      </c>
      <c r="D834">
        <f>[1]!'2889.TW-PreClose'</f>
        <v>11.2</v>
      </c>
      <c r="E834" t="str">
        <f>[1]!'2889.TW-SimulateTime'</f>
        <v>13:29:57</v>
      </c>
    </row>
    <row r="835" spans="1:5" x14ac:dyDescent="0.25">
      <c r="A835" t="str">
        <f>[1]!'2890.TW-ID'</f>
        <v>2890</v>
      </c>
      <c r="B835" t="str">
        <f>[1]!'2890.TW-Name'</f>
        <v>永豐金</v>
      </c>
      <c r="C835">
        <f>[1]!'2890.TW-SimulatePrice'</f>
        <v>11.65</v>
      </c>
      <c r="D835">
        <f>[1]!'2890.TW-PreClose'</f>
        <v>11.7</v>
      </c>
      <c r="E835" t="str">
        <f>[1]!'2890.TW-SimulateTime'</f>
        <v>13:29:59</v>
      </c>
    </row>
    <row r="836" spans="1:5" x14ac:dyDescent="0.25">
      <c r="A836" t="str">
        <f>[1]!'2891.TW-ID'</f>
        <v>2891</v>
      </c>
      <c r="B836" t="str">
        <f>[1]!'2891.TW-Name'</f>
        <v>中信金</v>
      </c>
      <c r="C836">
        <f>[1]!'2891.TW-SimulatePrice'</f>
        <v>19.600000000000001</v>
      </c>
      <c r="D836">
        <f>[1]!'2891.TW-PreClose'</f>
        <v>19.55</v>
      </c>
      <c r="E836" t="str">
        <f>[1]!'2891.TW-SimulateTime'</f>
        <v>13:29:57</v>
      </c>
    </row>
    <row r="837" spans="1:5" x14ac:dyDescent="0.25">
      <c r="A837" t="str">
        <f>[1]!'2892.TW-ID'</f>
        <v>2892</v>
      </c>
      <c r="B837" t="str">
        <f>[1]!'2892.TW-Name'</f>
        <v>第一金</v>
      </c>
      <c r="C837">
        <f>[1]!'2892.TW-SimulatePrice'</f>
        <v>21.8</v>
      </c>
      <c r="D837">
        <f>[1]!'2892.TW-PreClose'</f>
        <v>21.9</v>
      </c>
      <c r="E837" t="str">
        <f>[1]!'2892.TW-SimulateTime'</f>
        <v>13:29:56</v>
      </c>
    </row>
    <row r="838" spans="1:5" x14ac:dyDescent="0.25">
      <c r="A838" t="str">
        <f>[1]!'2897.TW-ID'</f>
        <v>2897</v>
      </c>
      <c r="B838" t="str">
        <f>[1]!'2897.TW-Name'</f>
        <v>王道銀行</v>
      </c>
      <c r="C838">
        <f>[1]!'2897.TW-SimulatePrice'</f>
        <v>7.06</v>
      </c>
      <c r="D838">
        <f>[1]!'2897.TW-PreClose'</f>
        <v>7.04</v>
      </c>
      <c r="E838" t="str">
        <f>[1]!'2897.TW-SimulateTime'</f>
        <v>13:29:48</v>
      </c>
    </row>
    <row r="839" spans="1:5" x14ac:dyDescent="0.25">
      <c r="A839" t="str">
        <f>[1]!'5876.TW-ID'</f>
        <v>5876</v>
      </c>
      <c r="B839" t="str">
        <f>[1]!'5876.TW-Name'</f>
        <v>上海商銀</v>
      </c>
      <c r="C839">
        <f>[1]!'5876.TW-SimulatePrice'</f>
        <v>42.25</v>
      </c>
      <c r="D839">
        <f>[1]!'5876.TW-PreClose'</f>
        <v>42.55</v>
      </c>
      <c r="E839" t="str">
        <f>[1]!'5876.TW-SimulateTime'</f>
        <v>13:29:56</v>
      </c>
    </row>
    <row r="840" spans="1:5" x14ac:dyDescent="0.25">
      <c r="A840" t="str">
        <f>[1]!'5880.TW-ID'</f>
        <v>5880</v>
      </c>
      <c r="B840" t="str">
        <f>[1]!'5880.TW-Name'</f>
        <v>合庫金</v>
      </c>
      <c r="C840">
        <f>[1]!'5880.TW-SimulatePrice'</f>
        <v>19.95</v>
      </c>
      <c r="D840">
        <f>[1]!'5880.TW-PreClose'</f>
        <v>20.05</v>
      </c>
      <c r="E840" t="str">
        <f>[1]!'5880.TW-SimulateTime'</f>
        <v>13:29:57</v>
      </c>
    </row>
    <row r="841" spans="1:5" x14ac:dyDescent="0.25">
      <c r="A841" t="str">
        <f>[1]!'6005.TW-ID'</f>
        <v>6005</v>
      </c>
      <c r="B841" t="str">
        <f>[1]!'6005.TW-Name'</f>
        <v>群益證</v>
      </c>
      <c r="C841">
        <f>[1]!'6005.TW-SimulatePrice'</f>
        <v>9.9600000000000009</v>
      </c>
      <c r="D841">
        <f>[1]!'6005.TW-PreClose'</f>
        <v>9.93</v>
      </c>
      <c r="E841" t="str">
        <f>[1]!'6005.TW-SimulateTime'</f>
        <v>13:29:26</v>
      </c>
    </row>
    <row r="842" spans="1:5" x14ac:dyDescent="0.25">
      <c r="A842" t="str">
        <f>[1]!'6024.TW-ID'</f>
        <v>6024</v>
      </c>
      <c r="B842" t="str">
        <f>[1]!'6024.TW-Name'</f>
        <v>群益期</v>
      </c>
      <c r="C842">
        <f>[1]!'6024.TW-SimulatePrice'</f>
        <v>38.200000000000003</v>
      </c>
      <c r="D842">
        <f>[1]!'6024.TW-PreClose'</f>
        <v>38</v>
      </c>
      <c r="E842" t="str">
        <f>[1]!'6024.TW-SimulateTime'</f>
        <v>13:29:42</v>
      </c>
    </row>
    <row r="843" spans="1:5" x14ac:dyDescent="0.25">
      <c r="A843" t="str">
        <f>[1]!'1432.TW-ID'</f>
        <v>1432</v>
      </c>
      <c r="B843" t="str">
        <f>[1]!'1432.TW-Name'</f>
        <v>大魯閣</v>
      </c>
      <c r="C843">
        <f>[1]!'1432.TW-SimulatePrice'</f>
        <v>5.9</v>
      </c>
      <c r="D843">
        <f>[1]!'1432.TW-PreClose'</f>
        <v>5.86</v>
      </c>
      <c r="E843" t="str">
        <f>[1]!'1432.TW-SimulateTime'</f>
        <v>13:29:54</v>
      </c>
    </row>
    <row r="844" spans="1:5" x14ac:dyDescent="0.25">
      <c r="A844" t="str">
        <f>[1]!'2601.TW-ID'</f>
        <v>2601</v>
      </c>
      <c r="B844" t="str">
        <f>[1]!'2601.TW-Name'</f>
        <v>益航</v>
      </c>
      <c r="C844">
        <f>[1]!'2601.TW-SimulatePrice'</f>
        <v>9.7100000000000009</v>
      </c>
      <c r="D844">
        <f>[1]!'2601.TW-PreClose'</f>
        <v>9.6999999999999993</v>
      </c>
      <c r="E844" t="str">
        <f>[1]!'2601.TW-SimulateTime'</f>
        <v>13:29:59</v>
      </c>
    </row>
    <row r="845" spans="1:5" x14ac:dyDescent="0.25">
      <c r="A845" t="str">
        <f>[1]!'2614.TW-ID'</f>
        <v>2614</v>
      </c>
      <c r="B845" t="str">
        <f>[1]!'2614.TW-Name'</f>
        <v>東森</v>
      </c>
      <c r="C845">
        <f>[1]!'2614.TW-SimulatePrice'</f>
        <v>15.75</v>
      </c>
      <c r="D845">
        <f>[1]!'2614.TW-PreClose'</f>
        <v>17.45</v>
      </c>
      <c r="E845" t="str">
        <f>[1]!'2614.TW-SimulateTime'</f>
        <v>13:29:49</v>
      </c>
    </row>
    <row r="846" spans="1:5" x14ac:dyDescent="0.25">
      <c r="A846" t="str">
        <f>[1]!'2901.TW-ID'</f>
        <v>2901</v>
      </c>
      <c r="B846" t="str">
        <f>[1]!'2901.TW-Name'</f>
        <v>欣欣</v>
      </c>
      <c r="C846">
        <f>[1]!'2901.TW-SimulatePrice'</f>
        <v>22.65</v>
      </c>
      <c r="D846">
        <f>[1]!'2901.TW-PreClose'</f>
        <v>23</v>
      </c>
      <c r="E846" t="str">
        <f>[1]!'2901.TW-SimulateTime'</f>
        <v>13:32:55</v>
      </c>
    </row>
    <row r="847" spans="1:5" x14ac:dyDescent="0.25">
      <c r="A847" t="str">
        <f>[1]!'2903.TW-ID'</f>
        <v>2903</v>
      </c>
      <c r="B847" t="str">
        <f>[1]!'2903.TW-Name'</f>
        <v>遠百</v>
      </c>
      <c r="C847">
        <f>[1]!'2903.TW-SimulatePrice'</f>
        <v>23.75</v>
      </c>
      <c r="D847">
        <f>[1]!'2903.TW-PreClose'</f>
        <v>22.55</v>
      </c>
      <c r="E847" t="str">
        <f>[1]!'2903.TW-SimulateTime'</f>
        <v>13:29:54</v>
      </c>
    </row>
    <row r="848" spans="1:5" x14ac:dyDescent="0.25">
      <c r="A848" t="str">
        <f>[1]!'2905.TW-ID'</f>
        <v>2905</v>
      </c>
      <c r="B848" t="str">
        <f>[1]!'2905.TW-Name'</f>
        <v>三商</v>
      </c>
      <c r="C848">
        <f>[1]!'2905.TW-SimulatePrice'</f>
        <v>21.2</v>
      </c>
      <c r="D848">
        <f>[1]!'2905.TW-PreClose'</f>
        <v>21.2</v>
      </c>
      <c r="E848" t="str">
        <f>[1]!'2905.TW-SimulateTime'</f>
        <v>13:29:50</v>
      </c>
    </row>
    <row r="849" spans="1:5" x14ac:dyDescent="0.25">
      <c r="A849" t="str">
        <f>[1]!'2906.TW-ID'</f>
        <v>2906</v>
      </c>
      <c r="B849" t="str">
        <f>[1]!'2906.TW-Name'</f>
        <v>高林</v>
      </c>
      <c r="C849">
        <f>[1]!'2906.TW-SimulatePrice'</f>
        <v>10.75</v>
      </c>
      <c r="D849">
        <f>[1]!'2906.TW-PreClose'</f>
        <v>10.7</v>
      </c>
      <c r="E849" t="str">
        <f>[1]!'2906.TW-SimulateTime'</f>
        <v>13:29:13</v>
      </c>
    </row>
    <row r="850" spans="1:5" x14ac:dyDescent="0.25">
      <c r="A850" t="str">
        <f>[1]!'2908.TW-ID'</f>
        <v>2908</v>
      </c>
      <c r="B850" t="str">
        <f>[1]!'2908.TW-Name'</f>
        <v>特力</v>
      </c>
      <c r="C850">
        <f>[1]!'2908.TW-SimulatePrice'</f>
        <v>18.850000000000001</v>
      </c>
      <c r="D850">
        <f>[1]!'2908.TW-PreClose'</f>
        <v>19.2</v>
      </c>
      <c r="E850" t="str">
        <f>[1]!'2908.TW-SimulateTime'</f>
        <v>13:29:50</v>
      </c>
    </row>
    <row r="851" spans="1:5" x14ac:dyDescent="0.25">
      <c r="A851" t="str">
        <f>[1]!'2910.TW-ID'</f>
        <v>2910</v>
      </c>
      <c r="B851" t="str">
        <f>[1]!'2910.TW-Name'</f>
        <v>統領</v>
      </c>
      <c r="C851">
        <f>[1]!'2910.TW-SimulatePrice'</f>
        <v>31</v>
      </c>
      <c r="D851">
        <f>[1]!'2910.TW-PreClose'</f>
        <v>31.25</v>
      </c>
      <c r="E851" t="str">
        <f>[1]!'2910.TW-SimulateTime'</f>
        <v>13:29:59</v>
      </c>
    </row>
    <row r="852" spans="1:5" x14ac:dyDescent="0.25">
      <c r="A852" t="str">
        <f>[1]!'2911.TW-ID'</f>
        <v>2911</v>
      </c>
      <c r="B852" t="str">
        <f>[1]!'2911.TW-Name'</f>
        <v>麗嬰房</v>
      </c>
      <c r="C852" t="str">
        <f>[1]!'2911.TW-SimulatePrice'</f>
        <v>--</v>
      </c>
      <c r="D852">
        <f>[1]!'2911.TW-PreClose'</f>
        <v>5.96</v>
      </c>
      <c r="E852" t="str">
        <f>[1]!'2911.TW-SimulateTime'</f>
        <v>--</v>
      </c>
    </row>
    <row r="853" spans="1:5" x14ac:dyDescent="0.25">
      <c r="A853" t="str">
        <f>[1]!'2912.TW-ID'</f>
        <v>2912</v>
      </c>
      <c r="B853" t="str">
        <f>[1]!'2912.TW-Name'</f>
        <v>統一超</v>
      </c>
      <c r="C853">
        <f>[1]!'2912.TW-SimulatePrice'</f>
        <v>300</v>
      </c>
      <c r="D853">
        <f>[1]!'2912.TW-PreClose'</f>
        <v>302.5</v>
      </c>
      <c r="E853" t="str">
        <f>[1]!'2912.TW-SimulateTime'</f>
        <v>13:29:55</v>
      </c>
    </row>
    <row r="854" spans="1:5" x14ac:dyDescent="0.25">
      <c r="A854" t="str">
        <f>[1]!'2913.TW-ID'</f>
        <v>2913</v>
      </c>
      <c r="B854" t="str">
        <f>[1]!'2913.TW-Name'</f>
        <v>農林</v>
      </c>
      <c r="C854">
        <f>[1]!'2913.TW-SimulatePrice'</f>
        <v>14.15</v>
      </c>
      <c r="D854">
        <f>[1]!'2913.TW-PreClose'</f>
        <v>14.05</v>
      </c>
      <c r="E854" t="str">
        <f>[1]!'2913.TW-SimulateTime'</f>
        <v>13:28:48</v>
      </c>
    </row>
    <row r="855" spans="1:5" x14ac:dyDescent="0.25">
      <c r="A855" t="str">
        <f>[1]!'2915.TW-ID'</f>
        <v>2915</v>
      </c>
      <c r="B855" t="str">
        <f>[1]!'2915.TW-Name'</f>
        <v>潤泰全</v>
      </c>
      <c r="C855">
        <f>[1]!'2915.TW-SimulatePrice'</f>
        <v>67</v>
      </c>
      <c r="D855">
        <f>[1]!'2915.TW-PreClose'</f>
        <v>66.099999999999994</v>
      </c>
      <c r="E855" t="str">
        <f>[1]!'2915.TW-SimulateTime'</f>
        <v>13:29:55</v>
      </c>
    </row>
    <row r="856" spans="1:5" x14ac:dyDescent="0.25">
      <c r="A856" t="str">
        <f>[1]!'2929.TW-ID'</f>
        <v>2929</v>
      </c>
      <c r="B856" t="str">
        <f>[1]!'2929.TW-Name'</f>
        <v>淘帝-KY</v>
      </c>
      <c r="C856">
        <f>[1]!'2929.TW-SimulatePrice'</f>
        <v>58.3</v>
      </c>
      <c r="D856">
        <f>[1]!'2929.TW-PreClose'</f>
        <v>59.1</v>
      </c>
      <c r="E856" t="str">
        <f>[1]!'2929.TW-SimulateTime'</f>
        <v>13:29:42</v>
      </c>
    </row>
    <row r="857" spans="1:5" x14ac:dyDescent="0.25">
      <c r="A857" t="str">
        <f>[1]!'2936.TW-ID'</f>
        <v>2936</v>
      </c>
      <c r="B857" t="str">
        <f>[1]!'2936.TW-Name'</f>
        <v>客思達-KY</v>
      </c>
      <c r="C857">
        <f>[1]!'2936.TW-SimulatePrice'</f>
        <v>14.85</v>
      </c>
      <c r="D857">
        <f>[1]!'2936.TW-PreClose'</f>
        <v>15</v>
      </c>
      <c r="E857" t="str">
        <f>[1]!'2936.TW-SimulateTime'</f>
        <v>13:28:29</v>
      </c>
    </row>
    <row r="858" spans="1:5" x14ac:dyDescent="0.25">
      <c r="A858" t="str">
        <f>[1]!'2939.TW-ID'</f>
        <v>2939</v>
      </c>
      <c r="B858" t="str">
        <f>[1]!'2939.TW-Name'</f>
        <v>凱羿-KY</v>
      </c>
      <c r="C858">
        <f>[1]!'2939.TW-SimulatePrice'</f>
        <v>140</v>
      </c>
      <c r="D858">
        <f>[1]!'2939.TW-PreClose'</f>
        <v>155.5</v>
      </c>
      <c r="E858" t="str">
        <f>[1]!'2939.TW-SimulateTime'</f>
        <v>13:29:55</v>
      </c>
    </row>
    <row r="859" spans="1:5" x14ac:dyDescent="0.25">
      <c r="A859" t="str">
        <f>[1]!'4807.TW-ID'</f>
        <v>4807</v>
      </c>
      <c r="B859" t="str">
        <f>[1]!'4807.TW-Name'</f>
        <v>日成-KY</v>
      </c>
      <c r="C859">
        <f>[1]!'4807.TW-SimulatePrice'</f>
        <v>32.450000000000003</v>
      </c>
      <c r="D859">
        <f>[1]!'4807.TW-PreClose'</f>
        <v>29.5</v>
      </c>
      <c r="E859" t="str">
        <f>[1]!'4807.TW-SimulateTime'</f>
        <v>13:29:58</v>
      </c>
    </row>
    <row r="860" spans="1:5" x14ac:dyDescent="0.25">
      <c r="A860" t="str">
        <f>[1]!'5906.TW-ID'</f>
        <v>5906</v>
      </c>
      <c r="B860" t="str">
        <f>[1]!'5906.TW-Name'</f>
        <v>台南-KY</v>
      </c>
      <c r="C860">
        <f>[1]!'5906.TW-SimulatePrice'</f>
        <v>16.8</v>
      </c>
      <c r="D860">
        <f>[1]!'5906.TW-PreClose'</f>
        <v>16.7</v>
      </c>
      <c r="E860" t="str">
        <f>[1]!'5906.TW-SimulateTime'</f>
        <v>13:29:58</v>
      </c>
    </row>
    <row r="861" spans="1:5" x14ac:dyDescent="0.25">
      <c r="A861" t="str">
        <f>[1]!'5907.TW-ID'</f>
        <v>5907</v>
      </c>
      <c r="B861" t="str">
        <f>[1]!'5907.TW-Name'</f>
        <v>大洋-KY</v>
      </c>
      <c r="C861">
        <f>[1]!'5907.TW-SimulatePrice'</f>
        <v>23.25</v>
      </c>
      <c r="D861">
        <f>[1]!'5907.TW-PreClose'</f>
        <v>23.6</v>
      </c>
      <c r="E861" t="str">
        <f>[1]!'5907.TW-SimulateTime'</f>
        <v>13:29:28</v>
      </c>
    </row>
    <row r="862" spans="1:5" x14ac:dyDescent="0.25">
      <c r="A862" t="str">
        <f>[1]!'8429.TW-ID'</f>
        <v>8429</v>
      </c>
      <c r="B862" t="str">
        <f>[1]!'8429.TW-Name'</f>
        <v>金麗-KY</v>
      </c>
      <c r="C862">
        <f>[1]!'8429.TW-SimulatePrice'</f>
        <v>7.1</v>
      </c>
      <c r="D862">
        <f>[1]!'8429.TW-PreClose'</f>
        <v>7.22</v>
      </c>
      <c r="E862" t="str">
        <f>[1]!'8429.TW-SimulateTime'</f>
        <v>13:29:52</v>
      </c>
    </row>
    <row r="863" spans="1:5" x14ac:dyDescent="0.25">
      <c r="A863" t="str">
        <f>[1]!'8443.TW-ID'</f>
        <v>8443</v>
      </c>
      <c r="B863" t="str">
        <f>[1]!'8443.TW-Name'</f>
        <v>阿瘦</v>
      </c>
      <c r="C863" t="str">
        <f>[1]!'8443.TW-SimulatePrice'</f>
        <v>--</v>
      </c>
      <c r="D863">
        <f>[1]!'8443.TW-PreClose'</f>
        <v>8.6</v>
      </c>
      <c r="E863" t="str">
        <f>[1]!'8443.TW-SimulateTime'</f>
        <v>--</v>
      </c>
    </row>
    <row r="864" spans="1:5" x14ac:dyDescent="0.25">
      <c r="A864" t="str">
        <f>[1]!'8454.TW-ID'</f>
        <v>8454</v>
      </c>
      <c r="B864" t="str">
        <f>[1]!'8454.TW-Name'</f>
        <v>富邦媒</v>
      </c>
      <c r="C864">
        <f>[1]!'8454.TW-SimulatePrice'</f>
        <v>489.5</v>
      </c>
      <c r="D864">
        <f>[1]!'8454.TW-PreClose'</f>
        <v>482</v>
      </c>
      <c r="E864" t="str">
        <f>[1]!'8454.TW-SimulateTime'</f>
        <v>13:29:59</v>
      </c>
    </row>
    <row r="865" spans="1:5" x14ac:dyDescent="0.25">
      <c r="A865" t="str">
        <f>[1]!'2616.TW-ID'</f>
        <v>2616</v>
      </c>
      <c r="B865" t="str">
        <f>[1]!'2616.TW-Name'</f>
        <v>山隆</v>
      </c>
      <c r="C865">
        <f>[1]!'2616.TW-SimulatePrice'</f>
        <v>29.9</v>
      </c>
      <c r="D865">
        <f>[1]!'2616.TW-PreClose'</f>
        <v>29.85</v>
      </c>
      <c r="E865" t="str">
        <f>[1]!'2616.TW-SimulateTime'</f>
        <v>13:29:22</v>
      </c>
    </row>
    <row r="866" spans="1:5" x14ac:dyDescent="0.25">
      <c r="A866" t="str">
        <f>[1]!'6505.TW-ID'</f>
        <v>6505</v>
      </c>
      <c r="B866" t="str">
        <f>[1]!'6505.TW-Name'</f>
        <v>台塑化</v>
      </c>
      <c r="C866">
        <f>[1]!'6505.TW-SimulatePrice'</f>
        <v>86.4</v>
      </c>
      <c r="D866">
        <f>[1]!'6505.TW-PreClose'</f>
        <v>86.7</v>
      </c>
      <c r="E866" t="str">
        <f>[1]!'6505.TW-SimulateTime'</f>
        <v>13:29:56</v>
      </c>
    </row>
    <row r="867" spans="1:5" x14ac:dyDescent="0.25">
      <c r="A867" t="str">
        <f>[1]!'8926.TW-ID'</f>
        <v>8926</v>
      </c>
      <c r="B867" t="str">
        <f>[1]!'8926.TW-Name'</f>
        <v>台汽電</v>
      </c>
      <c r="C867">
        <f>[1]!'8926.TW-SimulatePrice'</f>
        <v>36.200000000000003</v>
      </c>
      <c r="D867">
        <f>[1]!'8926.TW-PreClose'</f>
        <v>35.200000000000003</v>
      </c>
      <c r="E867" t="str">
        <f>[1]!'8926.TW-SimulateTime'</f>
        <v>13:29:56</v>
      </c>
    </row>
    <row r="868" spans="1:5" x14ac:dyDescent="0.25">
      <c r="A868" t="str">
        <f>[1]!'9908.TW-ID'</f>
        <v>9908</v>
      </c>
      <c r="B868" t="str">
        <f>[1]!'9908.TW-Name'</f>
        <v>大台北</v>
      </c>
      <c r="C868" t="str">
        <f>[1]!'9908.TW-SimulatePrice'</f>
        <v>--</v>
      </c>
      <c r="D868">
        <f>[1]!'9908.TW-PreClose'</f>
        <v>30.1</v>
      </c>
      <c r="E868" t="str">
        <f>[1]!'9908.TW-SimulateTime'</f>
        <v>--</v>
      </c>
    </row>
    <row r="869" spans="1:5" x14ac:dyDescent="0.25">
      <c r="A869" t="str">
        <f>[1]!'9918.TW-ID'</f>
        <v>9918</v>
      </c>
      <c r="B869" t="str">
        <f>[1]!'9918.TW-Name'</f>
        <v>欣天然</v>
      </c>
      <c r="C869" t="str">
        <f>[1]!'9918.TW-SimulatePrice'</f>
        <v>--</v>
      </c>
      <c r="D869">
        <f>[1]!'9918.TW-PreClose'</f>
        <v>34.299999999999997</v>
      </c>
      <c r="E869" t="str">
        <f>[1]!'9918.TW-SimulateTime'</f>
        <v>--</v>
      </c>
    </row>
    <row r="870" spans="1:5" x14ac:dyDescent="0.25">
      <c r="A870" t="str">
        <f>[1]!'9926.TW-ID'</f>
        <v>9926</v>
      </c>
      <c r="B870" t="str">
        <f>[1]!'9926.TW-Name'</f>
        <v>新海</v>
      </c>
      <c r="C870" t="str">
        <f>[1]!'9926.TW-SimulatePrice'</f>
        <v>--</v>
      </c>
      <c r="D870">
        <f>[1]!'9926.TW-PreClose'</f>
        <v>42.05</v>
      </c>
      <c r="E870" t="str">
        <f>[1]!'9926.TW-SimulateTime'</f>
        <v>--</v>
      </c>
    </row>
    <row r="871" spans="1:5" x14ac:dyDescent="0.25">
      <c r="A871" t="str">
        <f>[1]!'9931.TW-ID'</f>
        <v>9931</v>
      </c>
      <c r="B871" t="str">
        <f>[1]!'9931.TW-Name'</f>
        <v>欣高</v>
      </c>
      <c r="C871" t="str">
        <f>[1]!'9931.TW-SimulatePrice'</f>
        <v>--</v>
      </c>
      <c r="D871">
        <f>[1]!'9931.TW-PreClose'</f>
        <v>39.950000000000003</v>
      </c>
      <c r="E871" t="str">
        <f>[1]!'9931.TW-SimulateTime'</f>
        <v>--</v>
      </c>
    </row>
    <row r="872" spans="1:5" x14ac:dyDescent="0.25">
      <c r="A872" t="str">
        <f>[1]!'9937.TW-ID'</f>
        <v>9937</v>
      </c>
      <c r="B872" t="str">
        <f>[1]!'9937.TW-Name'</f>
        <v>全國</v>
      </c>
      <c r="C872">
        <f>[1]!'9937.TW-SimulatePrice'</f>
        <v>44</v>
      </c>
      <c r="D872">
        <f>[1]!'9937.TW-PreClose'</f>
        <v>44</v>
      </c>
      <c r="E872" t="str">
        <f>[1]!'9937.TW-SimulateTime'</f>
        <v>13:25:45</v>
      </c>
    </row>
    <row r="873" spans="1:5" x14ac:dyDescent="0.25">
      <c r="A873" t="str">
        <f>[1]!'1435.TW-ID'</f>
        <v>1435</v>
      </c>
      <c r="B873" t="str">
        <f>[1]!'1435.TW-Name'</f>
        <v>中福</v>
      </c>
      <c r="C873">
        <f>[1]!'1435.TW-SimulatePrice'</f>
        <v>8.09</v>
      </c>
      <c r="D873">
        <f>[1]!'1435.TW-PreClose'</f>
        <v>8.0500000000000007</v>
      </c>
      <c r="E873" t="str">
        <f>[1]!'1435.TW-SimulateTime'</f>
        <v>13:29:57</v>
      </c>
    </row>
    <row r="874" spans="1:5" x14ac:dyDescent="0.25">
      <c r="A874" t="str">
        <f>[1]!'1437.TW-ID'</f>
        <v>1437</v>
      </c>
      <c r="B874" t="str">
        <f>[1]!'1437.TW-Name'</f>
        <v>勤益控</v>
      </c>
      <c r="C874">
        <f>[1]!'1437.TW-SimulatePrice'</f>
        <v>20.350000000000001</v>
      </c>
      <c r="D874">
        <f>[1]!'1437.TW-PreClose'</f>
        <v>20.25</v>
      </c>
      <c r="E874" t="str">
        <f>[1]!'1437.TW-SimulateTime'</f>
        <v>13:28:47</v>
      </c>
    </row>
    <row r="875" spans="1:5" x14ac:dyDescent="0.25">
      <c r="A875" t="str">
        <f>[1]!'1516.TW-ID'</f>
        <v>1516</v>
      </c>
      <c r="B875" t="str">
        <f>[1]!'1516.TW-Name'</f>
        <v>川飛</v>
      </c>
      <c r="C875">
        <f>[1]!'1516.TW-SimulatePrice'</f>
        <v>13.55</v>
      </c>
      <c r="D875">
        <f>[1]!'1516.TW-PreClose'</f>
        <v>13.9</v>
      </c>
      <c r="E875" t="str">
        <f>[1]!'1516.TW-SimulateTime'</f>
        <v>13:28:31</v>
      </c>
    </row>
    <row r="876" spans="1:5" x14ac:dyDescent="0.25">
      <c r="A876" t="str">
        <f>[1]!'2062.TW-ID'</f>
        <v>2062</v>
      </c>
      <c r="B876" t="str">
        <f>[1]!'2062.TW-Name'</f>
        <v>橋椿</v>
      </c>
      <c r="C876">
        <f>[1]!'2062.TW-SimulatePrice'</f>
        <v>19.100000000000001</v>
      </c>
      <c r="D876">
        <f>[1]!'2062.TW-PreClose'</f>
        <v>19.05</v>
      </c>
      <c r="E876" t="str">
        <f>[1]!'2062.TW-SimulateTime'</f>
        <v>13:26:23</v>
      </c>
    </row>
    <row r="877" spans="1:5" x14ac:dyDescent="0.25">
      <c r="A877" t="str">
        <f>[1]!'2348.TW-ID'</f>
        <v>2348</v>
      </c>
      <c r="B877" t="str">
        <f>[1]!'2348.TW-Name'</f>
        <v>海悅</v>
      </c>
      <c r="C877">
        <f>[1]!'2348.TW-SimulatePrice'</f>
        <v>59.4</v>
      </c>
      <c r="D877">
        <f>[1]!'2348.TW-PreClose'</f>
        <v>60.3</v>
      </c>
      <c r="E877" t="str">
        <f>[1]!'2348.TW-SimulateTime'</f>
        <v>13:29:56</v>
      </c>
    </row>
    <row r="878" spans="1:5" x14ac:dyDescent="0.25">
      <c r="A878" t="str">
        <f>[1]!'2358.TW-ID'</f>
        <v>2358</v>
      </c>
      <c r="B878" t="str">
        <f>[1]!'2358.TW-Name'</f>
        <v>廷鑫</v>
      </c>
      <c r="C878">
        <f>[1]!'2358.TW-SimulatePrice'</f>
        <v>14.2</v>
      </c>
      <c r="D878">
        <f>[1]!'2358.TW-PreClose'</f>
        <v>14.5</v>
      </c>
      <c r="E878" t="str">
        <f>[1]!'2358.TW-SimulateTime'</f>
        <v>13:29:36</v>
      </c>
    </row>
    <row r="879" spans="1:5" x14ac:dyDescent="0.25">
      <c r="A879" t="str">
        <f>[1]!'2443.TW-ID'</f>
        <v>2443</v>
      </c>
      <c r="B879" t="str">
        <f>[1]!'2443.TW-Name'</f>
        <v>億麗</v>
      </c>
      <c r="C879">
        <f>[1]!'2443.TW-SimulatePrice'</f>
        <v>3.05</v>
      </c>
      <c r="D879">
        <f>[1]!'2443.TW-PreClose'</f>
        <v>2.78</v>
      </c>
      <c r="E879" t="str">
        <f>[1]!'2443.TW-SimulateTime'</f>
        <v>13:29:18</v>
      </c>
    </row>
    <row r="880" spans="1:5" x14ac:dyDescent="0.25">
      <c r="A880" t="str">
        <f>[1]!'2496.TW-ID'</f>
        <v>2496</v>
      </c>
      <c r="B880" t="str">
        <f>[1]!'2496.TW-Name'</f>
        <v>卓越</v>
      </c>
      <c r="C880">
        <f>[1]!'2496.TW-SimulatePrice'</f>
        <v>61.8</v>
      </c>
      <c r="D880">
        <f>[1]!'2496.TW-PreClose'</f>
        <v>62.7</v>
      </c>
      <c r="E880" t="str">
        <f>[1]!'2496.TW-SimulateTime'</f>
        <v>13:29:33</v>
      </c>
    </row>
    <row r="881" spans="1:5" x14ac:dyDescent="0.25">
      <c r="A881" t="str">
        <f>[1]!'2514.TW-ID'</f>
        <v>2514</v>
      </c>
      <c r="B881" t="str">
        <f>[1]!'2514.TW-Name'</f>
        <v>龍邦</v>
      </c>
      <c r="C881">
        <f>[1]!'2514.TW-SimulatePrice'</f>
        <v>14.75</v>
      </c>
      <c r="D881">
        <f>[1]!'2514.TW-PreClose'</f>
        <v>15</v>
      </c>
      <c r="E881" t="str">
        <f>[1]!'2514.TW-SimulateTime'</f>
        <v>13:28:54</v>
      </c>
    </row>
    <row r="882" spans="1:5" x14ac:dyDescent="0.25">
      <c r="A882" t="str">
        <f>[1]!'2904.TW-ID'</f>
        <v>2904</v>
      </c>
      <c r="B882" t="str">
        <f>[1]!'2904.TW-Name'</f>
        <v>匯僑</v>
      </c>
      <c r="C882">
        <f>[1]!'2904.TW-SimulatePrice'</f>
        <v>23.9</v>
      </c>
      <c r="D882">
        <f>[1]!'2904.TW-PreClose'</f>
        <v>23.75</v>
      </c>
      <c r="E882" t="str">
        <f>[1]!'2904.TW-SimulateTime'</f>
        <v>13:28:49</v>
      </c>
    </row>
    <row r="883" spans="1:5" x14ac:dyDescent="0.25">
      <c r="A883" t="str">
        <f>[1]!'3040.TW-ID'</f>
        <v>3040</v>
      </c>
      <c r="B883" t="str">
        <f>[1]!'3040.TW-Name'</f>
        <v>遠見</v>
      </c>
      <c r="C883" t="str">
        <f>[1]!'3040.TW-SimulatePrice'</f>
        <v>--</v>
      </c>
      <c r="D883">
        <f>[1]!'3040.TW-PreClose'</f>
        <v>33.200000000000003</v>
      </c>
      <c r="E883" t="str">
        <f>[1]!'3040.TW-SimulateTime'</f>
        <v>--</v>
      </c>
    </row>
    <row r="884" spans="1:5" x14ac:dyDescent="0.25">
      <c r="A884" t="str">
        <f>[1]!'4536.TW-ID'</f>
        <v>4536</v>
      </c>
      <c r="B884" t="str">
        <f>[1]!'4536.TW-Name'</f>
        <v>拓凱</v>
      </c>
      <c r="C884">
        <f>[1]!'4536.TW-SimulatePrice'</f>
        <v>106</v>
      </c>
      <c r="D884">
        <f>[1]!'4536.TW-PreClose'</f>
        <v>110</v>
      </c>
      <c r="E884" t="str">
        <f>[1]!'4536.TW-SimulateTime'</f>
        <v>13:29:59</v>
      </c>
    </row>
    <row r="885" spans="1:5" x14ac:dyDescent="0.25">
      <c r="A885" t="str">
        <f>[1]!'5284.TW-ID'</f>
        <v>5284</v>
      </c>
      <c r="B885" t="str">
        <f>[1]!'5284.TW-Name'</f>
        <v>jpp-KY</v>
      </c>
      <c r="C885">
        <f>[1]!'5284.TW-SimulatePrice'</f>
        <v>40.049999999999997</v>
      </c>
      <c r="D885">
        <f>[1]!'5284.TW-PreClose'</f>
        <v>39.9</v>
      </c>
      <c r="E885" t="str">
        <f>[1]!'5284.TW-SimulateTime'</f>
        <v>13:29:58</v>
      </c>
    </row>
    <row r="886" spans="1:5" x14ac:dyDescent="0.25">
      <c r="A886" t="str">
        <f>[1]!'5871.TW-ID'</f>
        <v>5871</v>
      </c>
      <c r="B886" t="str">
        <f>[1]!'5871.TW-Name'</f>
        <v>中租-KY</v>
      </c>
      <c r="C886">
        <f>[1]!'5871.TW-SimulatePrice'</f>
        <v>112.5</v>
      </c>
      <c r="D886">
        <f>[1]!'5871.TW-PreClose'</f>
        <v>113</v>
      </c>
      <c r="E886" t="str">
        <f>[1]!'5871.TW-SimulateTime'</f>
        <v>13:29:55</v>
      </c>
    </row>
    <row r="887" spans="1:5" x14ac:dyDescent="0.25">
      <c r="A887" t="str">
        <f>[1]!'6184.TW-ID'</f>
        <v>6184</v>
      </c>
      <c r="B887" t="str">
        <f>[1]!'6184.TW-Name'</f>
        <v>大豐電</v>
      </c>
      <c r="C887">
        <f>[1]!'6184.TW-SimulatePrice'</f>
        <v>42.2</v>
      </c>
      <c r="D887">
        <f>[1]!'6184.TW-PreClose'</f>
        <v>42.15</v>
      </c>
      <c r="E887" t="str">
        <f>[1]!'6184.TW-SimulateTime'</f>
        <v>13:29:49</v>
      </c>
    </row>
    <row r="888" spans="1:5" x14ac:dyDescent="0.25">
      <c r="A888" t="str">
        <f>[1]!'6464.TW-ID'</f>
        <v>6464</v>
      </c>
      <c r="B888" t="str">
        <f>[1]!'6464.TW-Name'</f>
        <v>台數科</v>
      </c>
      <c r="C888" t="str">
        <f>[1]!'6464.TW-SimulatePrice'</f>
        <v>--</v>
      </c>
      <c r="D888">
        <f>[1]!'6464.TW-PreClose'</f>
        <v>116</v>
      </c>
      <c r="E888" t="str">
        <f>[1]!'6464.TW-SimulateTime'</f>
        <v>--</v>
      </c>
    </row>
    <row r="889" spans="1:5" x14ac:dyDescent="0.25">
      <c r="A889" t="str">
        <f>[1]!'6504.TW-ID'</f>
        <v>6504</v>
      </c>
      <c r="B889" t="str">
        <f>[1]!'6504.TW-Name'</f>
        <v>南六</v>
      </c>
      <c r="C889">
        <f>[1]!'6504.TW-SimulatePrice'</f>
        <v>232.5</v>
      </c>
      <c r="D889">
        <f>[1]!'6504.TW-PreClose'</f>
        <v>235.5</v>
      </c>
      <c r="E889" t="str">
        <f>[1]!'6504.TW-SimulateTime'</f>
        <v>13:29:57</v>
      </c>
    </row>
    <row r="890" spans="1:5" x14ac:dyDescent="0.25">
      <c r="A890" t="str">
        <f>[1]!'6581.TW-ID'</f>
        <v>6581</v>
      </c>
      <c r="B890" t="str">
        <f>[1]!'6581.TW-Name'</f>
        <v>鋼聯</v>
      </c>
      <c r="C890">
        <f>[1]!'6581.TW-SimulatePrice'</f>
        <v>61.7</v>
      </c>
      <c r="D890">
        <f>[1]!'6581.TW-PreClose'</f>
        <v>59.7</v>
      </c>
      <c r="E890" t="str">
        <f>[1]!'6581.TW-SimulateTime'</f>
        <v>13:29:19</v>
      </c>
    </row>
    <row r="891" spans="1:5" x14ac:dyDescent="0.25">
      <c r="A891" t="str">
        <f>[1]!'6592.TW-ID'</f>
        <v>6592</v>
      </c>
      <c r="B891" t="str">
        <f>[1]!'6592.TW-Name'</f>
        <v>和潤企業</v>
      </c>
      <c r="C891">
        <f>[1]!'6592.TW-SimulatePrice'</f>
        <v>78.7</v>
      </c>
      <c r="D891">
        <f>[1]!'6592.TW-PreClose'</f>
        <v>78.5</v>
      </c>
      <c r="E891" t="str">
        <f>[1]!'6592.TW-SimulateTime'</f>
        <v>13:29:58</v>
      </c>
    </row>
    <row r="892" spans="1:5" x14ac:dyDescent="0.25">
      <c r="A892" t="str">
        <f>[1]!'6625.TW-ID'</f>
        <v>6625</v>
      </c>
      <c r="B892" t="str">
        <f>[1]!'6625.TW-Name'</f>
        <v>必應</v>
      </c>
      <c r="C892" t="str">
        <f>[1]!'6625.TW-SimulatePrice'</f>
        <v>--</v>
      </c>
      <c r="D892">
        <f>[1]!'6625.TW-PreClose'</f>
        <v>38</v>
      </c>
      <c r="E892" t="str">
        <f>[1]!'6625.TW-SimulateTime'</f>
        <v>--</v>
      </c>
    </row>
    <row r="893" spans="1:5" x14ac:dyDescent="0.25">
      <c r="A893" t="str">
        <f>[1]!'6641.TW-ID'</f>
        <v>6641</v>
      </c>
      <c r="B893" t="str">
        <f>[1]!'6641.TW-Name'</f>
        <v>基士德-KY</v>
      </c>
      <c r="C893">
        <f>[1]!'6641.TW-SimulatePrice'</f>
        <v>67.400000000000006</v>
      </c>
      <c r="D893">
        <f>[1]!'6641.TW-PreClose'</f>
        <v>67.099999999999994</v>
      </c>
      <c r="E893" t="str">
        <f>[1]!'6641.TW-SimulateTime'</f>
        <v>13:29:37</v>
      </c>
    </row>
    <row r="894" spans="1:5" x14ac:dyDescent="0.25">
      <c r="A894" t="str">
        <f>[1]!'6655.TW-ID'</f>
        <v>6655</v>
      </c>
      <c r="B894" t="str">
        <f>[1]!'6655.TW-Name'</f>
        <v>科定</v>
      </c>
      <c r="C894">
        <f>[1]!'6655.TW-SimulatePrice'</f>
        <v>41.65</v>
      </c>
      <c r="D894">
        <f>[1]!'6655.TW-PreClose'</f>
        <v>42</v>
      </c>
      <c r="E894" t="str">
        <f>[1]!'6655.TW-SimulateTime'</f>
        <v>13:29:31</v>
      </c>
    </row>
    <row r="895" spans="1:5" x14ac:dyDescent="0.25">
      <c r="A895" t="str">
        <f>[1]!'6670.TW-ID'</f>
        <v>6670</v>
      </c>
      <c r="B895" t="str">
        <f>[1]!'6670.TW-Name'</f>
        <v>復盛應用</v>
      </c>
      <c r="C895">
        <f>[1]!'6670.TW-SimulatePrice'</f>
        <v>151.5</v>
      </c>
      <c r="D895">
        <f>[1]!'6670.TW-PreClose'</f>
        <v>151.5</v>
      </c>
      <c r="E895" t="str">
        <f>[1]!'6670.TW-SimulateTime'</f>
        <v>13:29:45</v>
      </c>
    </row>
    <row r="896" spans="1:5" x14ac:dyDescent="0.25">
      <c r="A896" t="str">
        <f>[1]!'6671.TW-ID'</f>
        <v>6671</v>
      </c>
      <c r="B896" t="str">
        <f>[1]!'6671.TW-Name'</f>
        <v>三能-KY</v>
      </c>
      <c r="C896" t="str">
        <f>[1]!'6671.TW-SimulatePrice'</f>
        <v>--</v>
      </c>
      <c r="D896">
        <f>[1]!'6671.TW-PreClose'</f>
        <v>36.950000000000003</v>
      </c>
      <c r="E896" t="str">
        <f>[1]!'6671.TW-SimulateTime'</f>
        <v>--</v>
      </c>
    </row>
    <row r="897" spans="1:5" x14ac:dyDescent="0.25">
      <c r="A897" t="str">
        <f>[1]!'8033.TW-ID'</f>
        <v>8033</v>
      </c>
      <c r="B897" t="str">
        <f>[1]!'8033.TW-Name'</f>
        <v>雷虎</v>
      </c>
      <c r="C897">
        <f>[1]!'8033.TW-SimulatePrice'</f>
        <v>8.15</v>
      </c>
      <c r="D897">
        <f>[1]!'8033.TW-PreClose'</f>
        <v>7.49</v>
      </c>
      <c r="E897" t="str">
        <f>[1]!'8033.TW-SimulateTime'</f>
        <v>13:29:53</v>
      </c>
    </row>
    <row r="898" spans="1:5" x14ac:dyDescent="0.25">
      <c r="A898" t="str">
        <f>[1]!'8341.TW-ID'</f>
        <v>8341</v>
      </c>
      <c r="B898" t="str">
        <f>[1]!'8341.TW-Name'</f>
        <v>日友</v>
      </c>
      <c r="C898">
        <f>[1]!'8341.TW-SimulatePrice'</f>
        <v>271</v>
      </c>
      <c r="D898">
        <f>[1]!'8341.TW-PreClose'</f>
        <v>260</v>
      </c>
      <c r="E898" t="str">
        <f>[1]!'8341.TW-SimulateTime'</f>
        <v>13:29:59</v>
      </c>
    </row>
    <row r="899" spans="1:5" x14ac:dyDescent="0.25">
      <c r="A899" t="str">
        <f>[1]!'8404.TW-ID'</f>
        <v>8404</v>
      </c>
      <c r="B899" t="str">
        <f>[1]!'8404.TW-Name'</f>
        <v>百和興業-KY</v>
      </c>
      <c r="C899">
        <f>[1]!'8404.TW-SimulatePrice'</f>
        <v>28.55</v>
      </c>
      <c r="D899">
        <f>[1]!'8404.TW-PreClose'</f>
        <v>29.4</v>
      </c>
      <c r="E899" t="str">
        <f>[1]!'8404.TW-SimulateTime'</f>
        <v>13:29:52</v>
      </c>
    </row>
    <row r="900" spans="1:5" x14ac:dyDescent="0.25">
      <c r="A900" t="str">
        <f>[1]!'8411.TW-ID'</f>
        <v>8411</v>
      </c>
      <c r="B900" t="str">
        <f>[1]!'8411.TW-Name'</f>
        <v>福貞-KY</v>
      </c>
      <c r="C900">
        <f>[1]!'8411.TW-SimulatePrice'</f>
        <v>10.6</v>
      </c>
      <c r="D900">
        <f>[1]!'8411.TW-PreClose'</f>
        <v>10.6</v>
      </c>
      <c r="E900" t="str">
        <f>[1]!'8411.TW-SimulateTime'</f>
        <v>13:29:03</v>
      </c>
    </row>
    <row r="901" spans="1:5" x14ac:dyDescent="0.25">
      <c r="A901" t="str">
        <f>[1]!'8422.TW-ID'</f>
        <v>8422</v>
      </c>
      <c r="B901" t="str">
        <f>[1]!'8422.TW-Name'</f>
        <v>可寧衛</v>
      </c>
      <c r="C901">
        <f>[1]!'8422.TW-SimulatePrice'</f>
        <v>153.5</v>
      </c>
      <c r="D901">
        <f>[1]!'8422.TW-PreClose'</f>
        <v>153.5</v>
      </c>
      <c r="E901" t="str">
        <f>[1]!'8422.TW-SimulateTime'</f>
        <v>13:28:52</v>
      </c>
    </row>
    <row r="902" spans="1:5" x14ac:dyDescent="0.25">
      <c r="A902" t="str">
        <f>[1]!'8427.TW-ID'</f>
        <v>8427</v>
      </c>
      <c r="B902" t="str">
        <f>[1]!'8427.TW-Name'</f>
        <v>基勝-KY</v>
      </c>
      <c r="C902">
        <f>[1]!'8427.TW-SimulatePrice'</f>
        <v>49.2</v>
      </c>
      <c r="D902">
        <f>[1]!'8427.TW-PreClose'</f>
        <v>49.2</v>
      </c>
      <c r="E902" t="str">
        <f>[1]!'8427.TW-SimulateTime'</f>
        <v>13:28:52</v>
      </c>
    </row>
    <row r="903" spans="1:5" x14ac:dyDescent="0.25">
      <c r="A903" t="str">
        <f>[1]!'8442.TW-ID'</f>
        <v>8442</v>
      </c>
      <c r="B903" t="str">
        <f>[1]!'8442.TW-Name'</f>
        <v>威宏-KY</v>
      </c>
      <c r="C903">
        <f>[1]!'8442.TW-SimulatePrice'</f>
        <v>42.4</v>
      </c>
      <c r="D903">
        <f>[1]!'8442.TW-PreClose'</f>
        <v>42.3</v>
      </c>
      <c r="E903" t="str">
        <f>[1]!'8442.TW-SimulateTime'</f>
        <v>13:29:59</v>
      </c>
    </row>
    <row r="904" spans="1:5" x14ac:dyDescent="0.25">
      <c r="A904" t="str">
        <f>[1]!'8463.TW-ID'</f>
        <v>8463</v>
      </c>
      <c r="B904" t="str">
        <f>[1]!'8463.TW-Name'</f>
        <v>潤泰材</v>
      </c>
      <c r="C904">
        <f>[1]!'8463.TW-SimulatePrice'</f>
        <v>38.4</v>
      </c>
      <c r="D904">
        <f>[1]!'8463.TW-PreClose'</f>
        <v>38.9</v>
      </c>
      <c r="E904" t="str">
        <f>[1]!'8463.TW-SimulateTime'</f>
        <v>13:29:30</v>
      </c>
    </row>
    <row r="905" spans="1:5" x14ac:dyDescent="0.25">
      <c r="A905" t="str">
        <f>[1]!'8464.TW-ID'</f>
        <v>8464</v>
      </c>
      <c r="B905" t="str">
        <f>[1]!'8464.TW-Name'</f>
        <v>億豐</v>
      </c>
      <c r="C905">
        <f>[1]!'8464.TW-SimulatePrice'</f>
        <v>239</v>
      </c>
      <c r="D905">
        <f>[1]!'8464.TW-PreClose'</f>
        <v>236</v>
      </c>
      <c r="E905" t="str">
        <f>[1]!'8464.TW-SimulateTime'</f>
        <v>13:29:57</v>
      </c>
    </row>
    <row r="906" spans="1:5" x14ac:dyDescent="0.25">
      <c r="A906" t="str">
        <f>[1]!'8466.TW-ID'</f>
        <v>8466</v>
      </c>
      <c r="B906" t="str">
        <f>[1]!'8466.TW-Name'</f>
        <v>美吉吉-KY</v>
      </c>
      <c r="C906">
        <f>[1]!'8466.TW-SimulatePrice'</f>
        <v>65.8</v>
      </c>
      <c r="D906">
        <f>[1]!'8466.TW-PreClose'</f>
        <v>64.900000000000006</v>
      </c>
      <c r="E906" t="str">
        <f>[1]!'8466.TW-SimulateTime'</f>
        <v>13:29:55</v>
      </c>
    </row>
    <row r="907" spans="1:5" x14ac:dyDescent="0.25">
      <c r="A907" t="str">
        <f>[1]!'8467.TW-ID'</f>
        <v>8467</v>
      </c>
      <c r="B907" t="str">
        <f>[1]!'8467.TW-Name'</f>
        <v>波力-KY</v>
      </c>
      <c r="C907">
        <f>[1]!'8467.TW-SimulatePrice'</f>
        <v>47.7</v>
      </c>
      <c r="D907">
        <f>[1]!'8467.TW-PreClose'</f>
        <v>48.25</v>
      </c>
      <c r="E907" t="str">
        <f>[1]!'8467.TW-SimulateTime'</f>
        <v>13:29:44</v>
      </c>
    </row>
    <row r="908" spans="1:5" x14ac:dyDescent="0.25">
      <c r="A908" t="str">
        <f>[1]!'8473.TW-ID'</f>
        <v>8473</v>
      </c>
      <c r="B908" t="str">
        <f>[1]!'8473.TW-Name'</f>
        <v>山林水</v>
      </c>
      <c r="C908">
        <f>[1]!'8473.TW-SimulatePrice'</f>
        <v>43</v>
      </c>
      <c r="D908">
        <f>[1]!'8473.TW-PreClose'</f>
        <v>41.65</v>
      </c>
      <c r="E908" t="str">
        <f>[1]!'8473.TW-SimulateTime'</f>
        <v>13:27:23</v>
      </c>
    </row>
    <row r="909" spans="1:5" x14ac:dyDescent="0.25">
      <c r="A909" t="str">
        <f>[1]!'8478.TW-ID'</f>
        <v>8478</v>
      </c>
      <c r="B909" t="str">
        <f>[1]!'8478.TW-Name'</f>
        <v>東哥遊艇</v>
      </c>
      <c r="C909" t="str">
        <f>[1]!'8478.TW-SimulatePrice'</f>
        <v>--</v>
      </c>
      <c r="D909">
        <f>[1]!'8478.TW-PreClose'</f>
        <v>36.200000000000003</v>
      </c>
      <c r="E909" t="str">
        <f>[1]!'8478.TW-SimulateTime'</f>
        <v>--</v>
      </c>
    </row>
    <row r="910" spans="1:5" x14ac:dyDescent="0.25">
      <c r="A910" t="str">
        <f>[1]!'8480.TW-ID'</f>
        <v>8480</v>
      </c>
      <c r="B910" t="str">
        <f>[1]!'8480.TW-Name'</f>
        <v>泰昇-KY</v>
      </c>
      <c r="C910">
        <f>[1]!'8480.TW-SimulatePrice'</f>
        <v>142</v>
      </c>
      <c r="D910">
        <f>[1]!'8480.TW-PreClose'</f>
        <v>139</v>
      </c>
      <c r="E910" t="str">
        <f>[1]!'8480.TW-SimulateTime'</f>
        <v>13:29:23</v>
      </c>
    </row>
    <row r="911" spans="1:5" x14ac:dyDescent="0.25">
      <c r="A911" t="str">
        <f>[1]!'8481.TW-ID'</f>
        <v>8481</v>
      </c>
      <c r="B911" t="str">
        <f>[1]!'8481.TW-Name'</f>
        <v>政伸</v>
      </c>
      <c r="C911" t="str">
        <f>[1]!'8481.TW-SimulatePrice'</f>
        <v>--</v>
      </c>
      <c r="D911">
        <f>[1]!'8481.TW-PreClose'</f>
        <v>57.5</v>
      </c>
      <c r="E911" t="str">
        <f>[1]!'8481.TW-SimulateTime'</f>
        <v>--</v>
      </c>
    </row>
    <row r="912" spans="1:5" x14ac:dyDescent="0.25">
      <c r="A912" t="str">
        <f>[1]!'8482.TW-ID'</f>
        <v>8482</v>
      </c>
      <c r="B912" t="str">
        <f>[1]!'8482.TW-Name'</f>
        <v>商億-KY</v>
      </c>
      <c r="C912">
        <f>[1]!'8482.TW-SimulatePrice'</f>
        <v>93.4</v>
      </c>
      <c r="D912">
        <f>[1]!'8482.TW-PreClose'</f>
        <v>93.5</v>
      </c>
      <c r="E912" t="str">
        <f>[1]!'8482.TW-SimulateTime'</f>
        <v>13:29:47</v>
      </c>
    </row>
    <row r="913" spans="1:5" x14ac:dyDescent="0.25">
      <c r="A913" t="str">
        <f>[1]!'8488.TW-ID'</f>
        <v>8488</v>
      </c>
      <c r="B913" t="str">
        <f>[1]!'8488.TW-Name'</f>
        <v>吉源-KY</v>
      </c>
      <c r="C913" t="str">
        <f>[1]!'8488.TW-SimulatePrice'</f>
        <v>--</v>
      </c>
      <c r="D913">
        <f>[1]!'8488.TW-PreClose'</f>
        <v>13.8</v>
      </c>
      <c r="E913" t="str">
        <f>[1]!'8488.TW-SimulateTime'</f>
        <v>--</v>
      </c>
    </row>
    <row r="914" spans="1:5" x14ac:dyDescent="0.25">
      <c r="A914" t="str">
        <f>[1]!'8497.TW-ID'</f>
        <v>8497</v>
      </c>
      <c r="B914" t="str">
        <f>[1]!'8497.TW-Name'</f>
        <v>格威傳媒</v>
      </c>
      <c r="C914" t="str">
        <f>[1]!'8497.TW-SimulatePrice'</f>
        <v>--</v>
      </c>
      <c r="D914">
        <f>[1]!'8497.TW-PreClose'</f>
        <v>67.5</v>
      </c>
      <c r="E914" t="str">
        <f>[1]!'8497.TW-SimulateTime'</f>
        <v>--</v>
      </c>
    </row>
    <row r="915" spans="1:5" x14ac:dyDescent="0.25">
      <c r="A915" t="str">
        <f>[1]!'8499.TW-ID'</f>
        <v>8499</v>
      </c>
      <c r="B915" t="str">
        <f>[1]!'8499.TW-Name'</f>
        <v>鼎炫-KY</v>
      </c>
      <c r="C915">
        <f>[1]!'8499.TW-SimulatePrice'</f>
        <v>100.5</v>
      </c>
      <c r="D915">
        <f>[1]!'8499.TW-PreClose'</f>
        <v>100</v>
      </c>
      <c r="E915" t="str">
        <f>[1]!'8499.TW-SimulateTime'</f>
        <v>13:29:35</v>
      </c>
    </row>
    <row r="916" spans="1:5" x14ac:dyDescent="0.25">
      <c r="A916" t="str">
        <f>[1]!'9802.TW-ID'</f>
        <v>9802</v>
      </c>
      <c r="B916" t="str">
        <f>[1]!'9802.TW-Name'</f>
        <v>鈺齊-KY</v>
      </c>
      <c r="C916">
        <f>[1]!'9802.TW-SimulatePrice'</f>
        <v>82.9</v>
      </c>
      <c r="D916">
        <f>[1]!'9802.TW-PreClose'</f>
        <v>84.8</v>
      </c>
      <c r="E916" t="str">
        <f>[1]!'9802.TW-SimulateTime'</f>
        <v>13:29:56</v>
      </c>
    </row>
    <row r="917" spans="1:5" x14ac:dyDescent="0.25">
      <c r="A917" t="str">
        <f>[1]!'9902.TW-ID'</f>
        <v>9902</v>
      </c>
      <c r="B917" t="str">
        <f>[1]!'9902.TW-Name'</f>
        <v>台火</v>
      </c>
      <c r="C917">
        <f>[1]!'9902.TW-SimulatePrice'</f>
        <v>8.73</v>
      </c>
      <c r="D917">
        <f>[1]!'9902.TW-PreClose'</f>
        <v>8.77</v>
      </c>
      <c r="E917" t="str">
        <f>[1]!'9902.TW-SimulateTime'</f>
        <v>13:29:41</v>
      </c>
    </row>
    <row r="918" spans="1:5" x14ac:dyDescent="0.25">
      <c r="A918" t="str">
        <f>[1]!'9904.TW-ID'</f>
        <v>9904</v>
      </c>
      <c r="B918" t="str">
        <f>[1]!'9904.TW-Name'</f>
        <v>寶成</v>
      </c>
      <c r="C918">
        <f>[1]!'9904.TW-SimulatePrice'</f>
        <v>26.65</v>
      </c>
      <c r="D918">
        <f>[1]!'9904.TW-PreClose'</f>
        <v>26.95</v>
      </c>
      <c r="E918" t="str">
        <f>[1]!'9904.TW-SimulateTime'</f>
        <v>13:29:55</v>
      </c>
    </row>
    <row r="919" spans="1:5" x14ac:dyDescent="0.25">
      <c r="A919" t="str">
        <f>[1]!'9905.TW-ID'</f>
        <v>9905</v>
      </c>
      <c r="B919" t="str">
        <f>[1]!'9905.TW-Name'</f>
        <v>大華</v>
      </c>
      <c r="C919">
        <f>[1]!'9905.TW-SimulatePrice'</f>
        <v>21.1</v>
      </c>
      <c r="D919">
        <f>[1]!'9905.TW-PreClose'</f>
        <v>21.2</v>
      </c>
      <c r="E919" t="str">
        <f>[1]!'9905.TW-SimulateTime'</f>
        <v>13:29:54</v>
      </c>
    </row>
    <row r="920" spans="1:5" x14ac:dyDescent="0.25">
      <c r="A920" t="str">
        <f>[1]!'9907.TW-ID'</f>
        <v>9907</v>
      </c>
      <c r="B920" t="str">
        <f>[1]!'9907.TW-Name'</f>
        <v>統一實</v>
      </c>
      <c r="C920">
        <f>[1]!'9907.TW-SimulatePrice'</f>
        <v>8.5500000000000007</v>
      </c>
      <c r="D920">
        <f>[1]!'9907.TW-PreClose'</f>
        <v>8.56</v>
      </c>
      <c r="E920" t="str">
        <f>[1]!'9907.TW-SimulateTime'</f>
        <v>13:29:46</v>
      </c>
    </row>
    <row r="921" spans="1:5" x14ac:dyDescent="0.25">
      <c r="A921" t="str">
        <f>[1]!'9910.TW-ID'</f>
        <v>9910</v>
      </c>
      <c r="B921" t="str">
        <f>[1]!'9910.TW-Name'</f>
        <v>豐泰</v>
      </c>
      <c r="C921">
        <f>[1]!'9910.TW-SimulatePrice'</f>
        <v>154.5</v>
      </c>
      <c r="D921">
        <f>[1]!'9910.TW-PreClose'</f>
        <v>154</v>
      </c>
      <c r="E921" t="str">
        <f>[1]!'9910.TW-SimulateTime'</f>
        <v>13:29:56</v>
      </c>
    </row>
    <row r="922" spans="1:5" x14ac:dyDescent="0.25">
      <c r="A922" t="str">
        <f>[1]!'9911.TW-ID'</f>
        <v>9911</v>
      </c>
      <c r="B922" t="str">
        <f>[1]!'9911.TW-Name'</f>
        <v>櫻花</v>
      </c>
      <c r="C922">
        <f>[1]!'9911.TW-SimulatePrice'</f>
        <v>46.15</v>
      </c>
      <c r="D922">
        <f>[1]!'9911.TW-PreClose'</f>
        <v>46.05</v>
      </c>
      <c r="E922" t="str">
        <f>[1]!'9911.TW-SimulateTime'</f>
        <v>13:29:56</v>
      </c>
    </row>
    <row r="923" spans="1:5" x14ac:dyDescent="0.25">
      <c r="A923" t="str">
        <f>[1]!'9914.TW-ID'</f>
        <v>9914</v>
      </c>
      <c r="B923" t="str">
        <f>[1]!'9914.TW-Name'</f>
        <v>美利達</v>
      </c>
      <c r="C923">
        <f>[1]!'9914.TW-SimulatePrice'</f>
        <v>154</v>
      </c>
      <c r="D923">
        <f>[1]!'9914.TW-PreClose'</f>
        <v>151.5</v>
      </c>
      <c r="E923" t="str">
        <f>[1]!'9914.TW-SimulateTime'</f>
        <v>13:29:59</v>
      </c>
    </row>
    <row r="924" spans="1:5" x14ac:dyDescent="0.25">
      <c r="A924" t="str">
        <f>[1]!'9917.TW-ID'</f>
        <v>9917</v>
      </c>
      <c r="B924" t="str">
        <f>[1]!'9917.TW-Name'</f>
        <v>中保科</v>
      </c>
      <c r="C924">
        <f>[1]!'9917.TW-SimulatePrice'</f>
        <v>85.9</v>
      </c>
      <c r="D924">
        <f>[1]!'9917.TW-PreClose'</f>
        <v>85.8</v>
      </c>
      <c r="E924" t="str">
        <f>[1]!'9917.TW-SimulateTime'</f>
        <v>13:29:58</v>
      </c>
    </row>
    <row r="925" spans="1:5" x14ac:dyDescent="0.25">
      <c r="A925" t="str">
        <f>[1]!'9919.TW-ID'</f>
        <v>9919</v>
      </c>
      <c r="B925" t="str">
        <f>[1]!'9919.TW-Name'</f>
        <v>康那香</v>
      </c>
      <c r="C925" t="str">
        <f>[1]!'9919.TW-SimulatePrice'</f>
        <v>--</v>
      </c>
      <c r="D925">
        <f>[1]!'9919.TW-PreClose'</f>
        <v>28.25</v>
      </c>
      <c r="E925" t="str">
        <f>[1]!'9919.TW-SimulateTime'</f>
        <v>--</v>
      </c>
    </row>
    <row r="926" spans="1:5" x14ac:dyDescent="0.25">
      <c r="A926" t="str">
        <f>[1]!'9921.TW-ID'</f>
        <v>9921</v>
      </c>
      <c r="B926" t="str">
        <f>[1]!'9921.TW-Name'</f>
        <v>巨大</v>
      </c>
      <c r="C926">
        <f>[1]!'9921.TW-SimulatePrice'</f>
        <v>199</v>
      </c>
      <c r="D926">
        <f>[1]!'9921.TW-PreClose'</f>
        <v>187</v>
      </c>
      <c r="E926" t="str">
        <f>[1]!'9921.TW-SimulateTime'</f>
        <v>13:29:55</v>
      </c>
    </row>
    <row r="927" spans="1:5" x14ac:dyDescent="0.25">
      <c r="A927" t="str">
        <f>[1]!'9924.TW-ID'</f>
        <v>9924</v>
      </c>
      <c r="B927" t="str">
        <f>[1]!'9924.TW-Name'</f>
        <v>福興</v>
      </c>
      <c r="C927">
        <f>[1]!'9924.TW-SimulatePrice'</f>
        <v>39.950000000000003</v>
      </c>
      <c r="D927">
        <f>[1]!'9924.TW-PreClose'</f>
        <v>40.15</v>
      </c>
      <c r="E927" t="str">
        <f>[1]!'9924.TW-SimulateTime'</f>
        <v>13:29:05</v>
      </c>
    </row>
    <row r="928" spans="1:5" x14ac:dyDescent="0.25">
      <c r="A928" t="str">
        <f>[1]!'9925.TW-ID'</f>
        <v>9925</v>
      </c>
      <c r="B928" t="str">
        <f>[1]!'9925.TW-Name'</f>
        <v>新保</v>
      </c>
      <c r="C928" t="str">
        <f>[1]!'9925.TW-SimulatePrice'</f>
        <v>--</v>
      </c>
      <c r="D928">
        <f>[1]!'9925.TW-PreClose'</f>
        <v>36.049999999999997</v>
      </c>
      <c r="E928" t="str">
        <f>[1]!'9925.TW-SimulateTime'</f>
        <v>--</v>
      </c>
    </row>
    <row r="929" spans="1:5" x14ac:dyDescent="0.25">
      <c r="A929" t="str">
        <f>[1]!'9927.TW-ID'</f>
        <v>9927</v>
      </c>
      <c r="B929" t="str">
        <f>[1]!'9927.TW-Name'</f>
        <v>泰銘</v>
      </c>
      <c r="C929">
        <f>[1]!'9927.TW-SimulatePrice'</f>
        <v>29.85</v>
      </c>
      <c r="D929">
        <f>[1]!'9927.TW-PreClose'</f>
        <v>29.75</v>
      </c>
      <c r="E929" t="str">
        <f>[1]!'9927.TW-SimulateTime'</f>
        <v>13:29:52</v>
      </c>
    </row>
    <row r="930" spans="1:5" x14ac:dyDescent="0.25">
      <c r="A930" t="str">
        <f>[1]!'9928.TW-ID'</f>
        <v>9928</v>
      </c>
      <c r="B930" t="str">
        <f>[1]!'9928.TW-Name'</f>
        <v>中視</v>
      </c>
      <c r="C930" t="str">
        <f>[1]!'9928.TW-SimulatePrice'</f>
        <v>--</v>
      </c>
      <c r="D930">
        <f>[1]!'9928.TW-PreClose'</f>
        <v>3.61</v>
      </c>
      <c r="E930" t="str">
        <f>[1]!'9928.TW-SimulateTime'</f>
        <v>--</v>
      </c>
    </row>
    <row r="931" spans="1:5" x14ac:dyDescent="0.25">
      <c r="A931" t="str">
        <f>[1]!'9929.TW-ID'</f>
        <v>9929</v>
      </c>
      <c r="B931" t="str">
        <f>[1]!'9929.TW-Name'</f>
        <v>秋雨</v>
      </c>
      <c r="C931">
        <f>[1]!'9929.TW-SimulatePrice'</f>
        <v>12.2</v>
      </c>
      <c r="D931">
        <f>[1]!'9929.TW-PreClose'</f>
        <v>12.1</v>
      </c>
      <c r="E931" t="str">
        <f>[1]!'9929.TW-SimulateTime'</f>
        <v>13:29:18</v>
      </c>
    </row>
    <row r="932" spans="1:5" x14ac:dyDescent="0.25">
      <c r="A932" t="str">
        <f>[1]!'9930.TW-ID'</f>
        <v>9930</v>
      </c>
      <c r="B932" t="str">
        <f>[1]!'9930.TW-Name'</f>
        <v>中聯資源</v>
      </c>
      <c r="C932">
        <f>[1]!'9930.TW-SimulatePrice'</f>
        <v>43</v>
      </c>
      <c r="D932">
        <f>[1]!'9930.TW-PreClose'</f>
        <v>43.4</v>
      </c>
      <c r="E932" t="str">
        <f>[1]!'9930.TW-SimulateTime'</f>
        <v>13:29:38</v>
      </c>
    </row>
    <row r="933" spans="1:5" x14ac:dyDescent="0.25">
      <c r="A933" t="str">
        <f>[1]!'9933.TW-ID'</f>
        <v>9933</v>
      </c>
      <c r="B933" t="str">
        <f>[1]!'9933.TW-Name'</f>
        <v>中鼎</v>
      </c>
      <c r="C933">
        <f>[1]!'9933.TW-SimulatePrice'</f>
        <v>32.85</v>
      </c>
      <c r="D933">
        <f>[1]!'9933.TW-PreClose'</f>
        <v>33.35</v>
      </c>
      <c r="E933" t="str">
        <f>[1]!'9933.TW-SimulateTime'</f>
        <v>13:29:57</v>
      </c>
    </row>
    <row r="934" spans="1:5" x14ac:dyDescent="0.25">
      <c r="A934" t="str">
        <f>[1]!'9934.TW-ID'</f>
        <v>9934</v>
      </c>
      <c r="B934" t="str">
        <f>[1]!'9934.TW-Name'</f>
        <v>成霖</v>
      </c>
      <c r="C934">
        <f>[1]!'9934.TW-SimulatePrice'</f>
        <v>12.05</v>
      </c>
      <c r="D934">
        <f>[1]!'9934.TW-PreClose'</f>
        <v>12.1</v>
      </c>
      <c r="E934" t="str">
        <f>[1]!'9934.TW-SimulateTime'</f>
        <v>13:29:59</v>
      </c>
    </row>
    <row r="935" spans="1:5" x14ac:dyDescent="0.25">
      <c r="A935" t="str">
        <f>[1]!'9935.TW-ID'</f>
        <v>9935</v>
      </c>
      <c r="B935" t="str">
        <f>[1]!'9935.TW-Name'</f>
        <v>慶豐富</v>
      </c>
      <c r="C935">
        <f>[1]!'9935.TW-SimulatePrice'</f>
        <v>26.85</v>
      </c>
      <c r="D935">
        <f>[1]!'9935.TW-PreClose'</f>
        <v>27.05</v>
      </c>
      <c r="E935" t="str">
        <f>[1]!'9935.TW-SimulateTime'</f>
        <v>13:29:57</v>
      </c>
    </row>
    <row r="936" spans="1:5" x14ac:dyDescent="0.25">
      <c r="A936" t="str">
        <f>[1]!'9938.TW-ID'</f>
        <v>9938</v>
      </c>
      <c r="B936" t="str">
        <f>[1]!'9938.TW-Name'</f>
        <v>百和</v>
      </c>
      <c r="C936">
        <f>[1]!'9938.TW-SimulatePrice'</f>
        <v>60.5</v>
      </c>
      <c r="D936">
        <f>[1]!'9938.TW-PreClose'</f>
        <v>61.4</v>
      </c>
      <c r="E936" t="str">
        <f>[1]!'9938.TW-SimulateTime'</f>
        <v>13:29:57</v>
      </c>
    </row>
    <row r="937" spans="1:5" x14ac:dyDescent="0.25">
      <c r="A937" t="str">
        <f>[1]!'9939.TW-ID'</f>
        <v>9939</v>
      </c>
      <c r="B937" t="str">
        <f>[1]!'9939.TW-Name'</f>
        <v>宏全</v>
      </c>
      <c r="C937">
        <f>[1]!'9939.TW-SimulatePrice'</f>
        <v>53.6</v>
      </c>
      <c r="D937">
        <f>[1]!'9939.TW-PreClose'</f>
        <v>54</v>
      </c>
      <c r="E937" t="str">
        <f>[1]!'9939.TW-SimulateTime'</f>
        <v>13:29:55</v>
      </c>
    </row>
    <row r="938" spans="1:5" x14ac:dyDescent="0.25">
      <c r="A938" t="str">
        <f>[1]!'9940.TW-ID'</f>
        <v>9940</v>
      </c>
      <c r="B938" t="str">
        <f>[1]!'9940.TW-Name'</f>
        <v>信義</v>
      </c>
      <c r="C938" t="str">
        <f>[1]!'9940.TW-SimulatePrice'</f>
        <v>--</v>
      </c>
      <c r="D938">
        <f>[1]!'9940.TW-PreClose'</f>
        <v>25.4</v>
      </c>
      <c r="E938" t="str">
        <f>[1]!'9940.TW-SimulateTime'</f>
        <v>--</v>
      </c>
    </row>
    <row r="939" spans="1:5" x14ac:dyDescent="0.25">
      <c r="A939" t="str">
        <f>[1]!'9941.TW-ID'</f>
        <v>9941</v>
      </c>
      <c r="B939" t="str">
        <f>[1]!'9941.TW-Name'</f>
        <v>裕融</v>
      </c>
      <c r="C939">
        <f>[1]!'9941.TW-SimulatePrice'</f>
        <v>97.4</v>
      </c>
      <c r="D939">
        <f>[1]!'9941.TW-PreClose'</f>
        <v>97.9</v>
      </c>
      <c r="E939" t="str">
        <f>[1]!'9941.TW-SimulateTime'</f>
        <v>13:29:57</v>
      </c>
    </row>
    <row r="940" spans="1:5" x14ac:dyDescent="0.25">
      <c r="A940" t="str">
        <f>[1]!'9942.TW-ID'</f>
        <v>9942</v>
      </c>
      <c r="B940" t="str">
        <f>[1]!'9942.TW-Name'</f>
        <v>茂順</v>
      </c>
      <c r="C940">
        <f>[1]!'9942.TW-SimulatePrice'</f>
        <v>64.2</v>
      </c>
      <c r="D940">
        <f>[1]!'9942.TW-PreClose'</f>
        <v>64.7</v>
      </c>
      <c r="E940" t="str">
        <f>[1]!'9942.TW-SimulateTime'</f>
        <v>13:29:26</v>
      </c>
    </row>
    <row r="941" spans="1:5" x14ac:dyDescent="0.25">
      <c r="A941" t="str">
        <f>[1]!'9944.TW-ID'</f>
        <v>9944</v>
      </c>
      <c r="B941" t="str">
        <f>[1]!'9944.TW-Name'</f>
        <v>新麗</v>
      </c>
      <c r="C941" t="str">
        <f>[1]!'9944.TW-SimulatePrice'</f>
        <v>--</v>
      </c>
      <c r="D941">
        <f>[1]!'9944.TW-PreClose'</f>
        <v>19.75</v>
      </c>
      <c r="E941" t="str">
        <f>[1]!'9944.TW-SimulateTime'</f>
        <v>--</v>
      </c>
    </row>
    <row r="942" spans="1:5" x14ac:dyDescent="0.25">
      <c r="A942" t="str">
        <f>[1]!'9945.TW-ID'</f>
        <v>9945</v>
      </c>
      <c r="B942" t="str">
        <f>[1]!'9945.TW-Name'</f>
        <v>潤泰新</v>
      </c>
      <c r="C942">
        <f>[1]!'9945.TW-SimulatePrice'</f>
        <v>44.35</v>
      </c>
      <c r="D942">
        <f>[1]!'9945.TW-PreClose'</f>
        <v>43.65</v>
      </c>
      <c r="E942" t="str">
        <f>[1]!'9945.TW-SimulateTime'</f>
        <v>13:29:57</v>
      </c>
    </row>
    <row r="943" spans="1:5" x14ac:dyDescent="0.25">
      <c r="A943" t="str">
        <f>[1]!'9955.TW-ID'</f>
        <v>9955</v>
      </c>
      <c r="B943" t="str">
        <f>[1]!'9955.TW-Name'</f>
        <v>佳龍</v>
      </c>
      <c r="C943">
        <f>[1]!'9955.TW-SimulatePrice'</f>
        <v>15.7</v>
      </c>
      <c r="D943">
        <f>[1]!'9955.TW-PreClose'</f>
        <v>15.2</v>
      </c>
      <c r="E943" t="str">
        <f>[1]!'9955.TW-SimulateTime'</f>
        <v>13:29:44</v>
      </c>
    </row>
    <row r="1101" spans="1:6" x14ac:dyDescent="0.25">
      <c r="A1101" t="str">
        <f>[1]!'1101.TW-ID'</f>
        <v>1101</v>
      </c>
      <c r="B1101" t="str">
        <f>[1]!'1101.TW-Name'</f>
        <v>台泥</v>
      </c>
      <c r="C1101">
        <f>[1]!'1101.TW-SimulatePrice'</f>
        <v>42.3</v>
      </c>
      <c r="D1101">
        <f>[1]!'1101.TW-PreClose'</f>
        <v>42.6</v>
      </c>
      <c r="E1101" t="str">
        <f>[1]!'1101.TW-SimulateTime'</f>
        <v>13:29:55</v>
      </c>
      <c r="F1101">
        <f>[1]!'1101.TW-Price'</f>
        <v>42.3</v>
      </c>
    </row>
    <row r="1102" spans="1:6" x14ac:dyDescent="0.25">
      <c r="A1102" t="str">
        <f>[1]!'1102.TW-ID'</f>
        <v>1102</v>
      </c>
      <c r="B1102" t="str">
        <f>[1]!'1102.TW-Name'</f>
        <v>亞泥</v>
      </c>
      <c r="C1102">
        <f>[1]!'1102.TW-SimulatePrice'</f>
        <v>43.95</v>
      </c>
      <c r="D1102">
        <f>[1]!'1102.TW-PreClose'</f>
        <v>43.8</v>
      </c>
      <c r="E1102" t="str">
        <f>[1]!'1102.TW-SimulateTime'</f>
        <v>13:29:53</v>
      </c>
      <c r="F1102">
        <f>[1]!'1102.TW-Price'</f>
        <v>43.95</v>
      </c>
    </row>
    <row r="1103" spans="1:6" x14ac:dyDescent="0.25">
      <c r="A1103" t="str">
        <f>[1]!'1103.TW-ID'</f>
        <v>1103</v>
      </c>
      <c r="B1103" t="str">
        <f>[1]!'1103.TW-Name'</f>
        <v>嘉泥</v>
      </c>
      <c r="C1103">
        <f>[1]!'1103.TW-SimulatePrice'</f>
        <v>15.95</v>
      </c>
      <c r="D1103">
        <f>[1]!'1103.TW-PreClose'</f>
        <v>16.2</v>
      </c>
      <c r="E1103" t="str">
        <f>[1]!'1103.TW-SimulateTime'</f>
        <v>13:29:55</v>
      </c>
      <c r="F1103">
        <f>[1]!'1103.TW-Price'</f>
        <v>16</v>
      </c>
    </row>
    <row r="1104" spans="1:6" x14ac:dyDescent="0.25">
      <c r="A1104" t="str">
        <f>[1]!'1104.TW-ID'</f>
        <v>1104</v>
      </c>
      <c r="B1104" t="str">
        <f>[1]!'1104.TW-Name'</f>
        <v>環泥</v>
      </c>
      <c r="C1104">
        <f>[1]!'1104.TW-SimulatePrice'</f>
        <v>17.350000000000001</v>
      </c>
      <c r="D1104">
        <f>[1]!'1104.TW-PreClose'</f>
        <v>17.5</v>
      </c>
      <c r="E1104" t="str">
        <f>[1]!'1104.TW-SimulateTime'</f>
        <v>13:29:45</v>
      </c>
      <c r="F1104">
        <f>[1]!'1104.TW-Price'</f>
        <v>17.350000000000001</v>
      </c>
    </row>
    <row r="1108" spans="1:6" x14ac:dyDescent="0.25">
      <c r="A1108" t="str">
        <f>[1]!'1108.TW-ID'</f>
        <v>1108</v>
      </c>
      <c r="B1108" t="str">
        <f>[1]!'1108.TW-Name'</f>
        <v>幸福</v>
      </c>
      <c r="C1108">
        <f>[1]!'1108.TW-SimulatePrice'</f>
        <v>8.3800000000000008</v>
      </c>
      <c r="D1108">
        <f>[1]!'1108.TW-PreClose'</f>
        <v>7.79</v>
      </c>
      <c r="E1108" t="str">
        <f>[1]!'1108.TW-SimulateTime'</f>
        <v>13:29:59</v>
      </c>
      <c r="F1108">
        <f>[1]!'1108.TW-Price'</f>
        <v>8.4</v>
      </c>
    </row>
    <row r="1109" spans="1:6" x14ac:dyDescent="0.25">
      <c r="A1109" t="str">
        <f>[1]!'1109.TW-ID'</f>
        <v>1109</v>
      </c>
      <c r="B1109" t="str">
        <f>[1]!'1109.TW-Name'</f>
        <v>信大</v>
      </c>
      <c r="C1109">
        <f>[1]!'1109.TW-SimulatePrice'</f>
        <v>17.3</v>
      </c>
      <c r="D1109">
        <f>[1]!'1109.TW-PreClose'</f>
        <v>17.2</v>
      </c>
      <c r="E1109" t="str">
        <f>[1]!'1109.TW-SimulateTime'</f>
        <v>13:29:44</v>
      </c>
      <c r="F1109">
        <f>[1]!'1109.TW-Price'</f>
        <v>17.3</v>
      </c>
    </row>
    <row r="1110" spans="1:6" x14ac:dyDescent="0.25">
      <c r="A1110" t="str">
        <f>[1]!'1110.TW-ID'</f>
        <v>1110</v>
      </c>
      <c r="B1110" t="str">
        <f>[1]!'1110.TW-Name'</f>
        <v>東泥</v>
      </c>
      <c r="C1110">
        <f>[1]!'1110.TW-SimulatePrice'</f>
        <v>15.85</v>
      </c>
      <c r="D1110">
        <f>[1]!'1110.TW-PreClose'</f>
        <v>15.85</v>
      </c>
      <c r="E1110" t="str">
        <f>[1]!'1110.TW-SimulateTime'</f>
        <v>13:29:58</v>
      </c>
      <c r="F1110">
        <f>[1]!'1110.TW-Price'</f>
        <v>15.85</v>
      </c>
    </row>
    <row r="1201" spans="1:6" x14ac:dyDescent="0.25">
      <c r="A1201" t="str">
        <f>[1]!'1201.TW-ID'</f>
        <v>1201</v>
      </c>
      <c r="B1201" t="str">
        <f>[1]!'1201.TW-Name'</f>
        <v>味全</v>
      </c>
      <c r="C1201">
        <f>[1]!'1201.TW-SimulatePrice'</f>
        <v>22</v>
      </c>
      <c r="D1201">
        <f>[1]!'1201.TW-PreClose'</f>
        <v>22.15</v>
      </c>
      <c r="E1201" t="str">
        <f>[1]!'1201.TW-SimulateTime'</f>
        <v>13:29:59</v>
      </c>
      <c r="F1201">
        <f>[1]!'1201.TW-Price'</f>
        <v>22</v>
      </c>
    </row>
    <row r="1203" spans="1:6" x14ac:dyDescent="0.25">
      <c r="A1203" t="str">
        <f>[1]!'1203.TW-ID'</f>
        <v>1203</v>
      </c>
      <c r="B1203" t="str">
        <f>[1]!'1203.TW-Name'</f>
        <v>味王</v>
      </c>
      <c r="C1203" t="str">
        <f>[1]!'1203.TW-SimulatePrice'</f>
        <v>--</v>
      </c>
      <c r="D1203">
        <f>[1]!'1203.TW-PreClose'</f>
        <v>28</v>
      </c>
      <c r="E1203" t="str">
        <f>[1]!'1203.TW-SimulateTime'</f>
        <v>--</v>
      </c>
      <c r="F1203">
        <f>[1]!'1203.TW-Price'</f>
        <v>27.8</v>
      </c>
    </row>
    <row r="1210" spans="1:6" x14ac:dyDescent="0.25">
      <c r="A1210" t="str">
        <f>[1]!'1210.TW-ID'</f>
        <v>1210</v>
      </c>
      <c r="B1210" t="str">
        <f>[1]!'1210.TW-Name'</f>
        <v>大成</v>
      </c>
      <c r="C1210">
        <f>[1]!'1210.TW-SimulatePrice'</f>
        <v>42.8</v>
      </c>
      <c r="D1210">
        <f>[1]!'1210.TW-PreClose'</f>
        <v>41.9</v>
      </c>
      <c r="E1210" t="str">
        <f>[1]!'1210.TW-SimulateTime'</f>
        <v>13:29:58</v>
      </c>
      <c r="F1210">
        <f>[1]!'1210.TW-Price'</f>
        <v>42.8</v>
      </c>
    </row>
    <row r="1213" spans="1:6" x14ac:dyDescent="0.25">
      <c r="A1213" t="str">
        <f>[1]!'1213.TW-ID'</f>
        <v>1213</v>
      </c>
      <c r="B1213" t="str">
        <f>[1]!'1213.TW-Name'</f>
        <v>大飲</v>
      </c>
      <c r="C1213" t="str">
        <f>[1]!'1213.TW-SimulatePrice'</f>
        <v>--</v>
      </c>
      <c r="D1213">
        <f>[1]!'1213.TW-PreClose'</f>
        <v>5.83</v>
      </c>
      <c r="E1213" t="str">
        <f>[1]!'1213.TW-SimulateTime'</f>
        <v>--</v>
      </c>
      <c r="F1213">
        <f>[1]!'1213.TW-Price'</f>
        <v>5.96</v>
      </c>
    </row>
    <row r="1215" spans="1:6" x14ac:dyDescent="0.25">
      <c r="A1215" t="str">
        <f>[1]!'1215.TW-ID'</f>
        <v>1215</v>
      </c>
      <c r="B1215" t="str">
        <f>[1]!'1215.TW-Name'</f>
        <v>卜蜂</v>
      </c>
      <c r="C1215">
        <f>[1]!'1215.TW-SimulatePrice'</f>
        <v>70.3</v>
      </c>
      <c r="D1215">
        <f>[1]!'1215.TW-PreClose'</f>
        <v>70.599999999999994</v>
      </c>
      <c r="E1215" t="str">
        <f>[1]!'1215.TW-SimulateTime'</f>
        <v>13:29:59</v>
      </c>
      <c r="F1215">
        <f>[1]!'1215.TW-Price'</f>
        <v>70.3</v>
      </c>
    </row>
    <row r="1216" spans="1:6" x14ac:dyDescent="0.25">
      <c r="A1216" t="str">
        <f>[1]!'1216.TW-ID'</f>
        <v>1216</v>
      </c>
      <c r="B1216" t="str">
        <f>[1]!'1216.TW-Name'</f>
        <v>統一</v>
      </c>
      <c r="C1216">
        <f>[1]!'1216.TW-SimulatePrice'</f>
        <v>69.099999999999994</v>
      </c>
      <c r="D1216">
        <f>[1]!'1216.TW-PreClose'</f>
        <v>70</v>
      </c>
      <c r="E1216" t="str">
        <f>[1]!'1216.TW-SimulateTime'</f>
        <v>13:29:57</v>
      </c>
      <c r="F1216">
        <f>[1]!'1216.TW-Price'</f>
        <v>69.099999999999994</v>
      </c>
    </row>
    <row r="1217" spans="1:6" x14ac:dyDescent="0.25">
      <c r="A1217" t="str">
        <f>[1]!'1217.TW-ID'</f>
        <v>1217</v>
      </c>
      <c r="B1217" t="str">
        <f>[1]!'1217.TW-Name'</f>
        <v>愛之味</v>
      </c>
      <c r="C1217">
        <f>[1]!'1217.TW-SimulatePrice'</f>
        <v>7.06</v>
      </c>
      <c r="D1217">
        <f>[1]!'1217.TW-PreClose'</f>
        <v>7.02</v>
      </c>
      <c r="E1217" t="str">
        <f>[1]!'1217.TW-SimulateTime'</f>
        <v>13:29:39</v>
      </c>
      <c r="F1217">
        <f>[1]!'1217.TW-Price'</f>
        <v>7.06</v>
      </c>
    </row>
    <row r="1218" spans="1:6" x14ac:dyDescent="0.25">
      <c r="A1218" t="str">
        <f>[1]!'1218.TW-ID'</f>
        <v>1218</v>
      </c>
      <c r="B1218" t="str">
        <f>[1]!'1218.TW-Name'</f>
        <v>泰山</v>
      </c>
      <c r="C1218">
        <f>[1]!'1218.TW-SimulatePrice'</f>
        <v>24.8</v>
      </c>
      <c r="D1218">
        <f>[1]!'1218.TW-PreClose'</f>
        <v>24.35</v>
      </c>
      <c r="E1218" t="str">
        <f>[1]!'1218.TW-SimulateTime'</f>
        <v>13:29:50</v>
      </c>
      <c r="F1218">
        <f>[1]!'1218.TW-Price'</f>
        <v>24.8</v>
      </c>
    </row>
    <row r="1219" spans="1:6" x14ac:dyDescent="0.25">
      <c r="A1219" t="str">
        <f>[1]!'1219.TW-ID'</f>
        <v>1219</v>
      </c>
      <c r="B1219" t="str">
        <f>[1]!'1219.TW-Name'</f>
        <v>福壽</v>
      </c>
      <c r="C1219">
        <f>[1]!'1219.TW-SimulatePrice'</f>
        <v>19.2</v>
      </c>
      <c r="D1219">
        <f>[1]!'1219.TW-PreClose'</f>
        <v>18.25</v>
      </c>
      <c r="E1219" t="str">
        <f>[1]!'1219.TW-SimulateTime'</f>
        <v>13:29:43</v>
      </c>
      <c r="F1219">
        <f>[1]!'1219.TW-Price'</f>
        <v>19.2</v>
      </c>
    </row>
    <row r="1220" spans="1:6" x14ac:dyDescent="0.25">
      <c r="A1220" t="str">
        <f>[1]!'1220.TW-ID'</f>
        <v>1220</v>
      </c>
      <c r="B1220" t="str">
        <f>[1]!'1220.TW-Name'</f>
        <v>台榮</v>
      </c>
      <c r="C1220">
        <f>[1]!'1220.TW-SimulatePrice'</f>
        <v>10.45</v>
      </c>
      <c r="D1220">
        <f>[1]!'1220.TW-PreClose'</f>
        <v>10.5</v>
      </c>
      <c r="E1220" t="str">
        <f>[1]!'1220.TW-SimulateTime'</f>
        <v>13:26:31</v>
      </c>
      <c r="F1220">
        <f>[1]!'1220.TW-Price'</f>
        <v>10.45</v>
      </c>
    </row>
    <row r="1225" spans="1:6" x14ac:dyDescent="0.25">
      <c r="A1225" t="str">
        <f>[1]!'1225.TW-ID'</f>
        <v>1225</v>
      </c>
      <c r="B1225" t="str">
        <f>[1]!'1225.TW-Name'</f>
        <v>福懋油</v>
      </c>
      <c r="C1225">
        <f>[1]!'1225.TW-SimulatePrice'</f>
        <v>36.15</v>
      </c>
      <c r="D1225">
        <f>[1]!'1225.TW-PreClose'</f>
        <v>37.6</v>
      </c>
      <c r="E1225" t="str">
        <f>[1]!'1225.TW-SimulateTime'</f>
        <v>13:29:45</v>
      </c>
      <c r="F1225">
        <f>[1]!'1225.TW-Price'</f>
        <v>36.15</v>
      </c>
    </row>
    <row r="1227" spans="1:6" x14ac:dyDescent="0.25">
      <c r="A1227" t="str">
        <f>[1]!'1227.TW-ID'</f>
        <v>1227</v>
      </c>
      <c r="B1227" t="str">
        <f>[1]!'1227.TW-Name'</f>
        <v>佳格</v>
      </c>
      <c r="C1227">
        <f>[1]!'1227.TW-SimulatePrice'</f>
        <v>67</v>
      </c>
      <c r="D1227">
        <f>[1]!'1227.TW-PreClose'</f>
        <v>67.8</v>
      </c>
      <c r="E1227" t="str">
        <f>[1]!'1227.TW-SimulateTime'</f>
        <v>13:29:55</v>
      </c>
      <c r="F1227">
        <f>[1]!'1227.TW-Price'</f>
        <v>67</v>
      </c>
    </row>
    <row r="1229" spans="1:6" x14ac:dyDescent="0.25">
      <c r="A1229" t="str">
        <f>[1]!'1229.TW-ID'</f>
        <v>1229</v>
      </c>
      <c r="B1229" t="str">
        <f>[1]!'1229.TW-Name'</f>
        <v>聯華</v>
      </c>
      <c r="C1229">
        <f>[1]!'1229.TW-SimulatePrice'</f>
        <v>41.3</v>
      </c>
      <c r="D1229">
        <f>[1]!'1229.TW-PreClose'</f>
        <v>41.1</v>
      </c>
      <c r="E1229" t="str">
        <f>[1]!'1229.TW-SimulateTime'</f>
        <v>13:29:56</v>
      </c>
      <c r="F1229">
        <f>[1]!'1229.TW-Price'</f>
        <v>41.25</v>
      </c>
    </row>
    <row r="1231" spans="1:6" x14ac:dyDescent="0.25">
      <c r="A1231" t="str">
        <f>[1]!'1231.TW-ID'</f>
        <v>1231</v>
      </c>
      <c r="B1231" t="str">
        <f>[1]!'1231.TW-Name'</f>
        <v>聯華食</v>
      </c>
      <c r="C1231">
        <f>[1]!'1231.TW-SimulatePrice'</f>
        <v>41.15</v>
      </c>
      <c r="D1231">
        <f>[1]!'1231.TW-PreClose'</f>
        <v>41.2</v>
      </c>
      <c r="E1231" t="str">
        <f>[1]!'1231.TW-SimulateTime'</f>
        <v>13:26:53</v>
      </c>
      <c r="F1231">
        <f>[1]!'1231.TW-Price'</f>
        <v>41.05</v>
      </c>
    </row>
    <row r="1232" spans="1:6" x14ac:dyDescent="0.25">
      <c r="A1232" t="str">
        <f>[1]!'1232.TW-ID'</f>
        <v>1232</v>
      </c>
      <c r="B1232" t="str">
        <f>[1]!'1232.TW-Name'</f>
        <v>大統益</v>
      </c>
      <c r="C1232">
        <f>[1]!'1232.TW-SimulatePrice'</f>
        <v>117.5</v>
      </c>
      <c r="D1232">
        <f>[1]!'1232.TW-PreClose'</f>
        <v>117.5</v>
      </c>
      <c r="E1232" t="str">
        <f>[1]!'1232.TW-SimulateTime'</f>
        <v>13:29:52</v>
      </c>
      <c r="F1232">
        <f>[1]!'1232.TW-Price'</f>
        <v>117.5</v>
      </c>
    </row>
    <row r="1233" spans="1:6" x14ac:dyDescent="0.25">
      <c r="A1233" t="str">
        <f>[1]!'1233.TW-ID'</f>
        <v>1233</v>
      </c>
      <c r="B1233" t="str">
        <f>[1]!'1233.TW-Name'</f>
        <v>天仁</v>
      </c>
      <c r="C1233" t="str">
        <f>[1]!'1233.TW-SimulatePrice'</f>
        <v>--</v>
      </c>
      <c r="D1233">
        <f>[1]!'1233.TW-PreClose'</f>
        <v>36</v>
      </c>
      <c r="E1233" t="str">
        <f>[1]!'1233.TW-SimulateTime'</f>
        <v>--</v>
      </c>
      <c r="F1233">
        <f>[1]!'1233.TW-Price'</f>
        <v>35.799999999999997</v>
      </c>
    </row>
    <row r="1234" spans="1:6" x14ac:dyDescent="0.25">
      <c r="A1234" t="str">
        <f>[1]!'1234.TW-ID'</f>
        <v>1234</v>
      </c>
      <c r="B1234" t="str">
        <f>[1]!'1234.TW-Name'</f>
        <v>黑松</v>
      </c>
      <c r="C1234" t="str">
        <f>[1]!'1234.TW-SimulatePrice'</f>
        <v>--</v>
      </c>
      <c r="D1234">
        <f>[1]!'1234.TW-PreClose'</f>
        <v>31.75</v>
      </c>
      <c r="E1234" t="str">
        <f>[1]!'1234.TW-SimulateTime'</f>
        <v>--</v>
      </c>
      <c r="F1234">
        <f>[1]!'1234.TW-Price'</f>
        <v>31.9</v>
      </c>
    </row>
    <row r="1235" spans="1:6" x14ac:dyDescent="0.25">
      <c r="A1235" t="str">
        <f>[1]!'1235.TW-ID'</f>
        <v>1235</v>
      </c>
      <c r="B1235" t="str">
        <f>[1]!'1235.TW-Name'</f>
        <v>興泰</v>
      </c>
      <c r="C1235">
        <f>[1]!'1235.TW-SimulatePrice'</f>
        <v>25.2</v>
      </c>
      <c r="D1235">
        <f>[1]!'1235.TW-PreClose'</f>
        <v>25.5</v>
      </c>
      <c r="E1235" t="str">
        <f>[1]!'1235.TW-SimulateTime'</f>
        <v>13:28:21</v>
      </c>
      <c r="F1235">
        <f>[1]!'1235.TW-Price'</f>
        <v>25.2</v>
      </c>
    </row>
    <row r="1236" spans="1:6" x14ac:dyDescent="0.25">
      <c r="A1236" t="str">
        <f>[1]!'1236.TW-ID'</f>
        <v>1236</v>
      </c>
      <c r="B1236" t="str">
        <f>[1]!'1236.TW-Name'</f>
        <v>宏亞</v>
      </c>
      <c r="C1236">
        <f>[1]!'1236.TW-SimulatePrice'</f>
        <v>11.95</v>
      </c>
      <c r="D1236">
        <f>[1]!'1236.TW-PreClose'</f>
        <v>11.95</v>
      </c>
      <c r="E1236" t="str">
        <f>[1]!'1236.TW-SimulateTime'</f>
        <v>13:25:50</v>
      </c>
      <c r="F1236">
        <f>[1]!'1236.TW-Price'</f>
        <v>11.95</v>
      </c>
    </row>
    <row r="1256" spans="1:6" x14ac:dyDescent="0.25">
      <c r="A1256" t="str">
        <f>[1]!'1256.TW-ID'</f>
        <v>1256</v>
      </c>
      <c r="B1256" t="str">
        <f>[1]!'1256.TW-Name'</f>
        <v>鮮活果汁-KY</v>
      </c>
      <c r="C1256">
        <f>[1]!'1256.TW-SimulatePrice'</f>
        <v>197.5</v>
      </c>
      <c r="D1256">
        <f>[1]!'1256.TW-PreClose'</f>
        <v>197.5</v>
      </c>
      <c r="E1256" t="str">
        <f>[1]!'1256.TW-SimulateTime'</f>
        <v>13:29:46</v>
      </c>
      <c r="F1256">
        <f>[1]!'1256.TW-Price'</f>
        <v>197.5</v>
      </c>
    </row>
    <row r="1301" spans="1:6" x14ac:dyDescent="0.25">
      <c r="A1301" t="str">
        <f>[1]!'1301.TW-ID'</f>
        <v>1301</v>
      </c>
      <c r="B1301" t="str">
        <f>[1]!'1301.TW-Name'</f>
        <v>台塑</v>
      </c>
      <c r="C1301">
        <f>[1]!'1301.TW-SimulatePrice'</f>
        <v>83.6</v>
      </c>
      <c r="D1301">
        <f>[1]!'1301.TW-PreClose'</f>
        <v>83.5</v>
      </c>
      <c r="E1301" t="str">
        <f>[1]!'1301.TW-SimulateTime'</f>
        <v>13:29:59</v>
      </c>
      <c r="F1301">
        <f>[1]!'1301.TW-Price'</f>
        <v>83.6</v>
      </c>
    </row>
    <row r="1303" spans="1:6" x14ac:dyDescent="0.25">
      <c r="A1303" t="str">
        <f>[1]!'1303.TW-ID'</f>
        <v>1303</v>
      </c>
      <c r="B1303" t="str">
        <f>[1]!'1303.TW-Name'</f>
        <v>南亞</v>
      </c>
      <c r="C1303">
        <f>[1]!'1303.TW-SimulatePrice'</f>
        <v>62.7</v>
      </c>
      <c r="D1303">
        <f>[1]!'1303.TW-PreClose'</f>
        <v>62.7</v>
      </c>
      <c r="E1303" t="str">
        <f>[1]!'1303.TW-SimulateTime'</f>
        <v>13:29:55</v>
      </c>
      <c r="F1303">
        <f>[1]!'1303.TW-Price'</f>
        <v>62.7</v>
      </c>
    </row>
    <row r="1304" spans="1:6" x14ac:dyDescent="0.25">
      <c r="A1304" t="str">
        <f>[1]!'1304.TW-ID'</f>
        <v>1304</v>
      </c>
      <c r="B1304" t="str">
        <f>[1]!'1304.TW-Name'</f>
        <v>台聚</v>
      </c>
      <c r="C1304">
        <f>[1]!'1304.TW-SimulatePrice'</f>
        <v>11.85</v>
      </c>
      <c r="D1304">
        <f>[1]!'1304.TW-PreClose'</f>
        <v>11.85</v>
      </c>
      <c r="E1304" t="str">
        <f>[1]!'1304.TW-SimulateTime'</f>
        <v>13:29:57</v>
      </c>
      <c r="F1304">
        <f>[1]!'1304.TW-Price'</f>
        <v>11.85</v>
      </c>
    </row>
    <row r="1305" spans="1:6" x14ac:dyDescent="0.25">
      <c r="A1305" t="str">
        <f>[1]!'1305.TW-ID'</f>
        <v>1305</v>
      </c>
      <c r="B1305" t="str">
        <f>[1]!'1305.TW-Name'</f>
        <v>華夏</v>
      </c>
      <c r="C1305">
        <f>[1]!'1305.TW-SimulatePrice'</f>
        <v>18.149999999999999</v>
      </c>
      <c r="D1305">
        <f>[1]!'1305.TW-PreClose'</f>
        <v>17.399999999999999</v>
      </c>
      <c r="E1305" t="str">
        <f>[1]!'1305.TW-SimulateTime'</f>
        <v>13:29:57</v>
      </c>
      <c r="F1305">
        <f>[1]!'1305.TW-Price'</f>
        <v>18.149999999999999</v>
      </c>
    </row>
    <row r="1307" spans="1:6" x14ac:dyDescent="0.25">
      <c r="A1307" t="str">
        <f>[1]!'1307.TW-ID'</f>
        <v>1307</v>
      </c>
      <c r="B1307" t="str">
        <f>[1]!'1307.TW-Name'</f>
        <v>三芳</v>
      </c>
      <c r="C1307" t="str">
        <f>[1]!'1307.TW-SimulatePrice'</f>
        <v>--</v>
      </c>
      <c r="D1307">
        <f>[1]!'1307.TW-PreClose'</f>
        <v>22.65</v>
      </c>
      <c r="E1307" t="str">
        <f>[1]!'1307.TW-SimulateTime'</f>
        <v>--</v>
      </c>
      <c r="F1307">
        <f>[1]!'1307.TW-Price'</f>
        <v>22.6</v>
      </c>
    </row>
    <row r="1308" spans="1:6" x14ac:dyDescent="0.25">
      <c r="A1308" t="str">
        <f>[1]!'1308.TW-ID'</f>
        <v>1308</v>
      </c>
      <c r="B1308" t="str">
        <f>[1]!'1308.TW-Name'</f>
        <v>亞聚</v>
      </c>
      <c r="C1308">
        <f>[1]!'1308.TW-SimulatePrice'</f>
        <v>17</v>
      </c>
      <c r="D1308">
        <f>[1]!'1308.TW-PreClose'</f>
        <v>16.75</v>
      </c>
      <c r="E1308" t="str">
        <f>[1]!'1308.TW-SimulateTime'</f>
        <v>13:29:56</v>
      </c>
      <c r="F1308">
        <f>[1]!'1308.TW-Price'</f>
        <v>17</v>
      </c>
    </row>
    <row r="1309" spans="1:6" x14ac:dyDescent="0.25">
      <c r="A1309" t="str">
        <f>[1]!'1309.TW-ID'</f>
        <v>1309</v>
      </c>
      <c r="B1309" t="str">
        <f>[1]!'1309.TW-Name'</f>
        <v>台達化</v>
      </c>
      <c r="C1309">
        <f>[1]!'1309.TW-SimulatePrice'</f>
        <v>10.8</v>
      </c>
      <c r="D1309">
        <f>[1]!'1309.TW-PreClose'</f>
        <v>10.1</v>
      </c>
      <c r="E1309" t="str">
        <f>[1]!'1309.TW-SimulateTime'</f>
        <v>13:29:56</v>
      </c>
      <c r="F1309">
        <f>[1]!'1309.TW-Price'</f>
        <v>10.8</v>
      </c>
    </row>
    <row r="1310" spans="1:6" x14ac:dyDescent="0.25">
      <c r="A1310" t="str">
        <f>[1]!'1310.TW-ID'</f>
        <v>1310</v>
      </c>
      <c r="B1310" t="str">
        <f>[1]!'1310.TW-Name'</f>
        <v>台苯</v>
      </c>
      <c r="C1310">
        <f>[1]!'1310.TW-SimulatePrice'</f>
        <v>16</v>
      </c>
      <c r="D1310">
        <f>[1]!'1310.TW-PreClose'</f>
        <v>16.100000000000001</v>
      </c>
      <c r="E1310" t="str">
        <f>[1]!'1310.TW-SimulateTime'</f>
        <v>13:29:44</v>
      </c>
      <c r="F1310">
        <f>[1]!'1310.TW-Price'</f>
        <v>16</v>
      </c>
    </row>
    <row r="1312" spans="1:6" x14ac:dyDescent="0.25">
      <c r="A1312" t="str">
        <f>[1]!'1312.TW-ID'</f>
        <v>1312</v>
      </c>
      <c r="B1312" t="str">
        <f>[1]!'1312.TW-Name'</f>
        <v>國喬</v>
      </c>
      <c r="C1312">
        <f>[1]!'1312.TW-SimulatePrice'</f>
        <v>13.8</v>
      </c>
      <c r="D1312">
        <f>[1]!'1312.TW-PreClose'</f>
        <v>13.8</v>
      </c>
      <c r="E1312" t="str">
        <f>[1]!'1312.TW-SimulateTime'</f>
        <v>13:29:50</v>
      </c>
      <c r="F1312">
        <f>[1]!'1312.TW-Price'</f>
        <v>13.8</v>
      </c>
    </row>
    <row r="1313" spans="1:6" x14ac:dyDescent="0.25">
      <c r="A1313" t="str">
        <f>[1]!'1313.TW-ID'</f>
        <v>1313</v>
      </c>
      <c r="B1313" t="str">
        <f>[1]!'1313.TW-Name'</f>
        <v>聯成</v>
      </c>
      <c r="C1313">
        <f>[1]!'1313.TW-SimulatePrice'</f>
        <v>9.31</v>
      </c>
      <c r="D1313">
        <f>[1]!'1313.TW-PreClose'</f>
        <v>9.16</v>
      </c>
      <c r="E1313" t="str">
        <f>[1]!'1313.TW-SimulateTime'</f>
        <v>13:29:56</v>
      </c>
      <c r="F1313">
        <f>[1]!'1313.TW-Price'</f>
        <v>9.31</v>
      </c>
    </row>
    <row r="1314" spans="1:6" x14ac:dyDescent="0.25">
      <c r="A1314" t="str">
        <f>[1]!'1314.TW-ID'</f>
        <v>1314</v>
      </c>
      <c r="B1314" t="str">
        <f>[1]!'1314.TW-Name'</f>
        <v>中石化</v>
      </c>
      <c r="C1314">
        <f>[1]!'1314.TW-SimulatePrice'</f>
        <v>8.08</v>
      </c>
      <c r="D1314">
        <f>[1]!'1314.TW-PreClose'</f>
        <v>8.18</v>
      </c>
      <c r="E1314" t="str">
        <f>[1]!'1314.TW-SimulateTime'</f>
        <v>13:29:58</v>
      </c>
      <c r="F1314">
        <f>[1]!'1314.TW-Price'</f>
        <v>8.09</v>
      </c>
    </row>
    <row r="1315" spans="1:6" x14ac:dyDescent="0.25">
      <c r="A1315" t="str">
        <f>[1]!'1315.TW-ID'</f>
        <v>1315</v>
      </c>
      <c r="B1315" t="str">
        <f>[1]!'1315.TW-Name'</f>
        <v>達新</v>
      </c>
      <c r="C1315">
        <f>[1]!'1315.TW-SimulatePrice'</f>
        <v>51.1</v>
      </c>
      <c r="D1315">
        <f>[1]!'1315.TW-PreClose'</f>
        <v>48.3</v>
      </c>
      <c r="E1315" t="str">
        <f>[1]!'1315.TW-SimulateTime'</f>
        <v>13:29:58</v>
      </c>
      <c r="F1315">
        <f>[1]!'1315.TW-Price'</f>
        <v>51.1</v>
      </c>
    </row>
    <row r="1316" spans="1:6" x14ac:dyDescent="0.25">
      <c r="A1316" t="str">
        <f>[1]!'1316.TW-ID'</f>
        <v>1316</v>
      </c>
      <c r="B1316" t="str">
        <f>[1]!'1316.TW-Name'</f>
        <v>上曜</v>
      </c>
      <c r="C1316">
        <f>[1]!'1316.TW-SimulatePrice'</f>
        <v>11.15</v>
      </c>
      <c r="D1316">
        <f>[1]!'1316.TW-PreClose'</f>
        <v>11.1</v>
      </c>
      <c r="E1316" t="str">
        <f>[1]!'1316.TW-SimulateTime'</f>
        <v>13:29:58</v>
      </c>
      <c r="F1316">
        <f>[1]!'1316.TW-Price'</f>
        <v>11.15</v>
      </c>
    </row>
    <row r="1319" spans="1:6" x14ac:dyDescent="0.25">
      <c r="A1319" t="str">
        <f>[1]!'1319.TW-ID'</f>
        <v>1319</v>
      </c>
      <c r="B1319" t="str">
        <f>[1]!'1319.TW-Name'</f>
        <v>東陽</v>
      </c>
      <c r="C1319">
        <f>[1]!'1319.TW-SimulatePrice'</f>
        <v>34.799999999999997</v>
      </c>
      <c r="D1319">
        <f>[1]!'1319.TW-PreClose'</f>
        <v>35.299999999999997</v>
      </c>
      <c r="E1319" t="str">
        <f>[1]!'1319.TW-SimulateTime'</f>
        <v>13:29:45</v>
      </c>
      <c r="F1319">
        <f>[1]!'1319.TW-Price'</f>
        <v>34.799999999999997</v>
      </c>
    </row>
    <row r="1321" spans="1:6" x14ac:dyDescent="0.25">
      <c r="A1321" t="str">
        <f>[1]!'1321.TW-ID'</f>
        <v>1321</v>
      </c>
      <c r="B1321" t="str">
        <f>[1]!'1321.TW-Name'</f>
        <v>大洋</v>
      </c>
      <c r="C1321">
        <f>[1]!'1321.TW-SimulatePrice'</f>
        <v>29.6</v>
      </c>
      <c r="D1321">
        <f>[1]!'1321.TW-PreClose'</f>
        <v>30.35</v>
      </c>
      <c r="E1321" t="str">
        <f>[1]!'1321.TW-SimulateTime'</f>
        <v>13:29:57</v>
      </c>
      <c r="F1321">
        <f>[1]!'1321.TW-Price'</f>
        <v>29.6</v>
      </c>
    </row>
    <row r="1323" spans="1:6" x14ac:dyDescent="0.25">
      <c r="A1323" t="str">
        <f>[1]!'1323.TW-ID'</f>
        <v>1323</v>
      </c>
      <c r="B1323" t="str">
        <f>[1]!'1323.TW-Name'</f>
        <v>永裕</v>
      </c>
      <c r="C1323">
        <f>[1]!'1323.TW-SimulatePrice'</f>
        <v>33.200000000000003</v>
      </c>
      <c r="D1323">
        <f>[1]!'1323.TW-PreClose'</f>
        <v>32.799999999999997</v>
      </c>
      <c r="E1323" t="str">
        <f>[1]!'1323.TW-SimulateTime'</f>
        <v>13:29:57</v>
      </c>
      <c r="F1323">
        <f>[1]!'1323.TW-Price'</f>
        <v>33.200000000000003</v>
      </c>
    </row>
    <row r="1324" spans="1:6" x14ac:dyDescent="0.25">
      <c r="A1324" t="str">
        <f>[1]!'1324.TW-ID'</f>
        <v>1324</v>
      </c>
      <c r="B1324" t="str">
        <f>[1]!'1324.TW-Name'</f>
        <v>地球</v>
      </c>
      <c r="C1324" t="str">
        <f>[1]!'1324.TW-SimulatePrice'</f>
        <v>--</v>
      </c>
      <c r="D1324">
        <f>[1]!'1324.TW-PreClose'</f>
        <v>9.1999999999999993</v>
      </c>
      <c r="E1324" t="str">
        <f>[1]!'1324.TW-SimulateTime'</f>
        <v>--</v>
      </c>
      <c r="F1324">
        <f>[1]!'1324.TW-Price'</f>
        <v>9.02</v>
      </c>
    </row>
    <row r="1325" spans="1:6" x14ac:dyDescent="0.25">
      <c r="A1325" t="str">
        <f>[1]!'1325.TW-ID'</f>
        <v>1325</v>
      </c>
      <c r="B1325" t="str">
        <f>[1]!'1325.TW-Name'</f>
        <v>恆大</v>
      </c>
      <c r="C1325" t="str">
        <f>[1]!'1325.TW-SimulatePrice'</f>
        <v>--</v>
      </c>
      <c r="D1325">
        <f>[1]!'1325.TW-PreClose'</f>
        <v>103</v>
      </c>
      <c r="E1325" t="str">
        <f>[1]!'1325.TW-SimulateTime'</f>
        <v>--</v>
      </c>
      <c r="F1325">
        <f>[1]!'1325.TW-Price'</f>
        <v>113</v>
      </c>
    </row>
    <row r="1326" spans="1:6" x14ac:dyDescent="0.25">
      <c r="A1326" t="str">
        <f>[1]!'1326.TW-ID'</f>
        <v>1326</v>
      </c>
      <c r="B1326" t="str">
        <f>[1]!'1326.TW-Name'</f>
        <v>台化</v>
      </c>
      <c r="C1326">
        <f>[1]!'1326.TW-SimulatePrice'</f>
        <v>72.3</v>
      </c>
      <c r="D1326">
        <f>[1]!'1326.TW-PreClose'</f>
        <v>72.599999999999994</v>
      </c>
      <c r="E1326" t="str">
        <f>[1]!'1326.TW-SimulateTime'</f>
        <v>13:29:58</v>
      </c>
      <c r="F1326">
        <f>[1]!'1326.TW-Price'</f>
        <v>72.3</v>
      </c>
    </row>
    <row r="1337" spans="1:6" x14ac:dyDescent="0.25">
      <c r="A1337" t="str">
        <f>[1]!'1337.TW-ID'</f>
        <v>1337</v>
      </c>
      <c r="B1337" t="str">
        <f>[1]!'1337.TW-Name'</f>
        <v>再生-KY</v>
      </c>
      <c r="C1337">
        <f>[1]!'1337.TW-SimulatePrice'</f>
        <v>4.91</v>
      </c>
      <c r="D1337">
        <f>[1]!'1337.TW-PreClose'</f>
        <v>4.8</v>
      </c>
      <c r="E1337" t="str">
        <f>[1]!'1337.TW-SimulateTime'</f>
        <v>13:29:52</v>
      </c>
      <c r="F1337">
        <f>[1]!'1337.TW-Price'</f>
        <v>4.91</v>
      </c>
    </row>
    <row r="1338" spans="1:6" x14ac:dyDescent="0.25">
      <c r="A1338" t="str">
        <f>[1]!'1338.TW-ID'</f>
        <v>1338</v>
      </c>
      <c r="B1338" t="str">
        <f>[1]!'1338.TW-Name'</f>
        <v>廣華-KY</v>
      </c>
      <c r="C1338">
        <f>[1]!'1338.TW-SimulatePrice'</f>
        <v>49.4</v>
      </c>
      <c r="D1338">
        <f>[1]!'1338.TW-PreClose'</f>
        <v>50</v>
      </c>
      <c r="E1338" t="str">
        <f>[1]!'1338.TW-SimulateTime'</f>
        <v>13:29:59</v>
      </c>
      <c r="F1338">
        <f>[1]!'1338.TW-Price'</f>
        <v>49.3</v>
      </c>
    </row>
    <row r="1339" spans="1:6" x14ac:dyDescent="0.25">
      <c r="A1339" t="str">
        <f>[1]!'1339.TW-ID'</f>
        <v>1339</v>
      </c>
      <c r="B1339" t="str">
        <f>[1]!'1339.TW-Name'</f>
        <v>昭輝</v>
      </c>
      <c r="C1339">
        <f>[1]!'1339.TW-SimulatePrice'</f>
        <v>38.4</v>
      </c>
      <c r="D1339">
        <f>[1]!'1339.TW-PreClose'</f>
        <v>38.950000000000003</v>
      </c>
      <c r="E1339" t="str">
        <f>[1]!'1339.TW-SimulateTime'</f>
        <v>13:28:49</v>
      </c>
      <c r="F1339">
        <f>[1]!'1339.TW-Price'</f>
        <v>38.4</v>
      </c>
    </row>
    <row r="1340" spans="1:6" x14ac:dyDescent="0.25">
      <c r="A1340" t="str">
        <f>[1]!'1340.TW-ID'</f>
        <v>1340</v>
      </c>
      <c r="B1340" t="str">
        <f>[1]!'1340.TW-Name'</f>
        <v>勝悅-KY</v>
      </c>
      <c r="C1340">
        <f>[1]!'1340.TW-SimulatePrice'</f>
        <v>10.050000000000001</v>
      </c>
      <c r="D1340">
        <f>[1]!'1340.TW-PreClose'</f>
        <v>9.9</v>
      </c>
      <c r="E1340" t="str">
        <f>[1]!'1340.TW-SimulateTime'</f>
        <v>13:29:54</v>
      </c>
      <c r="F1340">
        <f>[1]!'1340.TW-Price'</f>
        <v>10.050000000000001</v>
      </c>
    </row>
    <row r="1341" spans="1:6" x14ac:dyDescent="0.25">
      <c r="A1341" t="str">
        <f>[1]!'1341.TW-ID'</f>
        <v>1341</v>
      </c>
      <c r="B1341" t="str">
        <f>[1]!'1341.TW-Name'</f>
        <v>富林-KY</v>
      </c>
      <c r="C1341" t="str">
        <f>[1]!'1341.TW-SimulatePrice'</f>
        <v>--</v>
      </c>
      <c r="D1341">
        <f>[1]!'1341.TW-PreClose'</f>
        <v>61.9</v>
      </c>
      <c r="E1341" t="str">
        <f>[1]!'1341.TW-SimulateTime'</f>
        <v>--</v>
      </c>
      <c r="F1341">
        <f>[1]!'1341.TW-Price'</f>
        <v>60.1</v>
      </c>
    </row>
    <row r="1402" spans="1:6" x14ac:dyDescent="0.25">
      <c r="A1402" t="str">
        <f>[1]!'1402.TW-ID'</f>
        <v>1402</v>
      </c>
      <c r="B1402" t="str">
        <f>[1]!'1402.TW-Name'</f>
        <v>遠東新</v>
      </c>
      <c r="C1402">
        <f>[1]!'1402.TW-SimulatePrice'</f>
        <v>26.4</v>
      </c>
      <c r="D1402">
        <f>[1]!'1402.TW-PreClose'</f>
        <v>26.65</v>
      </c>
      <c r="E1402" t="str">
        <f>[1]!'1402.TW-SimulateTime'</f>
        <v>13:29:58</v>
      </c>
      <c r="F1402">
        <f>[1]!'1402.TW-Price'</f>
        <v>26.4</v>
      </c>
    </row>
    <row r="1409" spans="1:6" x14ac:dyDescent="0.25">
      <c r="A1409" t="str">
        <f>[1]!'1409.TW-ID'</f>
        <v>1409</v>
      </c>
      <c r="B1409" t="str">
        <f>[1]!'1409.TW-Name'</f>
        <v>新纖</v>
      </c>
      <c r="C1409">
        <f>[1]!'1409.TW-SimulatePrice'</f>
        <v>10.85</v>
      </c>
      <c r="D1409">
        <f>[1]!'1409.TW-PreClose'</f>
        <v>10.9</v>
      </c>
      <c r="E1409" t="str">
        <f>[1]!'1409.TW-SimulateTime'</f>
        <v>13:29:46</v>
      </c>
      <c r="F1409">
        <f>[1]!'1409.TW-Price'</f>
        <v>10.85</v>
      </c>
    </row>
    <row r="1410" spans="1:6" x14ac:dyDescent="0.25">
      <c r="A1410" t="str">
        <f>[1]!'1410.TW-ID'</f>
        <v>1410</v>
      </c>
      <c r="B1410" t="str">
        <f>[1]!'1410.TW-Name'</f>
        <v>南染</v>
      </c>
      <c r="C1410">
        <f>[1]!'1410.TW-SimulatePrice'</f>
        <v>30.25</v>
      </c>
      <c r="D1410">
        <f>[1]!'1410.TW-PreClose'</f>
        <v>30.4</v>
      </c>
      <c r="E1410" t="str">
        <f>[1]!'1410.TW-SimulateTime'</f>
        <v>13:27:31</v>
      </c>
      <c r="F1410">
        <f>[1]!'1410.TW-Price'</f>
        <v>30.25</v>
      </c>
    </row>
    <row r="1413" spans="1:6" x14ac:dyDescent="0.25">
      <c r="A1413" t="str">
        <f>[1]!'1413.TW-ID'</f>
        <v>1413</v>
      </c>
      <c r="B1413" t="str">
        <f>[1]!'1413.TW-Name'</f>
        <v>宏洲</v>
      </c>
      <c r="C1413">
        <f>[1]!'1413.TW-SimulatePrice'</f>
        <v>7.05</v>
      </c>
      <c r="D1413">
        <f>[1]!'1413.TW-PreClose'</f>
        <v>6.97</v>
      </c>
      <c r="E1413" t="str">
        <f>[1]!'1413.TW-SimulateTime'</f>
        <v>13:29:22</v>
      </c>
      <c r="F1413">
        <f>[1]!'1413.TW-Price'</f>
        <v>7.05</v>
      </c>
    </row>
    <row r="1414" spans="1:6" x14ac:dyDescent="0.25">
      <c r="A1414" t="str">
        <f>[1]!'1414.TW-ID'</f>
        <v>1414</v>
      </c>
      <c r="B1414" t="str">
        <f>[1]!'1414.TW-Name'</f>
        <v>東和</v>
      </c>
      <c r="C1414">
        <f>[1]!'1414.TW-SimulatePrice'</f>
        <v>6.48</v>
      </c>
      <c r="D1414">
        <f>[1]!'1414.TW-PreClose'</f>
        <v>6.48</v>
      </c>
      <c r="E1414" t="str">
        <f>[1]!'1414.TW-SimulateTime'</f>
        <v>13:28:07</v>
      </c>
      <c r="F1414">
        <f>[1]!'1414.TW-Price'</f>
        <v>6.48</v>
      </c>
    </row>
    <row r="1416" spans="1:6" x14ac:dyDescent="0.25">
      <c r="A1416" t="str">
        <f>[1]!'1416.TW-ID'</f>
        <v>1416</v>
      </c>
      <c r="B1416" t="str">
        <f>[1]!'1416.TW-Name'</f>
        <v>廣豐</v>
      </c>
      <c r="C1416">
        <f>[1]!'1416.TW-SimulatePrice'</f>
        <v>11.3</v>
      </c>
      <c r="D1416">
        <f>[1]!'1416.TW-PreClose'</f>
        <v>11.4</v>
      </c>
      <c r="E1416" t="str">
        <f>[1]!'1416.TW-SimulateTime'</f>
        <v>13:29:57</v>
      </c>
      <c r="F1416">
        <f>[1]!'1416.TW-Price'</f>
        <v>11.3</v>
      </c>
    </row>
    <row r="1417" spans="1:6" x14ac:dyDescent="0.25">
      <c r="A1417" t="str">
        <f>[1]!'1417.TW-ID'</f>
        <v>1417</v>
      </c>
      <c r="B1417" t="str">
        <f>[1]!'1417.TW-Name'</f>
        <v>嘉裕</v>
      </c>
      <c r="C1417">
        <f>[1]!'1417.TW-SimulatePrice'</f>
        <v>7.76</v>
      </c>
      <c r="D1417">
        <f>[1]!'1417.TW-PreClose'</f>
        <v>7.77</v>
      </c>
      <c r="E1417" t="str">
        <f>[1]!'1417.TW-SimulateTime'</f>
        <v>13:29:45</v>
      </c>
      <c r="F1417">
        <f>[1]!'1417.TW-Price'</f>
        <v>7.76</v>
      </c>
    </row>
    <row r="1418" spans="1:6" x14ac:dyDescent="0.25">
      <c r="A1418" t="str">
        <f>[1]!'1418.TW-ID'</f>
        <v>1418</v>
      </c>
      <c r="B1418" t="str">
        <f>[1]!'1418.TW-Name'</f>
        <v>東華</v>
      </c>
      <c r="C1418" t="str">
        <f>[1]!'1418.TW-SimulatePrice'</f>
        <v>--</v>
      </c>
      <c r="D1418">
        <f>[1]!'1418.TW-PreClose'</f>
        <v>5.55</v>
      </c>
      <c r="E1418" t="str">
        <f>[1]!'1418.TW-SimulateTime'</f>
        <v>--</v>
      </c>
      <c r="F1418" t="str">
        <f>[1]!'1418.TW-Price'</f>
        <v>--</v>
      </c>
    </row>
    <row r="1419" spans="1:6" x14ac:dyDescent="0.25">
      <c r="A1419" t="str">
        <f>[1]!'1419.TW-ID'</f>
        <v>1419</v>
      </c>
      <c r="B1419" t="str">
        <f>[1]!'1419.TW-Name'</f>
        <v>新紡</v>
      </c>
      <c r="C1419" t="str">
        <f>[1]!'1419.TW-SimulatePrice'</f>
        <v>--</v>
      </c>
      <c r="D1419">
        <f>[1]!'1419.TW-PreClose'</f>
        <v>40.6</v>
      </c>
      <c r="E1419" t="str">
        <f>[1]!'1419.TW-SimulateTime'</f>
        <v>--</v>
      </c>
      <c r="F1419">
        <f>[1]!'1419.TW-Price'</f>
        <v>40.6</v>
      </c>
    </row>
    <row r="1423" spans="1:6" x14ac:dyDescent="0.25">
      <c r="A1423" t="str">
        <f>[1]!'1423.TW-ID'</f>
        <v>1423</v>
      </c>
      <c r="B1423" t="str">
        <f>[1]!'1423.TW-Name'</f>
        <v>利華</v>
      </c>
      <c r="C1423">
        <f>[1]!'1423.TW-SimulatePrice'</f>
        <v>10.75</v>
      </c>
      <c r="D1423">
        <f>[1]!'1423.TW-PreClose'</f>
        <v>10.95</v>
      </c>
      <c r="E1423" t="str">
        <f>[1]!'1423.TW-SimulateTime'</f>
        <v>13:29:52</v>
      </c>
      <c r="F1423">
        <f>[1]!'1423.TW-Price'</f>
        <v>10.75</v>
      </c>
    </row>
    <row r="1432" spans="1:6" x14ac:dyDescent="0.25">
      <c r="A1432" t="str">
        <f>[1]!'1432.TW-ID'</f>
        <v>1432</v>
      </c>
      <c r="B1432" t="str">
        <f>[1]!'1432.TW-Name'</f>
        <v>大魯閣</v>
      </c>
      <c r="C1432">
        <f>[1]!'1432.TW-SimulatePrice'</f>
        <v>5.9</v>
      </c>
      <c r="D1432">
        <f>[1]!'1432.TW-PreClose'</f>
        <v>5.86</v>
      </c>
      <c r="E1432" t="str">
        <f>[1]!'1432.TW-SimulateTime'</f>
        <v>13:29:54</v>
      </c>
      <c r="F1432">
        <f>[1]!'1432.TW-Price'</f>
        <v>5.9</v>
      </c>
    </row>
    <row r="1434" spans="1:6" x14ac:dyDescent="0.25">
      <c r="A1434" t="str">
        <f>[1]!'1434.TW-ID'</f>
        <v>1434</v>
      </c>
      <c r="B1434" t="str">
        <f>[1]!'1434.TW-Name'</f>
        <v>福懋</v>
      </c>
      <c r="C1434">
        <f>[1]!'1434.TW-SimulatePrice'</f>
        <v>33.9</v>
      </c>
      <c r="D1434">
        <f>[1]!'1434.TW-PreClose'</f>
        <v>33.6</v>
      </c>
      <c r="E1434" t="str">
        <f>[1]!'1434.TW-SimulateTime'</f>
        <v>13:29:57</v>
      </c>
      <c r="F1434">
        <f>[1]!'1434.TW-Price'</f>
        <v>33.9</v>
      </c>
    </row>
    <row r="1435" spans="1:6" x14ac:dyDescent="0.25">
      <c r="A1435" t="str">
        <f>[1]!'1435.TW-ID'</f>
        <v>1435</v>
      </c>
      <c r="B1435" t="str">
        <f>[1]!'1435.TW-Name'</f>
        <v>中福</v>
      </c>
      <c r="C1435">
        <f>[1]!'1435.TW-SimulatePrice'</f>
        <v>8.09</v>
      </c>
      <c r="D1435">
        <f>[1]!'1435.TW-PreClose'</f>
        <v>8.0500000000000007</v>
      </c>
      <c r="E1435" t="str">
        <f>[1]!'1435.TW-SimulateTime'</f>
        <v>13:29:57</v>
      </c>
      <c r="F1435">
        <f>[1]!'1435.TW-Price'</f>
        <v>8.09</v>
      </c>
    </row>
    <row r="1436" spans="1:6" x14ac:dyDescent="0.25">
      <c r="A1436" t="str">
        <f>[1]!'1436.TW-ID'</f>
        <v>1436</v>
      </c>
      <c r="B1436" t="str">
        <f>[1]!'1436.TW-Name'</f>
        <v>華友聯</v>
      </c>
      <c r="C1436">
        <f>[1]!'1436.TW-SimulatePrice'</f>
        <v>37.200000000000003</v>
      </c>
      <c r="D1436">
        <f>[1]!'1436.TW-PreClose'</f>
        <v>37</v>
      </c>
      <c r="E1436" t="str">
        <f>[1]!'1436.TW-SimulateTime'</f>
        <v>13:26:29</v>
      </c>
      <c r="F1436">
        <f>[1]!'1436.TW-Price'</f>
        <v>37.200000000000003</v>
      </c>
    </row>
    <row r="1437" spans="1:6" x14ac:dyDescent="0.25">
      <c r="A1437" t="str">
        <f>[1]!'1437.TW-ID'</f>
        <v>1437</v>
      </c>
      <c r="B1437" t="str">
        <f>[1]!'1437.TW-Name'</f>
        <v>勤益控</v>
      </c>
      <c r="C1437">
        <f>[1]!'1437.TW-SimulatePrice'</f>
        <v>20.350000000000001</v>
      </c>
      <c r="D1437">
        <f>[1]!'1437.TW-PreClose'</f>
        <v>20.25</v>
      </c>
      <c r="E1437" t="str">
        <f>[1]!'1437.TW-SimulateTime'</f>
        <v>13:28:47</v>
      </c>
      <c r="F1437">
        <f>[1]!'1437.TW-Price'</f>
        <v>20.350000000000001</v>
      </c>
    </row>
    <row r="1438" spans="1:6" x14ac:dyDescent="0.25">
      <c r="A1438" t="str">
        <f>[1]!'1438.TW-ID'</f>
        <v>1438</v>
      </c>
      <c r="B1438" t="str">
        <f>[1]!'1438.TW-Name'</f>
        <v>裕豐</v>
      </c>
      <c r="C1438">
        <f>[1]!'1438.TW-SimulatePrice'</f>
        <v>11.7</v>
      </c>
      <c r="D1438">
        <f>[1]!'1438.TW-PreClose'</f>
        <v>11.5</v>
      </c>
      <c r="E1438" t="str">
        <f>[1]!'1438.TW-SimulateTime'</f>
        <v>13:26:45</v>
      </c>
      <c r="F1438">
        <f>[1]!'1438.TW-Price'</f>
        <v>11.7</v>
      </c>
    </row>
    <row r="1439" spans="1:6" x14ac:dyDescent="0.25">
      <c r="A1439" t="str">
        <f>[1]!'1439.TW-ID'</f>
        <v>1439</v>
      </c>
      <c r="B1439" t="str">
        <f>[1]!'1439.TW-Name'</f>
        <v>中和</v>
      </c>
      <c r="C1439">
        <f>[1]!'1439.TW-SimulatePrice'</f>
        <v>34.450000000000003</v>
      </c>
      <c r="D1439">
        <f>[1]!'1439.TW-PreClose'</f>
        <v>34.700000000000003</v>
      </c>
      <c r="E1439" t="str">
        <f>[1]!'1439.TW-SimulateTime'</f>
        <v>13:29:46</v>
      </c>
      <c r="F1439">
        <f>[1]!'1439.TW-Price'</f>
        <v>34.450000000000003</v>
      </c>
    </row>
    <row r="1440" spans="1:6" x14ac:dyDescent="0.25">
      <c r="A1440" t="str">
        <f>[1]!'1440.TW-ID'</f>
        <v>1440</v>
      </c>
      <c r="B1440" t="str">
        <f>[1]!'1440.TW-Name'</f>
        <v>南紡</v>
      </c>
      <c r="C1440">
        <f>[1]!'1440.TW-SimulatePrice'</f>
        <v>8.61</v>
      </c>
      <c r="D1440">
        <f>[1]!'1440.TW-PreClose'</f>
        <v>8.57</v>
      </c>
      <c r="E1440" t="str">
        <f>[1]!'1440.TW-SimulateTime'</f>
        <v>13:29:36</v>
      </c>
      <c r="F1440">
        <f>[1]!'1440.TW-Price'</f>
        <v>8.61</v>
      </c>
    </row>
    <row r="1441" spans="1:6" x14ac:dyDescent="0.25">
      <c r="A1441" t="str">
        <f>[1]!'1441.TW-ID'</f>
        <v>1441</v>
      </c>
      <c r="B1441" t="str">
        <f>[1]!'1441.TW-Name'</f>
        <v>大東</v>
      </c>
      <c r="C1441">
        <f>[1]!'1441.TW-SimulatePrice'</f>
        <v>6.91</v>
      </c>
      <c r="D1441">
        <f>[1]!'1441.TW-PreClose'</f>
        <v>7.09</v>
      </c>
      <c r="E1441" t="str">
        <f>[1]!'1441.TW-SimulateTime'</f>
        <v>13:27:19</v>
      </c>
      <c r="F1441">
        <f>[1]!'1441.TW-Price'</f>
        <v>6.91</v>
      </c>
    </row>
    <row r="1442" spans="1:6" x14ac:dyDescent="0.25">
      <c r="A1442" t="str">
        <f>[1]!'1442.TW-ID'</f>
        <v>1442</v>
      </c>
      <c r="B1442" t="str">
        <f>[1]!'1442.TW-Name'</f>
        <v>名軒</v>
      </c>
      <c r="C1442" t="str">
        <f>[1]!'1442.TW-SimulatePrice'</f>
        <v>--</v>
      </c>
      <c r="D1442">
        <f>[1]!'1442.TW-PreClose'</f>
        <v>17.600000000000001</v>
      </c>
      <c r="E1442" t="str">
        <f>[1]!'1442.TW-SimulateTime'</f>
        <v>--</v>
      </c>
      <c r="F1442">
        <f>[1]!'1442.TW-Price'</f>
        <v>17.399999999999999</v>
      </c>
    </row>
    <row r="1443" spans="1:6" x14ac:dyDescent="0.25">
      <c r="A1443" t="str">
        <f>[1]!'1443.TW-ID'</f>
        <v>1443</v>
      </c>
      <c r="B1443" t="str">
        <f>[1]!'1443.TW-Name'</f>
        <v>立益</v>
      </c>
      <c r="C1443" t="str">
        <f>[1]!'1443.TW-SimulatePrice'</f>
        <v>--</v>
      </c>
      <c r="D1443">
        <f>[1]!'1443.TW-PreClose'</f>
        <v>8.75</v>
      </c>
      <c r="E1443" t="str">
        <f>[1]!'1443.TW-SimulateTime'</f>
        <v>--</v>
      </c>
      <c r="F1443">
        <f>[1]!'1443.TW-Price'</f>
        <v>8.6999999999999993</v>
      </c>
    </row>
    <row r="1444" spans="1:6" x14ac:dyDescent="0.25">
      <c r="A1444" t="str">
        <f>[1]!'1444.TW-ID'</f>
        <v>1444</v>
      </c>
      <c r="B1444" t="str">
        <f>[1]!'1444.TW-Name'</f>
        <v>力麗</v>
      </c>
      <c r="C1444">
        <f>[1]!'1444.TW-SimulatePrice'</f>
        <v>6.68</v>
      </c>
      <c r="D1444">
        <f>[1]!'1444.TW-PreClose'</f>
        <v>6.68</v>
      </c>
      <c r="E1444" t="str">
        <f>[1]!'1444.TW-SimulateTime'</f>
        <v>13:29:53</v>
      </c>
      <c r="F1444">
        <f>[1]!'1444.TW-Price'</f>
        <v>6.68</v>
      </c>
    </row>
    <row r="1445" spans="1:6" x14ac:dyDescent="0.25">
      <c r="A1445" t="str">
        <f>[1]!'1445.TW-ID'</f>
        <v>1445</v>
      </c>
      <c r="B1445" t="str">
        <f>[1]!'1445.TW-Name'</f>
        <v>大宇</v>
      </c>
      <c r="C1445">
        <f>[1]!'1445.TW-SimulatePrice'</f>
        <v>8.34</v>
      </c>
      <c r="D1445">
        <f>[1]!'1445.TW-PreClose'</f>
        <v>8.3699999999999992</v>
      </c>
      <c r="E1445" t="str">
        <f>[1]!'1445.TW-SimulateTime'</f>
        <v>13:29:30</v>
      </c>
      <c r="F1445">
        <f>[1]!'1445.TW-Price'</f>
        <v>8.34</v>
      </c>
    </row>
    <row r="1446" spans="1:6" x14ac:dyDescent="0.25">
      <c r="A1446" t="str">
        <f>[1]!'1446.TW-ID'</f>
        <v>1446</v>
      </c>
      <c r="B1446" t="str">
        <f>[1]!'1446.TW-Name'</f>
        <v>宏和</v>
      </c>
      <c r="C1446">
        <f>[1]!'1446.TW-SimulatePrice'</f>
        <v>28.6</v>
      </c>
      <c r="D1446">
        <f>[1]!'1446.TW-PreClose'</f>
        <v>28.3</v>
      </c>
      <c r="E1446" t="str">
        <f>[1]!'1446.TW-SimulateTime'</f>
        <v>13:29:05</v>
      </c>
      <c r="F1446">
        <f>[1]!'1446.TW-Price'</f>
        <v>28.6</v>
      </c>
    </row>
    <row r="1447" spans="1:6" x14ac:dyDescent="0.25">
      <c r="A1447" t="str">
        <f>[1]!'1447.TW-ID'</f>
        <v>1447</v>
      </c>
      <c r="B1447" t="str">
        <f>[1]!'1447.TW-Name'</f>
        <v>力鵬</v>
      </c>
      <c r="C1447">
        <f>[1]!'1447.TW-SimulatePrice'</f>
        <v>5.71</v>
      </c>
      <c r="D1447">
        <f>[1]!'1447.TW-PreClose'</f>
        <v>5.8</v>
      </c>
      <c r="E1447" t="str">
        <f>[1]!'1447.TW-SimulateTime'</f>
        <v>13:29:03</v>
      </c>
      <c r="F1447">
        <f>[1]!'1447.TW-Price'</f>
        <v>5.71</v>
      </c>
    </row>
    <row r="1449" spans="1:6" x14ac:dyDescent="0.25">
      <c r="A1449" t="str">
        <f>[1]!'1449.TW-ID'</f>
        <v>1449</v>
      </c>
      <c r="B1449" t="str">
        <f>[1]!'1449.TW-Name'</f>
        <v>佳和</v>
      </c>
      <c r="C1449">
        <f>[1]!'1449.TW-SimulatePrice'</f>
        <v>13.95</v>
      </c>
      <c r="D1449">
        <f>[1]!'1449.TW-PreClose'</f>
        <v>14.1</v>
      </c>
      <c r="E1449" t="str">
        <f>[1]!'1449.TW-SimulateTime'</f>
        <v>13:29:47</v>
      </c>
      <c r="F1449">
        <f>[1]!'1449.TW-Price'</f>
        <v>13.95</v>
      </c>
    </row>
    <row r="1451" spans="1:6" x14ac:dyDescent="0.25">
      <c r="A1451" t="str">
        <f>[1]!'1451.TW-ID'</f>
        <v>1451</v>
      </c>
      <c r="B1451" t="str">
        <f>[1]!'1451.TW-Name'</f>
        <v>年興</v>
      </c>
      <c r="C1451">
        <f>[1]!'1451.TW-SimulatePrice'</f>
        <v>14.15</v>
      </c>
      <c r="D1451">
        <f>[1]!'1451.TW-PreClose'</f>
        <v>14.5</v>
      </c>
      <c r="E1451" t="str">
        <f>[1]!'1451.TW-SimulateTime'</f>
        <v>13:29:51</v>
      </c>
      <c r="F1451">
        <f>[1]!'1451.TW-Price'</f>
        <v>14.15</v>
      </c>
    </row>
    <row r="1452" spans="1:6" x14ac:dyDescent="0.25">
      <c r="A1452" t="str">
        <f>[1]!'1452.TW-ID'</f>
        <v>1452</v>
      </c>
      <c r="B1452" t="str">
        <f>[1]!'1452.TW-Name'</f>
        <v>宏益</v>
      </c>
      <c r="C1452">
        <f>[1]!'1452.TW-SimulatePrice'</f>
        <v>16.8</v>
      </c>
      <c r="D1452">
        <f>[1]!'1452.TW-PreClose'</f>
        <v>16.850000000000001</v>
      </c>
      <c r="E1452" t="str">
        <f>[1]!'1452.TW-SimulateTime'</f>
        <v>13:29:54</v>
      </c>
      <c r="F1452">
        <f>[1]!'1452.TW-Price'</f>
        <v>16.8</v>
      </c>
    </row>
    <row r="1453" spans="1:6" x14ac:dyDescent="0.25">
      <c r="A1453" t="str">
        <f>[1]!'1453.TW-ID'</f>
        <v>1453</v>
      </c>
      <c r="B1453" t="str">
        <f>[1]!'1453.TW-Name'</f>
        <v>大將</v>
      </c>
      <c r="C1453">
        <f>[1]!'1453.TW-SimulatePrice'</f>
        <v>6.83</v>
      </c>
      <c r="D1453">
        <f>[1]!'1453.TW-PreClose'</f>
        <v>6.92</v>
      </c>
      <c r="E1453" t="str">
        <f>[1]!'1453.TW-SimulateTime'</f>
        <v>13:28:04</v>
      </c>
      <c r="F1453">
        <f>[1]!'1453.TW-Price'</f>
        <v>6.98</v>
      </c>
    </row>
    <row r="1454" spans="1:6" x14ac:dyDescent="0.25">
      <c r="A1454" t="str">
        <f>[1]!'1454.TW-ID'</f>
        <v>1454</v>
      </c>
      <c r="B1454" t="str">
        <f>[1]!'1454.TW-Name'</f>
        <v>台富</v>
      </c>
      <c r="C1454">
        <f>[1]!'1454.TW-SimulatePrice'</f>
        <v>7.83</v>
      </c>
      <c r="D1454">
        <f>[1]!'1454.TW-PreClose'</f>
        <v>7.8</v>
      </c>
      <c r="E1454" t="str">
        <f>[1]!'1454.TW-SimulateTime'</f>
        <v>13:27:21</v>
      </c>
      <c r="F1454">
        <f>[1]!'1454.TW-Price'</f>
        <v>7.83</v>
      </c>
    </row>
    <row r="1455" spans="1:6" x14ac:dyDescent="0.25">
      <c r="A1455" t="str">
        <f>[1]!'1455.TW-ID'</f>
        <v>1455</v>
      </c>
      <c r="B1455" t="str">
        <f>[1]!'1455.TW-Name'</f>
        <v>集盛</v>
      </c>
      <c r="C1455">
        <f>[1]!'1455.TW-SimulatePrice'</f>
        <v>6.85</v>
      </c>
      <c r="D1455">
        <f>[1]!'1455.TW-PreClose'</f>
        <v>7.05</v>
      </c>
      <c r="E1455" t="str">
        <f>[1]!'1455.TW-SimulateTime'</f>
        <v>13:29:56</v>
      </c>
      <c r="F1455">
        <f>[1]!'1455.TW-Price'</f>
        <v>6.85</v>
      </c>
    </row>
    <row r="1456" spans="1:6" x14ac:dyDescent="0.25">
      <c r="A1456" t="str">
        <f>[1]!'1456.TW-ID'</f>
        <v>1456</v>
      </c>
      <c r="B1456" t="str">
        <f>[1]!'1456.TW-Name'</f>
        <v>怡華</v>
      </c>
      <c r="C1456">
        <f>[1]!'1456.TW-SimulatePrice'</f>
        <v>8.1199999999999992</v>
      </c>
      <c r="D1456">
        <f>[1]!'1456.TW-PreClose'</f>
        <v>8.1199999999999992</v>
      </c>
      <c r="E1456" t="str">
        <f>[1]!'1456.TW-SimulateTime'</f>
        <v>13:29:08</v>
      </c>
      <c r="F1456">
        <f>[1]!'1456.TW-Price'</f>
        <v>8.1199999999999992</v>
      </c>
    </row>
    <row r="1457" spans="1:6" x14ac:dyDescent="0.25">
      <c r="A1457" t="str">
        <f>[1]!'1457.TW-ID'</f>
        <v>1457</v>
      </c>
      <c r="B1457" t="str">
        <f>[1]!'1457.TW-Name'</f>
        <v>宜進</v>
      </c>
      <c r="C1457">
        <f>[1]!'1457.TW-SimulatePrice'</f>
        <v>12.1</v>
      </c>
      <c r="D1457">
        <f>[1]!'1457.TW-PreClose'</f>
        <v>12.2</v>
      </c>
      <c r="E1457" t="str">
        <f>[1]!'1457.TW-SimulateTime'</f>
        <v>13:29:55</v>
      </c>
      <c r="F1457">
        <f>[1]!'1457.TW-Price'</f>
        <v>12.1</v>
      </c>
    </row>
    <row r="1459" spans="1:6" x14ac:dyDescent="0.25">
      <c r="A1459" t="str">
        <f>[1]!'1459.TW-ID'</f>
        <v>1459</v>
      </c>
      <c r="B1459" t="str">
        <f>[1]!'1459.TW-Name'</f>
        <v>聯發</v>
      </c>
      <c r="C1459">
        <f>[1]!'1459.TW-SimulatePrice'</f>
        <v>6.7</v>
      </c>
      <c r="D1459">
        <f>[1]!'1459.TW-PreClose'</f>
        <v>6.72</v>
      </c>
      <c r="E1459" t="str">
        <f>[1]!'1459.TW-SimulateTime'</f>
        <v>13:29:10</v>
      </c>
      <c r="F1459">
        <f>[1]!'1459.TW-Price'</f>
        <v>6.7</v>
      </c>
    </row>
    <row r="1460" spans="1:6" x14ac:dyDescent="0.25">
      <c r="A1460" t="str">
        <f>[1]!'1460.TW-ID'</f>
        <v>1460</v>
      </c>
      <c r="B1460" t="str">
        <f>[1]!'1460.TW-Name'</f>
        <v>宏遠</v>
      </c>
      <c r="C1460">
        <f>[1]!'1460.TW-SimulatePrice'</f>
        <v>7.61</v>
      </c>
      <c r="D1460">
        <f>[1]!'1460.TW-PreClose'</f>
        <v>8.08</v>
      </c>
      <c r="E1460" t="str">
        <f>[1]!'1460.TW-SimulateTime'</f>
        <v>13:29:55</v>
      </c>
      <c r="F1460">
        <f>[1]!'1460.TW-Price'</f>
        <v>7.61</v>
      </c>
    </row>
    <row r="1463" spans="1:6" x14ac:dyDescent="0.25">
      <c r="A1463" t="str">
        <f>[1]!'1463.TW-ID'</f>
        <v>1463</v>
      </c>
      <c r="B1463" t="str">
        <f>[1]!'1463.TW-Name'</f>
        <v>強盛</v>
      </c>
      <c r="C1463" t="str">
        <f>[1]!'1463.TW-SimulatePrice'</f>
        <v>--</v>
      </c>
      <c r="D1463">
        <f>[1]!'1463.TW-PreClose'</f>
        <v>11.35</v>
      </c>
      <c r="E1463" t="str">
        <f>[1]!'1463.TW-SimulateTime'</f>
        <v>--</v>
      </c>
      <c r="F1463">
        <f>[1]!'1463.TW-Price'</f>
        <v>11.45</v>
      </c>
    </row>
    <row r="1464" spans="1:6" x14ac:dyDescent="0.25">
      <c r="A1464" t="str">
        <f>[1]!'1464.TW-ID'</f>
        <v>1464</v>
      </c>
      <c r="B1464" t="str">
        <f>[1]!'1464.TW-Name'</f>
        <v>得力</v>
      </c>
      <c r="C1464">
        <f>[1]!'1464.TW-SimulatePrice'</f>
        <v>20.25</v>
      </c>
      <c r="D1464">
        <f>[1]!'1464.TW-PreClose'</f>
        <v>20.350000000000001</v>
      </c>
      <c r="E1464" t="str">
        <f>[1]!'1464.TW-SimulateTime'</f>
        <v>13:29:52</v>
      </c>
      <c r="F1464">
        <f>[1]!'1464.TW-Price'</f>
        <v>20.25</v>
      </c>
    </row>
    <row r="1465" spans="1:6" x14ac:dyDescent="0.25">
      <c r="A1465" t="str">
        <f>[1]!'1465.TW-ID'</f>
        <v>1465</v>
      </c>
      <c r="B1465" t="str">
        <f>[1]!'1465.TW-Name'</f>
        <v>偉全</v>
      </c>
      <c r="C1465">
        <f>[1]!'1465.TW-SimulatePrice'</f>
        <v>15.3</v>
      </c>
      <c r="D1465">
        <f>[1]!'1465.TW-PreClose'</f>
        <v>15.4</v>
      </c>
      <c r="E1465" t="str">
        <f>[1]!'1465.TW-SimulateTime'</f>
        <v>13:29:45</v>
      </c>
      <c r="F1465">
        <f>[1]!'1465.TW-Price'</f>
        <v>15.3</v>
      </c>
    </row>
    <row r="1466" spans="1:6" x14ac:dyDescent="0.25">
      <c r="A1466" t="str">
        <f>[1]!'1466.TW-ID'</f>
        <v>1466</v>
      </c>
      <c r="B1466" t="str">
        <f>[1]!'1466.TW-Name'</f>
        <v>聚隆</v>
      </c>
      <c r="C1466" t="str">
        <f>[1]!'1466.TW-SimulatePrice'</f>
        <v>--</v>
      </c>
      <c r="D1466">
        <f>[1]!'1466.TW-PreClose'</f>
        <v>7.76</v>
      </c>
      <c r="E1466" t="str">
        <f>[1]!'1466.TW-SimulateTime'</f>
        <v>--</v>
      </c>
      <c r="F1466" t="str">
        <f>[1]!'1466.TW-Price'</f>
        <v>--</v>
      </c>
    </row>
    <row r="1467" spans="1:6" x14ac:dyDescent="0.25">
      <c r="A1467" t="str">
        <f>[1]!'1467.TW-ID'</f>
        <v>1467</v>
      </c>
      <c r="B1467" t="str">
        <f>[1]!'1467.TW-Name'</f>
        <v>南緯</v>
      </c>
      <c r="C1467">
        <f>[1]!'1467.TW-SimulatePrice'</f>
        <v>10.050000000000001</v>
      </c>
      <c r="D1467">
        <f>[1]!'1467.TW-PreClose'</f>
        <v>10.15</v>
      </c>
      <c r="E1467" t="str">
        <f>[1]!'1467.TW-SimulateTime'</f>
        <v>13:29:44</v>
      </c>
      <c r="F1467">
        <f>[1]!'1467.TW-Price'</f>
        <v>10.050000000000001</v>
      </c>
    </row>
    <row r="1468" spans="1:6" x14ac:dyDescent="0.25">
      <c r="A1468" t="str">
        <f>[1]!'1468.TW-ID'</f>
        <v>1468</v>
      </c>
      <c r="B1468" t="str">
        <f>[1]!'1468.TW-Name'</f>
        <v>昶和</v>
      </c>
      <c r="C1468" t="str">
        <f>[1]!'1468.TW-SimulatePrice'</f>
        <v>--</v>
      </c>
      <c r="D1468">
        <f>[1]!'1468.TW-PreClose'</f>
        <v>9.94</v>
      </c>
      <c r="E1468" t="str">
        <f>[1]!'1468.TW-SimulateTime'</f>
        <v>--</v>
      </c>
      <c r="F1468">
        <f>[1]!'1468.TW-Price'</f>
        <v>9.86</v>
      </c>
    </row>
    <row r="1470" spans="1:6" x14ac:dyDescent="0.25">
      <c r="A1470" t="str">
        <f>[1]!'1470.TW-ID'</f>
        <v>1470</v>
      </c>
      <c r="B1470" t="str">
        <f>[1]!'1470.TW-Name'</f>
        <v>大統新創</v>
      </c>
      <c r="C1470" t="str">
        <f>[1]!'1470.TW-SimulatePrice'</f>
        <v>--</v>
      </c>
      <c r="D1470">
        <f>[1]!'1470.TW-PreClose'</f>
        <v>19.05</v>
      </c>
      <c r="E1470" t="str">
        <f>[1]!'1470.TW-SimulateTime'</f>
        <v>--</v>
      </c>
      <c r="F1470" t="str">
        <f>[1]!'1470.TW-Price'</f>
        <v>--</v>
      </c>
    </row>
    <row r="1471" spans="1:6" x14ac:dyDescent="0.25">
      <c r="A1471" t="str">
        <f>[1]!'1471.TW-ID'</f>
        <v>1471</v>
      </c>
      <c r="B1471" t="str">
        <f>[1]!'1471.TW-Name'</f>
        <v>首利</v>
      </c>
      <c r="C1471">
        <f>[1]!'1471.TW-SimulatePrice'</f>
        <v>2.27</v>
      </c>
      <c r="D1471">
        <f>[1]!'1471.TW-PreClose'</f>
        <v>2.16</v>
      </c>
      <c r="E1471" t="str">
        <f>[1]!'1471.TW-SimulateTime'</f>
        <v>13:29:49</v>
      </c>
      <c r="F1471">
        <f>[1]!'1471.TW-Price'</f>
        <v>2.27</v>
      </c>
    </row>
    <row r="1472" spans="1:6" x14ac:dyDescent="0.25">
      <c r="A1472" t="str">
        <f>[1]!'1472.TW-ID'</f>
        <v>1472</v>
      </c>
      <c r="B1472" t="str">
        <f>[1]!'1472.TW-Name'</f>
        <v>三洋紡</v>
      </c>
      <c r="C1472">
        <f>[1]!'1472.TW-SimulatePrice'</f>
        <v>10.45</v>
      </c>
      <c r="D1472">
        <f>[1]!'1472.TW-PreClose'</f>
        <v>11</v>
      </c>
      <c r="E1472" t="str">
        <f>[1]!'1472.TW-SimulateTime'</f>
        <v>13:29:53</v>
      </c>
      <c r="F1472">
        <f>[1]!'1472.TW-Price'</f>
        <v>10.45</v>
      </c>
    </row>
    <row r="1473" spans="1:6" x14ac:dyDescent="0.25">
      <c r="A1473" t="str">
        <f>[1]!'1473.TW-ID'</f>
        <v>1473</v>
      </c>
      <c r="B1473" t="str">
        <f>[1]!'1473.TW-Name'</f>
        <v>台南</v>
      </c>
      <c r="C1473">
        <f>[1]!'1473.TW-SimulatePrice'</f>
        <v>19.149999999999999</v>
      </c>
      <c r="D1473">
        <f>[1]!'1473.TW-PreClose'</f>
        <v>19.399999999999999</v>
      </c>
      <c r="E1473" t="str">
        <f>[1]!'1473.TW-SimulateTime'</f>
        <v>13:28:55</v>
      </c>
      <c r="F1473">
        <f>[1]!'1473.TW-Price'</f>
        <v>19.149999999999999</v>
      </c>
    </row>
    <row r="1474" spans="1:6" x14ac:dyDescent="0.25">
      <c r="A1474" t="str">
        <f>[1]!'1474.TW-ID'</f>
        <v>1474</v>
      </c>
      <c r="B1474" t="str">
        <f>[1]!'1474.TW-Name'</f>
        <v>弘裕</v>
      </c>
      <c r="C1474">
        <f>[1]!'1474.TW-SimulatePrice'</f>
        <v>9.5299999999999994</v>
      </c>
      <c r="D1474">
        <f>[1]!'1474.TW-PreClose'</f>
        <v>9.51</v>
      </c>
      <c r="E1474" t="str">
        <f>[1]!'1474.TW-SimulateTime'</f>
        <v>13:29:59</v>
      </c>
      <c r="F1474">
        <f>[1]!'1474.TW-Price'</f>
        <v>9.5299999999999994</v>
      </c>
    </row>
    <row r="1475" spans="1:6" x14ac:dyDescent="0.25">
      <c r="A1475" t="str">
        <f>[1]!'1475.TW-ID'</f>
        <v>1475</v>
      </c>
      <c r="B1475" t="str">
        <f>[1]!'1475.TW-Name'</f>
        <v>本盟</v>
      </c>
      <c r="C1475" t="str">
        <f>[1]!'1475.TW-SimulatePrice'</f>
        <v>--</v>
      </c>
      <c r="D1475">
        <f>[1]!'1475.TW-PreClose'</f>
        <v>15.5</v>
      </c>
      <c r="E1475" t="str">
        <f>[1]!'1475.TW-SimulateTime'</f>
        <v>--</v>
      </c>
      <c r="F1475">
        <f>[1]!'1475.TW-Price'</f>
        <v>15.5</v>
      </c>
    </row>
    <row r="1476" spans="1:6" x14ac:dyDescent="0.25">
      <c r="A1476" t="str">
        <f>[1]!'1476.TW-ID'</f>
        <v>1476</v>
      </c>
      <c r="B1476" t="str">
        <f>[1]!'1476.TW-Name'</f>
        <v>儒鴻</v>
      </c>
      <c r="C1476">
        <f>[1]!'1476.TW-SimulatePrice'</f>
        <v>269.5</v>
      </c>
      <c r="D1476">
        <f>[1]!'1476.TW-PreClose'</f>
        <v>263</v>
      </c>
      <c r="E1476" t="str">
        <f>[1]!'1476.TW-SimulateTime'</f>
        <v>13:29:59</v>
      </c>
      <c r="F1476">
        <f>[1]!'1476.TW-Price'</f>
        <v>269.5</v>
      </c>
    </row>
    <row r="1477" spans="1:6" x14ac:dyDescent="0.25">
      <c r="A1477" t="str">
        <f>[1]!'1477.TW-ID'</f>
        <v>1477</v>
      </c>
      <c r="B1477" t="str">
        <f>[1]!'1477.TW-Name'</f>
        <v>聚陽</v>
      </c>
      <c r="C1477">
        <f>[1]!'1477.TW-SimulatePrice'</f>
        <v>119</v>
      </c>
      <c r="D1477">
        <f>[1]!'1477.TW-PreClose'</f>
        <v>114</v>
      </c>
      <c r="E1477" t="str">
        <f>[1]!'1477.TW-SimulateTime'</f>
        <v>13:29:58</v>
      </c>
      <c r="F1477">
        <f>[1]!'1477.TW-Price'</f>
        <v>118.5</v>
      </c>
    </row>
    <row r="1503" spans="1:6" x14ac:dyDescent="0.25">
      <c r="A1503" t="str">
        <f>[1]!'1503.TW-ID'</f>
        <v>1503</v>
      </c>
      <c r="B1503" t="str">
        <f>[1]!'1503.TW-Name'</f>
        <v>士電</v>
      </c>
      <c r="C1503">
        <f>[1]!'1503.TW-SimulatePrice'</f>
        <v>43.3</v>
      </c>
      <c r="D1503">
        <f>[1]!'1503.TW-PreClose'</f>
        <v>42.7</v>
      </c>
      <c r="E1503" t="str">
        <f>[1]!'1503.TW-SimulateTime'</f>
        <v>13:29:52</v>
      </c>
      <c r="F1503">
        <f>[1]!'1503.TW-Price'</f>
        <v>43.3</v>
      </c>
    </row>
    <row r="1504" spans="1:6" x14ac:dyDescent="0.25">
      <c r="A1504" t="str">
        <f>[1]!'1504.TW-ID'</f>
        <v>1504</v>
      </c>
      <c r="B1504" t="str">
        <f>[1]!'1504.TW-Name'</f>
        <v>東元</v>
      </c>
      <c r="C1504">
        <f>[1]!'1504.TW-SimulatePrice'</f>
        <v>26.95</v>
      </c>
      <c r="D1504">
        <f>[1]!'1504.TW-PreClose'</f>
        <v>26.9</v>
      </c>
      <c r="E1504" t="str">
        <f>[1]!'1504.TW-SimulateTime'</f>
        <v>13:29:59</v>
      </c>
      <c r="F1504">
        <f>[1]!'1504.TW-Price'</f>
        <v>26.95</v>
      </c>
    </row>
    <row r="1506" spans="1:6" x14ac:dyDescent="0.25">
      <c r="A1506" t="str">
        <f>[1]!'1506.TW-ID'</f>
        <v>1506</v>
      </c>
      <c r="B1506" t="str">
        <f>[1]!'1506.TW-Name'</f>
        <v>正道</v>
      </c>
      <c r="C1506">
        <f>[1]!'1506.TW-SimulatePrice'</f>
        <v>13.3</v>
      </c>
      <c r="D1506">
        <f>[1]!'1506.TW-PreClose'</f>
        <v>13.4</v>
      </c>
      <c r="E1506" t="str">
        <f>[1]!'1506.TW-SimulateTime'</f>
        <v>13:29:57</v>
      </c>
      <c r="F1506">
        <f>[1]!'1506.TW-Price'</f>
        <v>13.35</v>
      </c>
    </row>
    <row r="1507" spans="1:6" x14ac:dyDescent="0.25">
      <c r="A1507" t="str">
        <f>[1]!'1507.TW-ID'</f>
        <v>1507</v>
      </c>
      <c r="B1507" t="str">
        <f>[1]!'1507.TW-Name'</f>
        <v>永大</v>
      </c>
      <c r="C1507">
        <f>[1]!'1507.TW-SimulatePrice'</f>
        <v>57.2</v>
      </c>
      <c r="D1507">
        <f>[1]!'1507.TW-PreClose'</f>
        <v>58.4</v>
      </c>
      <c r="E1507" t="str">
        <f>[1]!'1507.TW-SimulateTime'</f>
        <v>13:29:55</v>
      </c>
      <c r="F1507">
        <f>[1]!'1507.TW-Price'</f>
        <v>57.2</v>
      </c>
    </row>
    <row r="1512" spans="1:6" x14ac:dyDescent="0.25">
      <c r="A1512" t="str">
        <f>[1]!'1512.TW-ID'</f>
        <v>1512</v>
      </c>
      <c r="B1512" t="str">
        <f>[1]!'1512.TW-Name'</f>
        <v>瑞利</v>
      </c>
      <c r="C1512" t="str">
        <f>[1]!'1512.TW-SimulatePrice'</f>
        <v>--</v>
      </c>
      <c r="D1512">
        <f>[1]!'1512.TW-PreClose'</f>
        <v>3.86</v>
      </c>
      <c r="E1512" t="str">
        <f>[1]!'1512.TW-SimulateTime'</f>
        <v>--</v>
      </c>
      <c r="F1512">
        <f>[1]!'1512.TW-Price'</f>
        <v>4.24</v>
      </c>
    </row>
    <row r="1513" spans="1:6" x14ac:dyDescent="0.25">
      <c r="A1513" t="str">
        <f>[1]!'1513.TW-ID'</f>
        <v>1513</v>
      </c>
      <c r="B1513" t="str">
        <f>[1]!'1513.TW-Name'</f>
        <v>中興電</v>
      </c>
      <c r="C1513">
        <f>[1]!'1513.TW-SimulatePrice'</f>
        <v>27.55</v>
      </c>
      <c r="D1513">
        <f>[1]!'1513.TW-PreClose'</f>
        <v>27.5</v>
      </c>
      <c r="E1513" t="str">
        <f>[1]!'1513.TW-SimulateTime'</f>
        <v>13:29:57</v>
      </c>
      <c r="F1513">
        <f>[1]!'1513.TW-Price'</f>
        <v>27.55</v>
      </c>
    </row>
    <row r="1514" spans="1:6" x14ac:dyDescent="0.25">
      <c r="A1514" t="str">
        <f>[1]!'1514.TW-ID'</f>
        <v>1514</v>
      </c>
      <c r="B1514" t="str">
        <f>[1]!'1514.TW-Name'</f>
        <v>亞力</v>
      </c>
      <c r="C1514">
        <f>[1]!'1514.TW-SimulatePrice'</f>
        <v>20.100000000000001</v>
      </c>
      <c r="D1514">
        <f>[1]!'1514.TW-PreClose'</f>
        <v>20.2</v>
      </c>
      <c r="E1514" t="str">
        <f>[1]!'1514.TW-SimulateTime'</f>
        <v>13:29:55</v>
      </c>
      <c r="F1514">
        <f>[1]!'1514.TW-Price'</f>
        <v>20.100000000000001</v>
      </c>
    </row>
    <row r="1515" spans="1:6" x14ac:dyDescent="0.25">
      <c r="A1515" t="str">
        <f>[1]!'1515.TW-ID'</f>
        <v>1515</v>
      </c>
      <c r="B1515" t="str">
        <f>[1]!'1515.TW-Name'</f>
        <v>力山</v>
      </c>
      <c r="C1515">
        <f>[1]!'1515.TW-SimulatePrice'</f>
        <v>68.5</v>
      </c>
      <c r="D1515">
        <f>[1]!'1515.TW-PreClose'</f>
        <v>69.099999999999994</v>
      </c>
      <c r="E1515" t="str">
        <f>[1]!'1515.TW-SimulateTime'</f>
        <v>13:29:53</v>
      </c>
      <c r="F1515">
        <f>[1]!'1515.TW-Price'</f>
        <v>68.5</v>
      </c>
    </row>
    <row r="1516" spans="1:6" x14ac:dyDescent="0.25">
      <c r="A1516" t="str">
        <f>[1]!'1516.TW-ID'</f>
        <v>1516</v>
      </c>
      <c r="B1516" t="str">
        <f>[1]!'1516.TW-Name'</f>
        <v>川飛</v>
      </c>
      <c r="C1516">
        <f>[1]!'1516.TW-SimulatePrice'</f>
        <v>13.55</v>
      </c>
      <c r="D1516">
        <f>[1]!'1516.TW-PreClose'</f>
        <v>13.9</v>
      </c>
      <c r="E1516" t="str">
        <f>[1]!'1516.TW-SimulateTime'</f>
        <v>13:28:31</v>
      </c>
      <c r="F1516">
        <f>[1]!'1516.TW-Price'</f>
        <v>13.55</v>
      </c>
    </row>
    <row r="1517" spans="1:6" x14ac:dyDescent="0.25">
      <c r="A1517" t="str">
        <f>[1]!'1517.TW-ID'</f>
        <v>1517</v>
      </c>
      <c r="B1517" t="str">
        <f>[1]!'1517.TW-Name'</f>
        <v>利奇</v>
      </c>
      <c r="C1517" t="str">
        <f>[1]!'1517.TW-SimulatePrice'</f>
        <v>--</v>
      </c>
      <c r="D1517">
        <f>[1]!'1517.TW-PreClose'</f>
        <v>7.72</v>
      </c>
      <c r="E1517" t="str">
        <f>[1]!'1517.TW-SimulateTime'</f>
        <v>--</v>
      </c>
      <c r="F1517">
        <f>[1]!'1517.TW-Price'</f>
        <v>7.78</v>
      </c>
    </row>
    <row r="1519" spans="1:6" x14ac:dyDescent="0.25">
      <c r="A1519" t="str">
        <f>[1]!'1519.TW-ID'</f>
        <v>1519</v>
      </c>
      <c r="B1519" t="str">
        <f>[1]!'1519.TW-Name'</f>
        <v>華城</v>
      </c>
      <c r="C1519">
        <f>[1]!'1519.TW-SimulatePrice'</f>
        <v>25.9</v>
      </c>
      <c r="D1519">
        <f>[1]!'1519.TW-PreClose'</f>
        <v>26.85</v>
      </c>
      <c r="E1519" t="str">
        <f>[1]!'1519.TW-SimulateTime'</f>
        <v>13:29:50</v>
      </c>
      <c r="F1519">
        <f>[1]!'1519.TW-Price'</f>
        <v>25.9</v>
      </c>
    </row>
    <row r="1521" spans="1:6" x14ac:dyDescent="0.25">
      <c r="A1521" t="str">
        <f>[1]!'1521.TW-ID'</f>
        <v>1521</v>
      </c>
      <c r="B1521" t="str">
        <f>[1]!'1521.TW-Name'</f>
        <v>大億</v>
      </c>
      <c r="C1521" t="str">
        <f>[1]!'1521.TW-SimulatePrice'</f>
        <v>--</v>
      </c>
      <c r="D1521">
        <f>[1]!'1521.TW-PreClose'</f>
        <v>57.1</v>
      </c>
      <c r="E1521" t="str">
        <f>[1]!'1521.TW-SimulateTime'</f>
        <v>--</v>
      </c>
      <c r="F1521">
        <f>[1]!'1521.TW-Price'</f>
        <v>57</v>
      </c>
    </row>
    <row r="1522" spans="1:6" x14ac:dyDescent="0.25">
      <c r="A1522" t="str">
        <f>[1]!'1522.TW-ID'</f>
        <v>1522</v>
      </c>
      <c r="B1522" t="str">
        <f>[1]!'1522.TW-Name'</f>
        <v>堤維西</v>
      </c>
      <c r="C1522">
        <f>[1]!'1522.TW-SimulatePrice'</f>
        <v>22.8</v>
      </c>
      <c r="D1522">
        <f>[1]!'1522.TW-PreClose'</f>
        <v>23</v>
      </c>
      <c r="E1522" t="str">
        <f>[1]!'1522.TW-SimulateTime'</f>
        <v>13:29:50</v>
      </c>
      <c r="F1522">
        <f>[1]!'1522.TW-Price'</f>
        <v>22.8</v>
      </c>
    </row>
    <row r="1524" spans="1:6" x14ac:dyDescent="0.25">
      <c r="A1524" t="str">
        <f>[1]!'1524.TW-ID'</f>
        <v>1524</v>
      </c>
      <c r="B1524" t="str">
        <f>[1]!'1524.TW-Name'</f>
        <v>耿鼎</v>
      </c>
      <c r="C1524">
        <f>[1]!'1524.TW-SimulatePrice'</f>
        <v>8.85</v>
      </c>
      <c r="D1524">
        <f>[1]!'1524.TW-PreClose'</f>
        <v>8.65</v>
      </c>
      <c r="E1524" t="str">
        <f>[1]!'1524.TW-SimulateTime'</f>
        <v>13:29:50</v>
      </c>
      <c r="F1524">
        <f>[1]!'1524.TW-Price'</f>
        <v>8.85</v>
      </c>
    </row>
    <row r="1525" spans="1:6" x14ac:dyDescent="0.25">
      <c r="A1525" t="str">
        <f>[1]!'1525.TW-ID'</f>
        <v>1525</v>
      </c>
      <c r="B1525" t="str">
        <f>[1]!'1525.TW-Name'</f>
        <v>江申</v>
      </c>
      <c r="C1525">
        <f>[1]!'1525.TW-SimulatePrice'</f>
        <v>42.8</v>
      </c>
      <c r="D1525">
        <f>[1]!'1525.TW-PreClose'</f>
        <v>43.15</v>
      </c>
      <c r="E1525" t="str">
        <f>[1]!'1525.TW-SimulateTime'</f>
        <v>13:29:15</v>
      </c>
      <c r="F1525">
        <f>[1]!'1525.TW-Price'</f>
        <v>42.8</v>
      </c>
    </row>
    <row r="1526" spans="1:6" x14ac:dyDescent="0.25">
      <c r="A1526" t="str">
        <f>[1]!'1526.TW-ID'</f>
        <v>1526</v>
      </c>
      <c r="B1526" t="str">
        <f>[1]!'1526.TW-Name'</f>
        <v>日馳</v>
      </c>
      <c r="C1526">
        <f>[1]!'1526.TW-SimulatePrice'</f>
        <v>18.100000000000001</v>
      </c>
      <c r="D1526">
        <f>[1]!'1526.TW-PreClose'</f>
        <v>18.399999999999999</v>
      </c>
      <c r="E1526" t="str">
        <f>[1]!'1526.TW-SimulateTime'</f>
        <v>13:29:57</v>
      </c>
      <c r="F1526">
        <f>[1]!'1526.TW-Price'</f>
        <v>18.100000000000001</v>
      </c>
    </row>
    <row r="1527" spans="1:6" x14ac:dyDescent="0.25">
      <c r="A1527" t="str">
        <f>[1]!'1527.TW-ID'</f>
        <v>1527</v>
      </c>
      <c r="B1527" t="str">
        <f>[1]!'1527.TW-Name'</f>
        <v>鑽全</v>
      </c>
      <c r="C1527">
        <f>[1]!'1527.TW-SimulatePrice'</f>
        <v>39.4</v>
      </c>
      <c r="D1527">
        <f>[1]!'1527.TW-PreClose'</f>
        <v>38.799999999999997</v>
      </c>
      <c r="E1527" t="str">
        <f>[1]!'1527.TW-SimulateTime'</f>
        <v>13:29:51</v>
      </c>
      <c r="F1527">
        <f>[1]!'1527.TW-Price'</f>
        <v>39.4</v>
      </c>
    </row>
    <row r="1528" spans="1:6" x14ac:dyDescent="0.25">
      <c r="A1528" t="str">
        <f>[1]!'1528.TW-ID'</f>
        <v>1528</v>
      </c>
      <c r="B1528" t="str">
        <f>[1]!'1528.TW-Name'</f>
        <v>恩德</v>
      </c>
      <c r="C1528" t="str">
        <f>[1]!'1528.TW-SimulatePrice'</f>
        <v>--</v>
      </c>
      <c r="D1528">
        <f>[1]!'1528.TW-PreClose'</f>
        <v>7.33</v>
      </c>
      <c r="E1528" t="str">
        <f>[1]!'1528.TW-SimulateTime'</f>
        <v>--</v>
      </c>
      <c r="F1528">
        <f>[1]!'1528.TW-Price'</f>
        <v>7.41</v>
      </c>
    </row>
    <row r="1529" spans="1:6" x14ac:dyDescent="0.25">
      <c r="A1529" t="str">
        <f>[1]!'1529.TW-ID'</f>
        <v>1529</v>
      </c>
      <c r="B1529" t="str">
        <f>[1]!'1529.TW-Name'</f>
        <v>樂士</v>
      </c>
      <c r="C1529">
        <f>[1]!'1529.TW-SimulatePrice'</f>
        <v>13.85</v>
      </c>
      <c r="D1529">
        <f>[1]!'1529.TW-PreClose'</f>
        <v>14.35</v>
      </c>
      <c r="E1529" t="str">
        <f>[1]!'1529.TW-SimulateTime'</f>
        <v>13:28:51</v>
      </c>
      <c r="F1529">
        <f>[1]!'1529.TW-Price'</f>
        <v>13.85</v>
      </c>
    </row>
    <row r="1530" spans="1:6" x14ac:dyDescent="0.25">
      <c r="A1530" t="str">
        <f>[1]!'1530.TW-ID'</f>
        <v>1530</v>
      </c>
      <c r="B1530" t="str">
        <f>[1]!'1530.TW-Name'</f>
        <v>亞崴</v>
      </c>
      <c r="C1530" t="str">
        <f>[1]!'1530.TW-SimulatePrice'</f>
        <v>--</v>
      </c>
      <c r="D1530">
        <f>[1]!'1530.TW-PreClose'</f>
        <v>31.3</v>
      </c>
      <c r="E1530" t="str">
        <f>[1]!'1530.TW-SimulateTime'</f>
        <v>--</v>
      </c>
      <c r="F1530">
        <f>[1]!'1530.TW-Price'</f>
        <v>31.35</v>
      </c>
    </row>
    <row r="1531" spans="1:6" x14ac:dyDescent="0.25">
      <c r="A1531" t="str">
        <f>[1]!'1531.TW-ID'</f>
        <v>1531</v>
      </c>
      <c r="B1531" t="str">
        <f>[1]!'1531.TW-Name'</f>
        <v>高林股</v>
      </c>
      <c r="C1531">
        <f>[1]!'1531.TW-SimulatePrice'</f>
        <v>12.7</v>
      </c>
      <c r="D1531">
        <f>[1]!'1531.TW-PreClose'</f>
        <v>12.7</v>
      </c>
      <c r="E1531" t="str">
        <f>[1]!'1531.TW-SimulateTime'</f>
        <v>13:29:57</v>
      </c>
      <c r="F1531">
        <f>[1]!'1531.TW-Price'</f>
        <v>12.7</v>
      </c>
    </row>
    <row r="1532" spans="1:6" x14ac:dyDescent="0.25">
      <c r="A1532" t="str">
        <f>[1]!'1532.TW-ID'</f>
        <v>1532</v>
      </c>
      <c r="B1532" t="str">
        <f>[1]!'1532.TW-Name'</f>
        <v>勤美</v>
      </c>
      <c r="C1532">
        <f>[1]!'1532.TW-SimulatePrice'</f>
        <v>27.65</v>
      </c>
      <c r="D1532">
        <f>[1]!'1532.TW-PreClose'</f>
        <v>27.15</v>
      </c>
      <c r="E1532" t="str">
        <f>[1]!'1532.TW-SimulateTime'</f>
        <v>13:29:45</v>
      </c>
      <c r="F1532">
        <f>[1]!'1532.TW-Price'</f>
        <v>27.7</v>
      </c>
    </row>
    <row r="1533" spans="1:6" x14ac:dyDescent="0.25">
      <c r="A1533" t="str">
        <f>[1]!'1533.TW-ID'</f>
        <v>1533</v>
      </c>
      <c r="B1533" t="str">
        <f>[1]!'1533.TW-Name'</f>
        <v>車王電</v>
      </c>
      <c r="C1533">
        <f>[1]!'1533.TW-SimulatePrice'</f>
        <v>26</v>
      </c>
      <c r="D1533">
        <f>[1]!'1533.TW-PreClose'</f>
        <v>26.25</v>
      </c>
      <c r="E1533" t="str">
        <f>[1]!'1533.TW-SimulateTime'</f>
        <v>13:28:29</v>
      </c>
      <c r="F1533">
        <f>[1]!'1533.TW-Price'</f>
        <v>26</v>
      </c>
    </row>
    <row r="1535" spans="1:6" x14ac:dyDescent="0.25">
      <c r="A1535" t="str">
        <f>[1]!'1535.TW-ID'</f>
        <v>1535</v>
      </c>
      <c r="B1535" t="str">
        <f>[1]!'1535.TW-Name'</f>
        <v>中宇</v>
      </c>
      <c r="C1535" t="str">
        <f>[1]!'1535.TW-SimulatePrice'</f>
        <v>--</v>
      </c>
      <c r="D1535">
        <f>[1]!'1535.TW-PreClose'</f>
        <v>32.799999999999997</v>
      </c>
      <c r="E1535" t="str">
        <f>[1]!'1535.TW-SimulateTime'</f>
        <v>--</v>
      </c>
      <c r="F1535">
        <f>[1]!'1535.TW-Price'</f>
        <v>32.85</v>
      </c>
    </row>
    <row r="1536" spans="1:6" x14ac:dyDescent="0.25">
      <c r="A1536" t="str">
        <f>[1]!'1536.TW-ID'</f>
        <v>1536</v>
      </c>
      <c r="B1536" t="str">
        <f>[1]!'1536.TW-Name'</f>
        <v>和大</v>
      </c>
      <c r="C1536">
        <f>[1]!'1536.TW-SimulatePrice'</f>
        <v>92.1</v>
      </c>
      <c r="D1536">
        <f>[1]!'1536.TW-PreClose'</f>
        <v>93.9</v>
      </c>
      <c r="E1536" t="str">
        <f>[1]!'1536.TW-SimulateTime'</f>
        <v>13:29:37</v>
      </c>
      <c r="F1536">
        <f>[1]!'1536.TW-Price'</f>
        <v>92.1</v>
      </c>
    </row>
    <row r="1537" spans="1:6" x14ac:dyDescent="0.25">
      <c r="A1537" t="str">
        <f>[1]!'1537.TW-ID'</f>
        <v>1537</v>
      </c>
      <c r="B1537" t="str">
        <f>[1]!'1537.TW-Name'</f>
        <v>廣隆</v>
      </c>
      <c r="C1537">
        <f>[1]!'1537.TW-SimulatePrice'</f>
        <v>142</v>
      </c>
      <c r="D1537">
        <f>[1]!'1537.TW-PreClose'</f>
        <v>143</v>
      </c>
      <c r="E1537" t="str">
        <f>[1]!'1537.TW-SimulateTime'</f>
        <v>13:29:59</v>
      </c>
      <c r="F1537">
        <f>[1]!'1537.TW-Price'</f>
        <v>142</v>
      </c>
    </row>
    <row r="1538" spans="1:6" x14ac:dyDescent="0.25">
      <c r="A1538" t="str">
        <f>[1]!'1538.TW-ID'</f>
        <v>1538</v>
      </c>
      <c r="B1538" t="str">
        <f>[1]!'1538.TW-Name'</f>
        <v>正峰新</v>
      </c>
      <c r="C1538" t="str">
        <f>[1]!'1538.TW-SimulatePrice'</f>
        <v>--</v>
      </c>
      <c r="D1538">
        <f>[1]!'1538.TW-PreClose'</f>
        <v>2.52</v>
      </c>
      <c r="E1538" t="str">
        <f>[1]!'1538.TW-SimulateTime'</f>
        <v>--</v>
      </c>
      <c r="F1538">
        <f>[1]!'1538.TW-Price'</f>
        <v>2.62</v>
      </c>
    </row>
    <row r="1539" spans="1:6" x14ac:dyDescent="0.25">
      <c r="A1539" t="str">
        <f>[1]!'1539.TW-ID'</f>
        <v>1539</v>
      </c>
      <c r="B1539" t="str">
        <f>[1]!'1539.TW-Name'</f>
        <v>巨庭</v>
      </c>
      <c r="C1539">
        <f>[1]!'1539.TW-SimulatePrice'</f>
        <v>17.8</v>
      </c>
      <c r="D1539">
        <f>[1]!'1539.TW-PreClose'</f>
        <v>18.100000000000001</v>
      </c>
      <c r="E1539" t="str">
        <f>[1]!'1539.TW-SimulateTime'</f>
        <v>13:29:58</v>
      </c>
      <c r="F1539">
        <f>[1]!'1539.TW-Price'</f>
        <v>17.8</v>
      </c>
    </row>
    <row r="1540" spans="1:6" x14ac:dyDescent="0.25">
      <c r="A1540" t="str">
        <f>[1]!'1540.TW-ID'</f>
        <v>1540</v>
      </c>
      <c r="B1540" t="str">
        <f>[1]!'1540.TW-Name'</f>
        <v>喬福</v>
      </c>
      <c r="C1540">
        <f>[1]!'1540.TW-SimulatePrice'</f>
        <v>15.9</v>
      </c>
      <c r="D1540">
        <f>[1]!'1540.TW-PreClose'</f>
        <v>15.95</v>
      </c>
      <c r="E1540" t="str">
        <f>[1]!'1540.TW-SimulateTime'</f>
        <v>13:29:16</v>
      </c>
      <c r="F1540">
        <f>[1]!'1540.TW-Price'</f>
        <v>15.9</v>
      </c>
    </row>
    <row r="1541" spans="1:6" x14ac:dyDescent="0.25">
      <c r="A1541" t="str">
        <f>[1]!'1541.TW-ID'</f>
        <v>1541</v>
      </c>
      <c r="B1541" t="str">
        <f>[1]!'1541.TW-Name'</f>
        <v>錩泰</v>
      </c>
      <c r="C1541">
        <f>[1]!'1541.TW-SimulatePrice'</f>
        <v>41.05</v>
      </c>
      <c r="D1541">
        <f>[1]!'1541.TW-PreClose'</f>
        <v>40.799999999999997</v>
      </c>
      <c r="E1541" t="str">
        <f>[1]!'1541.TW-SimulateTime'</f>
        <v>13:28:57</v>
      </c>
      <c r="F1541">
        <f>[1]!'1541.TW-Price'</f>
        <v>41.05</v>
      </c>
    </row>
    <row r="1558" spans="1:6" x14ac:dyDescent="0.25">
      <c r="A1558" t="str">
        <f>[1]!'1558.TW-ID'</f>
        <v>1558</v>
      </c>
      <c r="B1558" t="str">
        <f>[1]!'1558.TW-Name'</f>
        <v>伸興</v>
      </c>
      <c r="C1558">
        <f>[1]!'1558.TW-SimulatePrice'</f>
        <v>131.5</v>
      </c>
      <c r="D1558">
        <f>[1]!'1558.TW-PreClose'</f>
        <v>132</v>
      </c>
      <c r="E1558" t="str">
        <f>[1]!'1558.TW-SimulateTime'</f>
        <v>13:28:05</v>
      </c>
      <c r="F1558">
        <f>[1]!'1558.TW-Price'</f>
        <v>131.5</v>
      </c>
    </row>
    <row r="1560" spans="1:6" x14ac:dyDescent="0.25">
      <c r="A1560" t="str">
        <f>[1]!'1560.TW-ID'</f>
        <v>1560</v>
      </c>
      <c r="B1560" t="str">
        <f>[1]!'1560.TW-Name'</f>
        <v>中砂</v>
      </c>
      <c r="C1560">
        <f>[1]!'1560.TW-SimulatePrice'</f>
        <v>60.2</v>
      </c>
      <c r="D1560">
        <f>[1]!'1560.TW-PreClose'</f>
        <v>60.1</v>
      </c>
      <c r="E1560" t="str">
        <f>[1]!'1560.TW-SimulateTime'</f>
        <v>13:29:52</v>
      </c>
      <c r="F1560">
        <f>[1]!'1560.TW-Price'</f>
        <v>60.2</v>
      </c>
    </row>
    <row r="1568" spans="1:6" x14ac:dyDescent="0.25">
      <c r="A1568" t="str">
        <f>[1]!'1568.TW-ID'</f>
        <v>1568</v>
      </c>
      <c r="B1568" t="str">
        <f>[1]!'1568.TW-Name'</f>
        <v>倉佑</v>
      </c>
      <c r="C1568">
        <f>[1]!'1568.TW-SimulatePrice'</f>
        <v>14.4</v>
      </c>
      <c r="D1568">
        <f>[1]!'1568.TW-PreClose'</f>
        <v>14.2</v>
      </c>
      <c r="E1568" t="str">
        <f>[1]!'1568.TW-SimulateTime'</f>
        <v>13:29:49</v>
      </c>
      <c r="F1568">
        <f>[1]!'1568.TW-Price'</f>
        <v>14.4</v>
      </c>
    </row>
    <row r="1582" spans="1:6" x14ac:dyDescent="0.25">
      <c r="A1582" t="str">
        <f>[1]!'1582.TW-ID'</f>
        <v>1582</v>
      </c>
      <c r="B1582" t="str">
        <f>[1]!'1582.TW-Name'</f>
        <v>信錦</v>
      </c>
      <c r="C1582">
        <f>[1]!'1582.TW-SimulatePrice'</f>
        <v>81.099999999999994</v>
      </c>
      <c r="D1582">
        <f>[1]!'1582.TW-PreClose'</f>
        <v>81.5</v>
      </c>
      <c r="E1582" t="str">
        <f>[1]!'1582.TW-SimulateTime'</f>
        <v>13:29:56</v>
      </c>
      <c r="F1582">
        <f>[1]!'1582.TW-Price'</f>
        <v>81</v>
      </c>
    </row>
    <row r="1583" spans="1:6" x14ac:dyDescent="0.25">
      <c r="A1583" t="str">
        <f>[1]!'1583.TW-ID'</f>
        <v>1583</v>
      </c>
      <c r="B1583" t="str">
        <f>[1]!'1583.TW-Name'</f>
        <v>程泰</v>
      </c>
      <c r="C1583" t="str">
        <f>[1]!'1583.TW-SimulatePrice'</f>
        <v>--</v>
      </c>
      <c r="D1583">
        <f>[1]!'1583.TW-PreClose'</f>
        <v>61.2</v>
      </c>
      <c r="E1583" t="str">
        <f>[1]!'1583.TW-SimulateTime'</f>
        <v>--</v>
      </c>
      <c r="F1583">
        <f>[1]!'1583.TW-Price'</f>
        <v>61</v>
      </c>
    </row>
    <row r="1587" spans="1:6" x14ac:dyDescent="0.25">
      <c r="A1587" t="str">
        <f>[1]!'1587.TW-ID'</f>
        <v>1587</v>
      </c>
      <c r="B1587" t="str">
        <f>[1]!'1587.TW-Name'</f>
        <v>吉茂</v>
      </c>
      <c r="C1587" t="str">
        <f>[1]!'1587.TW-SimulatePrice'</f>
        <v>--</v>
      </c>
      <c r="D1587">
        <f>[1]!'1587.TW-PreClose'</f>
        <v>12.7</v>
      </c>
      <c r="E1587" t="str">
        <f>[1]!'1587.TW-SimulateTime'</f>
        <v>--</v>
      </c>
      <c r="F1587">
        <f>[1]!'1587.TW-Price'</f>
        <v>12.7</v>
      </c>
    </row>
    <row r="1589" spans="1:6" x14ac:dyDescent="0.25">
      <c r="A1589" t="str">
        <f>[1]!'1589.TW-ID'</f>
        <v>1589</v>
      </c>
      <c r="B1589" t="str">
        <f>[1]!'1589.TW-Name'</f>
        <v>永冠-KY</v>
      </c>
      <c r="C1589">
        <f>[1]!'1589.TW-SimulatePrice'</f>
        <v>59.3</v>
      </c>
      <c r="D1589">
        <f>[1]!'1589.TW-PreClose'</f>
        <v>59.3</v>
      </c>
      <c r="E1589" t="str">
        <f>[1]!'1589.TW-SimulateTime'</f>
        <v>13:29:51</v>
      </c>
      <c r="F1589">
        <f>[1]!'1589.TW-Price'</f>
        <v>59.3</v>
      </c>
    </row>
    <row r="1590" spans="1:6" x14ac:dyDescent="0.25">
      <c r="A1590" t="str">
        <f>[1]!'1590.TW-ID'</f>
        <v>1590</v>
      </c>
      <c r="B1590" t="str">
        <f>[1]!'1590.TW-Name'</f>
        <v>亞德客-KY</v>
      </c>
      <c r="C1590">
        <f>[1]!'1590.TW-SimulatePrice'</f>
        <v>556</v>
      </c>
      <c r="D1590">
        <f>[1]!'1590.TW-PreClose'</f>
        <v>523</v>
      </c>
      <c r="E1590" t="str">
        <f>[1]!'1590.TW-SimulateTime'</f>
        <v>13:29:57</v>
      </c>
      <c r="F1590">
        <f>[1]!'1590.TW-Price'</f>
        <v>555</v>
      </c>
    </row>
    <row r="1592" spans="1:6" x14ac:dyDescent="0.25">
      <c r="A1592" t="str">
        <f>[1]!'1592.TW-ID'</f>
        <v>1592</v>
      </c>
      <c r="B1592" t="str">
        <f>[1]!'1592.TW-Name'</f>
        <v>英瑞-KY</v>
      </c>
      <c r="C1592">
        <f>[1]!'1592.TW-SimulatePrice'</f>
        <v>10.55</v>
      </c>
      <c r="D1592">
        <f>[1]!'1592.TW-PreClose'</f>
        <v>10.6</v>
      </c>
      <c r="E1592" t="str">
        <f>[1]!'1592.TW-SimulateTime'</f>
        <v>13:29:58</v>
      </c>
      <c r="F1592">
        <f>[1]!'1592.TW-Price'</f>
        <v>10.55</v>
      </c>
    </row>
    <row r="1598" spans="1:6" x14ac:dyDescent="0.25">
      <c r="A1598" t="str">
        <f>[1]!'1598.TW-ID'</f>
        <v>1598</v>
      </c>
      <c r="B1598" t="str">
        <f>[1]!'1598.TW-Name'</f>
        <v>岱宇</v>
      </c>
      <c r="C1598">
        <f>[1]!'1598.TW-SimulatePrice'</f>
        <v>38.700000000000003</v>
      </c>
      <c r="D1598">
        <f>[1]!'1598.TW-PreClose'</f>
        <v>37.35</v>
      </c>
      <c r="E1598" t="str">
        <f>[1]!'1598.TW-SimulateTime'</f>
        <v>13:32:55</v>
      </c>
      <c r="F1598">
        <f>[1]!'1598.TW-Price'</f>
        <v>38.700000000000003</v>
      </c>
    </row>
    <row r="1603" spans="1:6" x14ac:dyDescent="0.25">
      <c r="A1603" t="str">
        <f>[1]!'1603.TW-ID'</f>
        <v>1603</v>
      </c>
      <c r="B1603" t="str">
        <f>[1]!'1603.TW-Name'</f>
        <v>華電</v>
      </c>
      <c r="C1603">
        <f>[1]!'1603.TW-SimulatePrice'</f>
        <v>27.15</v>
      </c>
      <c r="D1603">
        <f>[1]!'1603.TW-PreClose'</f>
        <v>27.2</v>
      </c>
      <c r="E1603" t="str">
        <f>[1]!'1603.TW-SimulateTime'</f>
        <v>13:25:49</v>
      </c>
      <c r="F1603">
        <f>[1]!'1603.TW-Price'</f>
        <v>27.15</v>
      </c>
    </row>
    <row r="1604" spans="1:6" x14ac:dyDescent="0.25">
      <c r="A1604" t="str">
        <f>[1]!'1604.TW-ID'</f>
        <v>1604</v>
      </c>
      <c r="B1604" t="str">
        <f>[1]!'1604.TW-Name'</f>
        <v>聲寶</v>
      </c>
      <c r="C1604">
        <f>[1]!'1604.TW-SimulatePrice'</f>
        <v>19.55</v>
      </c>
      <c r="D1604">
        <f>[1]!'1604.TW-PreClose'</f>
        <v>19.649999999999999</v>
      </c>
      <c r="E1604" t="str">
        <f>[1]!'1604.TW-SimulateTime'</f>
        <v>13:28:53</v>
      </c>
      <c r="F1604">
        <f>[1]!'1604.TW-Price'</f>
        <v>19.55</v>
      </c>
    </row>
    <row r="1605" spans="1:6" x14ac:dyDescent="0.25">
      <c r="A1605" t="str">
        <f>[1]!'1605.TW-ID'</f>
        <v>1605</v>
      </c>
      <c r="B1605" t="str">
        <f>[1]!'1605.TW-Name'</f>
        <v>華新</v>
      </c>
      <c r="C1605">
        <f>[1]!'1605.TW-SimulatePrice'</f>
        <v>12.45</v>
      </c>
      <c r="D1605">
        <f>[1]!'1605.TW-PreClose'</f>
        <v>12.55</v>
      </c>
      <c r="E1605" t="str">
        <f>[1]!'1605.TW-SimulateTime'</f>
        <v>13:29:56</v>
      </c>
      <c r="F1605">
        <f>[1]!'1605.TW-Price'</f>
        <v>12.45</v>
      </c>
    </row>
    <row r="1608" spans="1:6" x14ac:dyDescent="0.25">
      <c r="A1608" t="str">
        <f>[1]!'1608.TW-ID'</f>
        <v>1608</v>
      </c>
      <c r="B1608" t="str">
        <f>[1]!'1608.TW-Name'</f>
        <v>華榮</v>
      </c>
      <c r="C1608">
        <f>[1]!'1608.TW-SimulatePrice'</f>
        <v>9.1</v>
      </c>
      <c r="D1608">
        <f>[1]!'1608.TW-PreClose'</f>
        <v>9.16</v>
      </c>
      <c r="E1608" t="str">
        <f>[1]!'1608.TW-SimulateTime'</f>
        <v>13:29:53</v>
      </c>
      <c r="F1608">
        <f>[1]!'1608.TW-Price'</f>
        <v>9.1</v>
      </c>
    </row>
    <row r="1609" spans="1:6" x14ac:dyDescent="0.25">
      <c r="A1609" t="str">
        <f>[1]!'1609.TW-ID'</f>
        <v>1609</v>
      </c>
      <c r="B1609" t="str">
        <f>[1]!'1609.TW-Name'</f>
        <v>大亞</v>
      </c>
      <c r="C1609">
        <f>[1]!'1609.TW-SimulatePrice'</f>
        <v>10.4</v>
      </c>
      <c r="D1609">
        <f>[1]!'1609.TW-PreClose'</f>
        <v>10.5</v>
      </c>
      <c r="E1609" t="str">
        <f>[1]!'1609.TW-SimulateTime'</f>
        <v>13:29:54</v>
      </c>
      <c r="F1609">
        <f>[1]!'1609.TW-Price'</f>
        <v>10.4</v>
      </c>
    </row>
    <row r="1611" spans="1:6" x14ac:dyDescent="0.25">
      <c r="A1611" t="str">
        <f>[1]!'1611.TW-ID'</f>
        <v>1611</v>
      </c>
      <c r="B1611" t="str">
        <f>[1]!'1611.TW-Name'</f>
        <v>中電</v>
      </c>
      <c r="C1611">
        <f>[1]!'1611.TW-SimulatePrice'</f>
        <v>13.1</v>
      </c>
      <c r="D1611">
        <f>[1]!'1611.TW-PreClose'</f>
        <v>13.15</v>
      </c>
      <c r="E1611" t="str">
        <f>[1]!'1611.TW-SimulateTime'</f>
        <v>13:29:51</v>
      </c>
      <c r="F1611">
        <f>[1]!'1611.TW-Price'</f>
        <v>13.1</v>
      </c>
    </row>
    <row r="1612" spans="1:6" x14ac:dyDescent="0.25">
      <c r="A1612" t="str">
        <f>[1]!'1612.TW-ID'</f>
        <v>1612</v>
      </c>
      <c r="B1612" t="str">
        <f>[1]!'1612.TW-Name'</f>
        <v>宏泰</v>
      </c>
      <c r="C1612">
        <f>[1]!'1612.TW-SimulatePrice'</f>
        <v>10</v>
      </c>
      <c r="D1612">
        <f>[1]!'1612.TW-PreClose'</f>
        <v>10</v>
      </c>
      <c r="E1612" t="str">
        <f>[1]!'1612.TW-SimulateTime'</f>
        <v>13:29:01</v>
      </c>
      <c r="F1612">
        <f>[1]!'1612.TW-Price'</f>
        <v>10</v>
      </c>
    </row>
    <row r="1614" spans="1:6" x14ac:dyDescent="0.25">
      <c r="A1614" t="str">
        <f>[1]!'1614.TW-ID'</f>
        <v>1614</v>
      </c>
      <c r="B1614" t="str">
        <f>[1]!'1614.TW-Name'</f>
        <v>三洋電</v>
      </c>
      <c r="C1614">
        <f>[1]!'1614.TW-SimulatePrice'</f>
        <v>30.6</v>
      </c>
      <c r="D1614">
        <f>[1]!'1614.TW-PreClose'</f>
        <v>30.6</v>
      </c>
      <c r="E1614" t="str">
        <f>[1]!'1614.TW-SimulateTime'</f>
        <v>13:29:36</v>
      </c>
      <c r="F1614">
        <f>[1]!'1614.TW-Price'</f>
        <v>30.6</v>
      </c>
    </row>
    <row r="1615" spans="1:6" x14ac:dyDescent="0.25">
      <c r="A1615" t="str">
        <f>[1]!'1615.TW-ID'</f>
        <v>1615</v>
      </c>
      <c r="B1615" t="str">
        <f>[1]!'1615.TW-Name'</f>
        <v>大山</v>
      </c>
      <c r="C1615">
        <f>[1]!'1615.TW-SimulatePrice'</f>
        <v>22.2</v>
      </c>
      <c r="D1615">
        <f>[1]!'1615.TW-PreClose'</f>
        <v>22.4</v>
      </c>
      <c r="E1615" t="str">
        <f>[1]!'1615.TW-SimulateTime'</f>
        <v>13:29:39</v>
      </c>
      <c r="F1615">
        <f>[1]!'1615.TW-Price'</f>
        <v>22.2</v>
      </c>
    </row>
    <row r="1616" spans="1:6" x14ac:dyDescent="0.25">
      <c r="A1616" t="str">
        <f>[1]!'1616.TW-ID'</f>
        <v>1616</v>
      </c>
      <c r="B1616" t="str">
        <f>[1]!'1616.TW-Name'</f>
        <v>億泰</v>
      </c>
      <c r="C1616">
        <f>[1]!'1616.TW-SimulatePrice'</f>
        <v>4.24</v>
      </c>
      <c r="D1616">
        <f>[1]!'1616.TW-PreClose'</f>
        <v>4.25</v>
      </c>
      <c r="E1616" t="str">
        <f>[1]!'1616.TW-SimulateTime'</f>
        <v>13:28:04</v>
      </c>
      <c r="F1616">
        <f>[1]!'1616.TW-Price'</f>
        <v>4.24</v>
      </c>
    </row>
    <row r="1617" spans="1:6" x14ac:dyDescent="0.25">
      <c r="A1617" t="str">
        <f>[1]!'1617.TW-ID'</f>
        <v>1617</v>
      </c>
      <c r="B1617" t="str">
        <f>[1]!'1617.TW-Name'</f>
        <v>榮星</v>
      </c>
      <c r="C1617">
        <f>[1]!'1617.TW-SimulatePrice'</f>
        <v>11.05</v>
      </c>
      <c r="D1617">
        <f>[1]!'1617.TW-PreClose'</f>
        <v>11</v>
      </c>
      <c r="E1617" t="str">
        <f>[1]!'1617.TW-SimulateTime'</f>
        <v>13:29:51</v>
      </c>
      <c r="F1617">
        <f>[1]!'1617.TW-Price'</f>
        <v>11.05</v>
      </c>
    </row>
    <row r="1618" spans="1:6" x14ac:dyDescent="0.25">
      <c r="A1618" t="str">
        <f>[1]!'1618.TW-ID'</f>
        <v>1618</v>
      </c>
      <c r="B1618" t="str">
        <f>[1]!'1618.TW-Name'</f>
        <v>合機</v>
      </c>
      <c r="C1618" t="str">
        <f>[1]!'1618.TW-SimulatePrice'</f>
        <v>--</v>
      </c>
      <c r="D1618">
        <f>[1]!'1618.TW-PreClose'</f>
        <v>7.75</v>
      </c>
      <c r="E1618" t="str">
        <f>[1]!'1618.TW-SimulateTime'</f>
        <v>--</v>
      </c>
      <c r="F1618">
        <f>[1]!'1618.TW-Price'</f>
        <v>7.72</v>
      </c>
    </row>
    <row r="1626" spans="1:6" x14ac:dyDescent="0.25">
      <c r="A1626" t="str">
        <f>[1]!'1626.TW-ID'</f>
        <v>1626</v>
      </c>
      <c r="B1626" t="str">
        <f>[1]!'1626.TW-Name'</f>
        <v>艾美特-KY</v>
      </c>
      <c r="C1626">
        <f>[1]!'1626.TW-SimulatePrice'</f>
        <v>25.4</v>
      </c>
      <c r="D1626">
        <f>[1]!'1626.TW-PreClose'</f>
        <v>24.6</v>
      </c>
      <c r="E1626" t="str">
        <f>[1]!'1626.TW-SimulateTime'</f>
        <v>13:29:56</v>
      </c>
      <c r="F1626">
        <f>[1]!'1626.TW-Price'</f>
        <v>25.4</v>
      </c>
    </row>
    <row r="1701" spans="1:6" x14ac:dyDescent="0.25">
      <c r="A1701" t="str">
        <f>[1]!'1701.TW-ID'</f>
        <v>1701</v>
      </c>
      <c r="B1701" t="str">
        <f>[1]!'1701.TW-Name'</f>
        <v>中化</v>
      </c>
      <c r="C1701">
        <f>[1]!'1701.TW-SimulatePrice'</f>
        <v>21.25</v>
      </c>
      <c r="D1701">
        <f>[1]!'1701.TW-PreClose'</f>
        <v>21.45</v>
      </c>
      <c r="E1701" t="str">
        <f>[1]!'1701.TW-SimulateTime'</f>
        <v>13:29:57</v>
      </c>
      <c r="F1701">
        <f>[1]!'1701.TW-Price'</f>
        <v>21.25</v>
      </c>
    </row>
    <row r="1702" spans="1:6" x14ac:dyDescent="0.25">
      <c r="A1702" t="str">
        <f>[1]!'1702.TW-ID'</f>
        <v>1702</v>
      </c>
      <c r="B1702" t="str">
        <f>[1]!'1702.TW-Name'</f>
        <v>南僑</v>
      </c>
      <c r="C1702">
        <f>[1]!'1702.TW-SimulatePrice'</f>
        <v>44.2</v>
      </c>
      <c r="D1702">
        <f>[1]!'1702.TW-PreClose'</f>
        <v>44.35</v>
      </c>
      <c r="E1702" t="str">
        <f>[1]!'1702.TW-SimulateTime'</f>
        <v>13:28:50</v>
      </c>
      <c r="F1702">
        <f>[1]!'1702.TW-Price'</f>
        <v>44.2</v>
      </c>
    </row>
    <row r="1707" spans="1:6" x14ac:dyDescent="0.25">
      <c r="A1707" t="str">
        <f>[1]!'1707.TW-ID'</f>
        <v>1707</v>
      </c>
      <c r="B1707" t="str">
        <f>[1]!'1707.TW-Name'</f>
        <v>葡萄王</v>
      </c>
      <c r="C1707">
        <f>[1]!'1707.TW-SimulatePrice'</f>
        <v>192</v>
      </c>
      <c r="D1707">
        <f>[1]!'1707.TW-PreClose'</f>
        <v>194</v>
      </c>
      <c r="E1707" t="str">
        <f>[1]!'1707.TW-SimulateTime'</f>
        <v>13:29:59</v>
      </c>
      <c r="F1707">
        <f>[1]!'1707.TW-Price'</f>
        <v>192</v>
      </c>
    </row>
    <row r="1708" spans="1:6" x14ac:dyDescent="0.25">
      <c r="A1708" t="str">
        <f>[1]!'1708.TW-ID'</f>
        <v>1708</v>
      </c>
      <c r="B1708" t="str">
        <f>[1]!'1708.TW-Name'</f>
        <v>東鹼</v>
      </c>
      <c r="C1708">
        <f>[1]!'1708.TW-SimulatePrice'</f>
        <v>24</v>
      </c>
      <c r="D1708">
        <f>[1]!'1708.TW-PreClose'</f>
        <v>23.95</v>
      </c>
      <c r="E1708" t="str">
        <f>[1]!'1708.TW-SimulateTime'</f>
        <v>13:29:46</v>
      </c>
      <c r="F1708">
        <f>[1]!'1708.TW-Price'</f>
        <v>24</v>
      </c>
    </row>
    <row r="1709" spans="1:6" x14ac:dyDescent="0.25">
      <c r="A1709" t="str">
        <f>[1]!'1709.TW-ID'</f>
        <v>1709</v>
      </c>
      <c r="B1709" t="str">
        <f>[1]!'1709.TW-Name'</f>
        <v>和益</v>
      </c>
      <c r="C1709">
        <f>[1]!'1709.TW-SimulatePrice'</f>
        <v>12.8</v>
      </c>
      <c r="D1709">
        <f>[1]!'1709.TW-PreClose'</f>
        <v>12.85</v>
      </c>
      <c r="E1709" t="str">
        <f>[1]!'1709.TW-SimulateTime'</f>
        <v>13:29:56</v>
      </c>
      <c r="F1709">
        <f>[1]!'1709.TW-Price'</f>
        <v>12.8</v>
      </c>
    </row>
    <row r="1710" spans="1:6" x14ac:dyDescent="0.25">
      <c r="A1710" t="str">
        <f>[1]!'1710.TW-ID'</f>
        <v>1710</v>
      </c>
      <c r="B1710" t="str">
        <f>[1]!'1710.TW-Name'</f>
        <v>東聯</v>
      </c>
      <c r="C1710">
        <f>[1]!'1710.TW-SimulatePrice'</f>
        <v>16.3</v>
      </c>
      <c r="D1710">
        <f>[1]!'1710.TW-PreClose'</f>
        <v>16.649999999999999</v>
      </c>
      <c r="E1710" t="str">
        <f>[1]!'1710.TW-SimulateTime'</f>
        <v>13:29:57</v>
      </c>
      <c r="F1710">
        <f>[1]!'1710.TW-Price'</f>
        <v>16.3</v>
      </c>
    </row>
    <row r="1711" spans="1:6" x14ac:dyDescent="0.25">
      <c r="A1711" t="str">
        <f>[1]!'1711.TW-ID'</f>
        <v>1711</v>
      </c>
      <c r="B1711" t="str">
        <f>[1]!'1711.TW-Name'</f>
        <v>永光</v>
      </c>
      <c r="C1711">
        <f>[1]!'1711.TW-SimulatePrice'</f>
        <v>14.8</v>
      </c>
      <c r="D1711">
        <f>[1]!'1711.TW-PreClose'</f>
        <v>15.05</v>
      </c>
      <c r="E1711" t="str">
        <f>[1]!'1711.TW-SimulateTime'</f>
        <v>13:29:56</v>
      </c>
      <c r="F1711">
        <f>[1]!'1711.TW-Price'</f>
        <v>14.8</v>
      </c>
    </row>
    <row r="1712" spans="1:6" x14ac:dyDescent="0.25">
      <c r="A1712" t="str">
        <f>[1]!'1712.TW-ID'</f>
        <v>1712</v>
      </c>
      <c r="B1712" t="str">
        <f>[1]!'1712.TW-Name'</f>
        <v>興農</v>
      </c>
      <c r="C1712">
        <f>[1]!'1712.TW-SimulatePrice'</f>
        <v>18.05</v>
      </c>
      <c r="D1712">
        <f>[1]!'1712.TW-PreClose'</f>
        <v>18.149999999999999</v>
      </c>
      <c r="E1712" t="str">
        <f>[1]!'1712.TW-SimulateTime'</f>
        <v>13:29:59</v>
      </c>
      <c r="F1712">
        <f>[1]!'1712.TW-Price'</f>
        <v>18.05</v>
      </c>
    </row>
    <row r="1713" spans="1:6" x14ac:dyDescent="0.25">
      <c r="A1713" t="str">
        <f>[1]!'1713.TW-ID'</f>
        <v>1713</v>
      </c>
      <c r="B1713" t="str">
        <f>[1]!'1713.TW-Name'</f>
        <v>國化</v>
      </c>
      <c r="C1713">
        <f>[1]!'1713.TW-SimulatePrice'</f>
        <v>17.850000000000001</v>
      </c>
      <c r="D1713">
        <f>[1]!'1713.TW-PreClose'</f>
        <v>17.850000000000001</v>
      </c>
      <c r="E1713" t="str">
        <f>[1]!'1713.TW-SimulateTime'</f>
        <v>13:29:54</v>
      </c>
      <c r="F1713">
        <f>[1]!'1713.TW-Price'</f>
        <v>17.850000000000001</v>
      </c>
    </row>
    <row r="1714" spans="1:6" x14ac:dyDescent="0.25">
      <c r="A1714" t="str">
        <f>[1]!'1714.TW-ID'</f>
        <v>1714</v>
      </c>
      <c r="B1714" t="str">
        <f>[1]!'1714.TW-Name'</f>
        <v>和桐</v>
      </c>
      <c r="C1714">
        <f>[1]!'1714.TW-SimulatePrice'</f>
        <v>7.08</v>
      </c>
      <c r="D1714">
        <f>[1]!'1714.TW-PreClose'</f>
        <v>7.08</v>
      </c>
      <c r="E1714" t="str">
        <f>[1]!'1714.TW-SimulateTime'</f>
        <v>13:29:41</v>
      </c>
      <c r="F1714">
        <f>[1]!'1714.TW-Price'</f>
        <v>7.08</v>
      </c>
    </row>
    <row r="1717" spans="1:6" x14ac:dyDescent="0.25">
      <c r="A1717" t="str">
        <f>[1]!'1717.TW-ID'</f>
        <v>1717</v>
      </c>
      <c r="B1717" t="str">
        <f>[1]!'1717.TW-Name'</f>
        <v>長興</v>
      </c>
      <c r="C1717">
        <f>[1]!'1717.TW-SimulatePrice'</f>
        <v>29.3</v>
      </c>
      <c r="D1717">
        <f>[1]!'1717.TW-PreClose'</f>
        <v>29.2</v>
      </c>
      <c r="E1717" t="str">
        <f>[1]!'1717.TW-SimulateTime'</f>
        <v>13:29:48</v>
      </c>
      <c r="F1717">
        <f>[1]!'1717.TW-Price'</f>
        <v>29.3</v>
      </c>
    </row>
    <row r="1718" spans="1:6" x14ac:dyDescent="0.25">
      <c r="A1718" t="str">
        <f>[1]!'1718.TW-ID'</f>
        <v>1718</v>
      </c>
      <c r="B1718" t="str">
        <f>[1]!'1718.TW-Name'</f>
        <v>中纖</v>
      </c>
      <c r="C1718">
        <f>[1]!'1718.TW-SimulatePrice'</f>
        <v>6.13</v>
      </c>
      <c r="D1718">
        <f>[1]!'1718.TW-PreClose'</f>
        <v>6.16</v>
      </c>
      <c r="E1718" t="str">
        <f>[1]!'1718.TW-SimulateTime'</f>
        <v>13:29:59</v>
      </c>
      <c r="F1718">
        <f>[1]!'1718.TW-Price'</f>
        <v>6.13</v>
      </c>
    </row>
    <row r="1720" spans="1:6" x14ac:dyDescent="0.25">
      <c r="A1720" t="str">
        <f>[1]!'1720.TW-ID'</f>
        <v>1720</v>
      </c>
      <c r="B1720" t="str">
        <f>[1]!'1720.TW-Name'</f>
        <v>生達</v>
      </c>
      <c r="C1720">
        <f>[1]!'1720.TW-SimulatePrice'</f>
        <v>38.75</v>
      </c>
      <c r="D1720">
        <f>[1]!'1720.TW-PreClose'</f>
        <v>39.700000000000003</v>
      </c>
      <c r="E1720" t="str">
        <f>[1]!'1720.TW-SimulateTime'</f>
        <v>13:29:57</v>
      </c>
      <c r="F1720">
        <f>[1]!'1720.TW-Price'</f>
        <v>38.75</v>
      </c>
    </row>
    <row r="1721" spans="1:6" x14ac:dyDescent="0.25">
      <c r="A1721" t="str">
        <f>[1]!'1721.TW-ID'</f>
        <v>1721</v>
      </c>
      <c r="B1721" t="str">
        <f>[1]!'1721.TW-Name'</f>
        <v>三晃</v>
      </c>
      <c r="C1721">
        <f>[1]!'1721.TW-SimulatePrice'</f>
        <v>9.76</v>
      </c>
      <c r="D1721">
        <f>[1]!'1721.TW-PreClose'</f>
        <v>9.9</v>
      </c>
      <c r="E1721" t="str">
        <f>[1]!'1721.TW-SimulateTime'</f>
        <v>13:28:35</v>
      </c>
      <c r="F1721">
        <f>[1]!'1721.TW-Price'</f>
        <v>9.76</v>
      </c>
    </row>
    <row r="1722" spans="1:6" x14ac:dyDescent="0.25">
      <c r="A1722" t="str">
        <f>[1]!'1722.TW-ID'</f>
        <v>1722</v>
      </c>
      <c r="B1722" t="str">
        <f>[1]!'1722.TW-Name'</f>
        <v>台肥</v>
      </c>
      <c r="C1722">
        <f>[1]!'1722.TW-SimulatePrice'</f>
        <v>48.95</v>
      </c>
      <c r="D1722">
        <f>[1]!'1722.TW-PreClose'</f>
        <v>49.05</v>
      </c>
      <c r="E1722" t="str">
        <f>[1]!'1722.TW-SimulateTime'</f>
        <v>13:29:59</v>
      </c>
      <c r="F1722">
        <f>[1]!'1722.TW-Price'</f>
        <v>48.95</v>
      </c>
    </row>
    <row r="1723" spans="1:6" x14ac:dyDescent="0.25">
      <c r="A1723" t="str">
        <f>[1]!'1723.TW-ID'</f>
        <v>1723</v>
      </c>
      <c r="B1723" t="str">
        <f>[1]!'1723.TW-Name'</f>
        <v>中碳</v>
      </c>
      <c r="C1723">
        <f>[1]!'1723.TW-SimulatePrice'</f>
        <v>101.5</v>
      </c>
      <c r="D1723">
        <f>[1]!'1723.TW-PreClose'</f>
        <v>100</v>
      </c>
      <c r="E1723" t="str">
        <f>[1]!'1723.TW-SimulateTime'</f>
        <v>13:29:59</v>
      </c>
      <c r="F1723">
        <f>[1]!'1723.TW-Price'</f>
        <v>101.5</v>
      </c>
    </row>
    <row r="1724" spans="1:6" x14ac:dyDescent="0.25">
      <c r="A1724" t="str">
        <f>[1]!'1724.TW-ID'</f>
        <v>1724</v>
      </c>
      <c r="B1724" t="str">
        <f>[1]!'1724.TW-Name'</f>
        <v>台硝</v>
      </c>
      <c r="C1724">
        <f>[1]!'1724.TW-SimulatePrice'</f>
        <v>12.1</v>
      </c>
      <c r="D1724">
        <f>[1]!'1724.TW-PreClose'</f>
        <v>12.1</v>
      </c>
      <c r="E1724" t="str">
        <f>[1]!'1724.TW-SimulateTime'</f>
        <v>13:26:13</v>
      </c>
      <c r="F1724">
        <f>[1]!'1724.TW-Price'</f>
        <v>12.1</v>
      </c>
    </row>
    <row r="1725" spans="1:6" x14ac:dyDescent="0.25">
      <c r="A1725" t="str">
        <f>[1]!'1725.TW-ID'</f>
        <v>1725</v>
      </c>
      <c r="B1725" t="str">
        <f>[1]!'1725.TW-Name'</f>
        <v>元禎</v>
      </c>
      <c r="C1725">
        <f>[1]!'1725.TW-SimulatePrice'</f>
        <v>14.75</v>
      </c>
      <c r="D1725">
        <f>[1]!'1725.TW-PreClose'</f>
        <v>14.4</v>
      </c>
      <c r="E1725" t="str">
        <f>[1]!'1725.TW-SimulateTime'</f>
        <v>13:29:30</v>
      </c>
      <c r="F1725">
        <f>[1]!'1725.TW-Price'</f>
        <v>14.75</v>
      </c>
    </row>
    <row r="1726" spans="1:6" x14ac:dyDescent="0.25">
      <c r="A1726" t="str">
        <f>[1]!'1726.TW-ID'</f>
        <v>1726</v>
      </c>
      <c r="B1726" t="str">
        <f>[1]!'1726.TW-Name'</f>
        <v>永記</v>
      </c>
      <c r="C1726" t="str">
        <f>[1]!'1726.TW-SimulatePrice'</f>
        <v>--</v>
      </c>
      <c r="D1726">
        <f>[1]!'1726.TW-PreClose'</f>
        <v>68.7</v>
      </c>
      <c r="E1726" t="str">
        <f>[1]!'1726.TW-SimulateTime'</f>
        <v>--</v>
      </c>
      <c r="F1726">
        <f>[1]!'1726.TW-Price'</f>
        <v>68.5</v>
      </c>
    </row>
    <row r="1727" spans="1:6" x14ac:dyDescent="0.25">
      <c r="A1727" t="str">
        <f>[1]!'1727.TW-ID'</f>
        <v>1727</v>
      </c>
      <c r="B1727" t="str">
        <f>[1]!'1727.TW-Name'</f>
        <v>中華化</v>
      </c>
      <c r="C1727">
        <f>[1]!'1727.TW-SimulatePrice'</f>
        <v>9.08</v>
      </c>
      <c r="D1727">
        <f>[1]!'1727.TW-PreClose'</f>
        <v>9.26</v>
      </c>
      <c r="E1727" t="str">
        <f>[1]!'1727.TW-SimulateTime'</f>
        <v>13:28:16</v>
      </c>
      <c r="F1727">
        <f>[1]!'1727.TW-Price'</f>
        <v>9.08</v>
      </c>
    </row>
    <row r="1730" spans="1:6" x14ac:dyDescent="0.25">
      <c r="A1730" t="str">
        <f>[1]!'1730.TW-ID'</f>
        <v>1730</v>
      </c>
      <c r="B1730" t="str">
        <f>[1]!'1730.TW-Name'</f>
        <v>花仙子</v>
      </c>
      <c r="C1730">
        <f>[1]!'1730.TW-SimulatePrice'</f>
        <v>70</v>
      </c>
      <c r="D1730">
        <f>[1]!'1730.TW-PreClose'</f>
        <v>71.5</v>
      </c>
      <c r="E1730" t="str">
        <f>[1]!'1730.TW-SimulateTime'</f>
        <v>13:27:52</v>
      </c>
      <c r="F1730">
        <f>[1]!'1730.TW-Price'</f>
        <v>70</v>
      </c>
    </row>
    <row r="1731" spans="1:6" x14ac:dyDescent="0.25">
      <c r="A1731" t="str">
        <f>[1]!'1731.TW-ID'</f>
        <v>1731</v>
      </c>
      <c r="B1731" t="str">
        <f>[1]!'1731.TW-Name'</f>
        <v>美吾華</v>
      </c>
      <c r="C1731">
        <f>[1]!'1731.TW-SimulatePrice'</f>
        <v>13.65</v>
      </c>
      <c r="D1731">
        <f>[1]!'1731.TW-PreClose'</f>
        <v>13.65</v>
      </c>
      <c r="E1731" t="str">
        <f>[1]!'1731.TW-SimulateTime'</f>
        <v>13:29:56</v>
      </c>
      <c r="F1731">
        <f>[1]!'1731.TW-Price'</f>
        <v>13.65</v>
      </c>
    </row>
    <row r="1732" spans="1:6" x14ac:dyDescent="0.25">
      <c r="A1732" t="str">
        <f>[1]!'1732.TW-ID'</f>
        <v>1732</v>
      </c>
      <c r="B1732" t="str">
        <f>[1]!'1732.TW-Name'</f>
        <v>毛寶</v>
      </c>
      <c r="C1732" t="str">
        <f>[1]!'1732.TW-SimulatePrice'</f>
        <v>--</v>
      </c>
      <c r="D1732">
        <f>[1]!'1732.TW-PreClose'</f>
        <v>30</v>
      </c>
      <c r="E1732" t="str">
        <f>[1]!'1732.TW-SimulateTime'</f>
        <v>--</v>
      </c>
      <c r="F1732">
        <f>[1]!'1732.TW-Price'</f>
        <v>30.65</v>
      </c>
    </row>
    <row r="1733" spans="1:6" x14ac:dyDescent="0.25">
      <c r="A1733" t="str">
        <f>[1]!'1733.TW-ID'</f>
        <v>1733</v>
      </c>
      <c r="B1733" t="str">
        <f>[1]!'1733.TW-Name'</f>
        <v>五鼎</v>
      </c>
      <c r="C1733">
        <f>[1]!'1733.TW-SimulatePrice'</f>
        <v>25.05</v>
      </c>
      <c r="D1733">
        <f>[1]!'1733.TW-PreClose'</f>
        <v>22.8</v>
      </c>
      <c r="E1733" t="str">
        <f>[1]!'1733.TW-SimulateTime'</f>
        <v>13:29:50</v>
      </c>
      <c r="F1733">
        <f>[1]!'1733.TW-Price'</f>
        <v>25.05</v>
      </c>
    </row>
    <row r="1734" spans="1:6" x14ac:dyDescent="0.25">
      <c r="A1734" t="str">
        <f>[1]!'1734.TW-ID'</f>
        <v>1734</v>
      </c>
      <c r="B1734" t="str">
        <f>[1]!'1734.TW-Name'</f>
        <v>杏輝</v>
      </c>
      <c r="C1734">
        <f>[1]!'1734.TW-SimulatePrice'</f>
        <v>20.3</v>
      </c>
      <c r="D1734">
        <f>[1]!'1734.TW-PreClose'</f>
        <v>20.350000000000001</v>
      </c>
      <c r="E1734" t="str">
        <f>[1]!'1734.TW-SimulateTime'</f>
        <v>13:29:57</v>
      </c>
      <c r="F1734">
        <f>[1]!'1734.TW-Price'</f>
        <v>20.3</v>
      </c>
    </row>
    <row r="1735" spans="1:6" x14ac:dyDescent="0.25">
      <c r="A1735" t="str">
        <f>[1]!'1735.TW-ID'</f>
        <v>1735</v>
      </c>
      <c r="B1735" t="str">
        <f>[1]!'1735.TW-Name'</f>
        <v>日勝化</v>
      </c>
      <c r="C1735" t="str">
        <f>[1]!'1735.TW-SimulatePrice'</f>
        <v>--</v>
      </c>
      <c r="D1735">
        <f>[1]!'1735.TW-PreClose'</f>
        <v>16.850000000000001</v>
      </c>
      <c r="E1735" t="str">
        <f>[1]!'1735.TW-SimulateTime'</f>
        <v>--</v>
      </c>
      <c r="F1735">
        <f>[1]!'1735.TW-Price'</f>
        <v>16.600000000000001</v>
      </c>
    </row>
    <row r="1736" spans="1:6" x14ac:dyDescent="0.25">
      <c r="A1736" t="str">
        <f>[1]!'1736.TW-ID'</f>
        <v>1736</v>
      </c>
      <c r="B1736" t="str">
        <f>[1]!'1736.TW-Name'</f>
        <v>喬山</v>
      </c>
      <c r="C1736">
        <f>[1]!'1736.TW-SimulatePrice'</f>
        <v>58.5</v>
      </c>
      <c r="D1736">
        <f>[1]!'1736.TW-PreClose'</f>
        <v>59.1</v>
      </c>
      <c r="E1736" t="str">
        <f>[1]!'1736.TW-SimulateTime'</f>
        <v>13:29:47</v>
      </c>
      <c r="F1736">
        <f>[1]!'1736.TW-Price'</f>
        <v>58.5</v>
      </c>
    </row>
    <row r="1737" spans="1:6" x14ac:dyDescent="0.25">
      <c r="A1737" t="str">
        <f>[1]!'1737.TW-ID'</f>
        <v>1737</v>
      </c>
      <c r="B1737" t="str">
        <f>[1]!'1737.TW-Name'</f>
        <v>臺鹽</v>
      </c>
      <c r="C1737">
        <f>[1]!'1737.TW-SimulatePrice'</f>
        <v>30.7</v>
      </c>
      <c r="D1737">
        <f>[1]!'1737.TW-PreClose'</f>
        <v>30.75</v>
      </c>
      <c r="E1737" t="str">
        <f>[1]!'1737.TW-SimulateTime'</f>
        <v>13:29:59</v>
      </c>
      <c r="F1737">
        <f>[1]!'1737.TW-Price'</f>
        <v>30.7</v>
      </c>
    </row>
    <row r="1760" spans="1:6" x14ac:dyDescent="0.25">
      <c r="A1760" t="str">
        <f>[1]!'1760.TW-ID'</f>
        <v>1760</v>
      </c>
      <c r="B1760" t="str">
        <f>[1]!'1760.TW-Name'</f>
        <v>寶齡富錦</v>
      </c>
      <c r="C1760">
        <f>[1]!'1760.TW-SimulatePrice'</f>
        <v>146</v>
      </c>
      <c r="D1760">
        <f>[1]!'1760.TW-PreClose'</f>
        <v>142</v>
      </c>
      <c r="E1760" t="str">
        <f>[1]!'1760.TW-SimulateTime'</f>
        <v>13:29:57</v>
      </c>
      <c r="F1760">
        <f>[1]!'1760.TW-Price'</f>
        <v>146</v>
      </c>
    </row>
    <row r="1762" spans="1:6" x14ac:dyDescent="0.25">
      <c r="A1762" t="str">
        <f>[1]!'1762.TW-ID'</f>
        <v>1762</v>
      </c>
      <c r="B1762" t="str">
        <f>[1]!'1762.TW-Name'</f>
        <v>中化生</v>
      </c>
      <c r="C1762">
        <f>[1]!'1762.TW-SimulatePrice'</f>
        <v>64</v>
      </c>
      <c r="D1762">
        <f>[1]!'1762.TW-PreClose'</f>
        <v>66.3</v>
      </c>
      <c r="E1762" t="str">
        <f>[1]!'1762.TW-SimulateTime'</f>
        <v>13:29:57</v>
      </c>
      <c r="F1762">
        <f>[1]!'1762.TW-Price'</f>
        <v>64</v>
      </c>
    </row>
    <row r="1773" spans="1:6" x14ac:dyDescent="0.25">
      <c r="A1773" t="str">
        <f>[1]!'1773.TW-ID'</f>
        <v>1773</v>
      </c>
      <c r="B1773" t="str">
        <f>[1]!'1773.TW-Name'</f>
        <v>勝一</v>
      </c>
      <c r="C1773">
        <f>[1]!'1773.TW-SimulatePrice'</f>
        <v>95.7</v>
      </c>
      <c r="D1773">
        <f>[1]!'1773.TW-PreClose'</f>
        <v>94.6</v>
      </c>
      <c r="E1773" t="str">
        <f>[1]!'1773.TW-SimulateTime'</f>
        <v>13:29:30</v>
      </c>
      <c r="F1773">
        <f>[1]!'1773.TW-Price'</f>
        <v>95.7</v>
      </c>
    </row>
    <row r="1776" spans="1:6" x14ac:dyDescent="0.25">
      <c r="A1776" t="str">
        <f>[1]!'1776.TW-ID'</f>
        <v>1776</v>
      </c>
      <c r="B1776" t="str">
        <f>[1]!'1776.TW-Name'</f>
        <v>展宇</v>
      </c>
      <c r="C1776" t="str">
        <f>[1]!'1776.TW-SimulatePrice'</f>
        <v>--</v>
      </c>
      <c r="D1776">
        <f>[1]!'1776.TW-PreClose'</f>
        <v>17.05</v>
      </c>
      <c r="E1776" t="str">
        <f>[1]!'1776.TW-SimulateTime'</f>
        <v>--</v>
      </c>
      <c r="F1776">
        <f>[1]!'1776.TW-Price'</f>
        <v>17.149999999999999</v>
      </c>
    </row>
    <row r="1783" spans="1:6" x14ac:dyDescent="0.25">
      <c r="A1783" t="str">
        <f>[1]!'1783.TW-ID'</f>
        <v>1783</v>
      </c>
      <c r="B1783" t="str">
        <f>[1]!'1783.TW-Name'</f>
        <v>和康生</v>
      </c>
      <c r="C1783">
        <f>[1]!'1783.TW-SimulatePrice'</f>
        <v>25</v>
      </c>
      <c r="D1783">
        <f>[1]!'1783.TW-PreClose'</f>
        <v>25.3</v>
      </c>
      <c r="E1783" t="str">
        <f>[1]!'1783.TW-SimulateTime'</f>
        <v>13:28:55</v>
      </c>
      <c r="F1783">
        <f>[1]!'1783.TW-Price'</f>
        <v>25</v>
      </c>
    </row>
    <row r="1786" spans="1:6" x14ac:dyDescent="0.25">
      <c r="A1786" t="str">
        <f>[1]!'1786.TW-ID'</f>
        <v>1786</v>
      </c>
      <c r="B1786" t="str">
        <f>[1]!'1786.TW-Name'</f>
        <v>科妍</v>
      </c>
      <c r="C1786">
        <f>[1]!'1786.TW-SimulatePrice'</f>
        <v>61.7</v>
      </c>
      <c r="D1786">
        <f>[1]!'1786.TW-PreClose'</f>
        <v>62</v>
      </c>
      <c r="E1786" t="str">
        <f>[1]!'1786.TW-SimulateTime'</f>
        <v>13:29:50</v>
      </c>
      <c r="F1786">
        <f>[1]!'1786.TW-Price'</f>
        <v>61.8</v>
      </c>
    </row>
    <row r="1789" spans="1:6" x14ac:dyDescent="0.25">
      <c r="A1789" t="str">
        <f>[1]!'1789.TW-ID'</f>
        <v>1789</v>
      </c>
      <c r="B1789" t="str">
        <f>[1]!'1789.TW-Name'</f>
        <v>神隆</v>
      </c>
      <c r="C1789">
        <f>[1]!'1789.TW-SimulatePrice'</f>
        <v>30.9</v>
      </c>
      <c r="D1789">
        <f>[1]!'1789.TW-PreClose'</f>
        <v>31.5</v>
      </c>
      <c r="E1789" t="str">
        <f>[1]!'1789.TW-SimulateTime'</f>
        <v>13:29:53</v>
      </c>
      <c r="F1789">
        <f>[1]!'1789.TW-Price'</f>
        <v>30.9</v>
      </c>
    </row>
    <row r="1795" spans="1:6" x14ac:dyDescent="0.25">
      <c r="A1795" t="str">
        <f>[1]!'1795.TW-ID'</f>
        <v>1795</v>
      </c>
      <c r="B1795" t="str">
        <f>[1]!'1795.TW-Name'</f>
        <v>美時</v>
      </c>
      <c r="C1795">
        <f>[1]!'1795.TW-SimulatePrice'</f>
        <v>75</v>
      </c>
      <c r="D1795">
        <f>[1]!'1795.TW-PreClose'</f>
        <v>75.099999999999994</v>
      </c>
      <c r="E1795" t="str">
        <f>[1]!'1795.TW-SimulateTime'</f>
        <v>13:29:55</v>
      </c>
      <c r="F1795">
        <f>[1]!'1795.TW-Price'</f>
        <v>75</v>
      </c>
    </row>
    <row r="1802" spans="1:6" x14ac:dyDescent="0.25">
      <c r="A1802" t="str">
        <f>[1]!'1802.TW-ID'</f>
        <v>1802</v>
      </c>
      <c r="B1802" t="str">
        <f>[1]!'1802.TW-Name'</f>
        <v>台玻</v>
      </c>
      <c r="C1802">
        <f>[1]!'1802.TW-SimulatePrice'</f>
        <v>8.56</v>
      </c>
      <c r="D1802">
        <f>[1]!'1802.TW-PreClose'</f>
        <v>8.7100000000000009</v>
      </c>
      <c r="E1802" t="str">
        <f>[1]!'1802.TW-SimulateTime'</f>
        <v>13:29:42</v>
      </c>
      <c r="F1802">
        <f>[1]!'1802.TW-Price'</f>
        <v>8.56</v>
      </c>
    </row>
    <row r="1805" spans="1:6" x14ac:dyDescent="0.25">
      <c r="A1805" t="str">
        <f>[1]!'1805.TW-ID'</f>
        <v>1805</v>
      </c>
      <c r="B1805" t="str">
        <f>[1]!'1805.TW-Name'</f>
        <v>寶徠</v>
      </c>
      <c r="C1805" t="str">
        <f>[1]!'1805.TW-SimulatePrice'</f>
        <v>--</v>
      </c>
      <c r="D1805">
        <f>[1]!'1805.TW-PreClose'</f>
        <v>8.31</v>
      </c>
      <c r="E1805" t="str">
        <f>[1]!'1805.TW-SimulateTime'</f>
        <v>--</v>
      </c>
      <c r="F1805" t="str">
        <f>[1]!'1805.TW-Price'</f>
        <v>--</v>
      </c>
    </row>
    <row r="1806" spans="1:6" x14ac:dyDescent="0.25">
      <c r="A1806" t="str">
        <f>[1]!'1806.TW-ID'</f>
        <v>1806</v>
      </c>
      <c r="B1806" t="str">
        <f>[1]!'1806.TW-Name'</f>
        <v>冠軍</v>
      </c>
      <c r="C1806">
        <f>[1]!'1806.TW-SimulatePrice'</f>
        <v>4.79</v>
      </c>
      <c r="D1806">
        <f>[1]!'1806.TW-PreClose'</f>
        <v>4.8600000000000003</v>
      </c>
      <c r="E1806" t="str">
        <f>[1]!'1806.TW-SimulateTime'</f>
        <v>13:29:13</v>
      </c>
      <c r="F1806">
        <f>[1]!'1806.TW-Price'</f>
        <v>4.79</v>
      </c>
    </row>
    <row r="1808" spans="1:6" x14ac:dyDescent="0.25">
      <c r="A1808" t="str">
        <f>[1]!'1808.TW-ID'</f>
        <v>1808</v>
      </c>
      <c r="B1808" t="str">
        <f>[1]!'1808.TW-Name'</f>
        <v>潤隆</v>
      </c>
      <c r="C1808">
        <f>[1]!'1808.TW-SimulatePrice'</f>
        <v>59.3</v>
      </c>
      <c r="D1808">
        <f>[1]!'1808.TW-PreClose'</f>
        <v>58.4</v>
      </c>
      <c r="E1808" t="str">
        <f>[1]!'1808.TW-SimulateTime'</f>
        <v>13:29:26</v>
      </c>
      <c r="F1808">
        <f>[1]!'1808.TW-Price'</f>
        <v>59.3</v>
      </c>
    </row>
    <row r="1809" spans="1:6" x14ac:dyDescent="0.25">
      <c r="A1809" t="str">
        <f>[1]!'1809.TW-ID'</f>
        <v>1809</v>
      </c>
      <c r="B1809" t="str">
        <f>[1]!'1809.TW-Name'</f>
        <v>中釉</v>
      </c>
      <c r="C1809">
        <f>[1]!'1809.TW-SimulatePrice'</f>
        <v>8.75</v>
      </c>
      <c r="D1809">
        <f>[1]!'1809.TW-PreClose'</f>
        <v>8.86</v>
      </c>
      <c r="E1809" t="str">
        <f>[1]!'1809.TW-SimulateTime'</f>
        <v>13:28:36</v>
      </c>
      <c r="F1809">
        <f>[1]!'1809.TW-Price'</f>
        <v>8.75</v>
      </c>
    </row>
    <row r="1810" spans="1:6" x14ac:dyDescent="0.25">
      <c r="A1810" t="str">
        <f>[1]!'1810.TW-ID'</f>
        <v>1810</v>
      </c>
      <c r="B1810" t="str">
        <f>[1]!'1810.TW-Name'</f>
        <v>和成</v>
      </c>
      <c r="C1810">
        <f>[1]!'1810.TW-SimulatePrice'</f>
        <v>7.27</v>
      </c>
      <c r="D1810">
        <f>[1]!'1810.TW-PreClose'</f>
        <v>7.3</v>
      </c>
      <c r="E1810" t="str">
        <f>[1]!'1810.TW-SimulateTime'</f>
        <v>13:29:31</v>
      </c>
      <c r="F1810">
        <f>[1]!'1810.TW-Price'</f>
        <v>7.27</v>
      </c>
    </row>
    <row r="1817" spans="1:6" x14ac:dyDescent="0.25">
      <c r="A1817" t="str">
        <f>[1]!'1817.TW-ID'</f>
        <v>1817</v>
      </c>
      <c r="B1817" t="str">
        <f>[1]!'1817.TW-Name'</f>
        <v>凱撒衛</v>
      </c>
      <c r="C1817">
        <f>[1]!'1817.TW-SimulatePrice'</f>
        <v>29.4</v>
      </c>
      <c r="D1817">
        <f>[1]!'1817.TW-PreClose'</f>
        <v>29.35</v>
      </c>
      <c r="E1817" t="str">
        <f>[1]!'1817.TW-SimulateTime'</f>
        <v>13:29:57</v>
      </c>
      <c r="F1817">
        <f>[1]!'1817.TW-Price'</f>
        <v>29.4</v>
      </c>
    </row>
    <row r="1902" spans="1:6" x14ac:dyDescent="0.25">
      <c r="A1902" t="str">
        <f>[1]!'1902.TW-ID'</f>
        <v>1902</v>
      </c>
      <c r="B1902" t="str">
        <f>[1]!'1902.TW-Name'</f>
        <v>台紙</v>
      </c>
      <c r="C1902">
        <f>[1]!'1902.TW-SimulatePrice'</f>
        <v>20.65</v>
      </c>
      <c r="D1902">
        <f>[1]!'1902.TW-PreClose'</f>
        <v>20.7</v>
      </c>
      <c r="E1902" t="str">
        <f>[1]!'1902.TW-SimulateTime'</f>
        <v>13:29:57</v>
      </c>
      <c r="F1902">
        <f>[1]!'1902.TW-Price'</f>
        <v>20.65</v>
      </c>
    </row>
    <row r="1903" spans="1:6" x14ac:dyDescent="0.25">
      <c r="A1903" t="str">
        <f>[1]!'1903.TW-ID'</f>
        <v>1903</v>
      </c>
      <c r="B1903" t="str">
        <f>[1]!'1903.TW-Name'</f>
        <v>士紙</v>
      </c>
      <c r="C1903">
        <f>[1]!'1903.TW-SimulatePrice'</f>
        <v>40.9</v>
      </c>
      <c r="D1903">
        <f>[1]!'1903.TW-PreClose'</f>
        <v>41.2</v>
      </c>
      <c r="E1903" t="str">
        <f>[1]!'1903.TW-SimulateTime'</f>
        <v>13:29:24</v>
      </c>
      <c r="F1903">
        <f>[1]!'1903.TW-Price'</f>
        <v>40.9</v>
      </c>
    </row>
    <row r="1904" spans="1:6" x14ac:dyDescent="0.25">
      <c r="A1904" t="str">
        <f>[1]!'1904.TW-ID'</f>
        <v>1904</v>
      </c>
      <c r="B1904" t="str">
        <f>[1]!'1904.TW-Name'</f>
        <v>正隆</v>
      </c>
      <c r="C1904">
        <f>[1]!'1904.TW-SimulatePrice'</f>
        <v>22.2</v>
      </c>
      <c r="D1904">
        <f>[1]!'1904.TW-PreClose'</f>
        <v>21.5</v>
      </c>
      <c r="E1904" t="str">
        <f>[1]!'1904.TW-SimulateTime'</f>
        <v>13:29:55</v>
      </c>
      <c r="F1904">
        <f>[1]!'1904.TW-Price'</f>
        <v>22.2</v>
      </c>
    </row>
    <row r="1905" spans="1:6" x14ac:dyDescent="0.25">
      <c r="A1905" t="str">
        <f>[1]!'1905.TW-ID'</f>
        <v>1905</v>
      </c>
      <c r="B1905" t="str">
        <f>[1]!'1905.TW-Name'</f>
        <v>華紙</v>
      </c>
      <c r="C1905">
        <f>[1]!'1905.TW-SimulatePrice'</f>
        <v>7.41</v>
      </c>
      <c r="D1905">
        <f>[1]!'1905.TW-PreClose'</f>
        <v>7.24</v>
      </c>
      <c r="E1905" t="str">
        <f>[1]!'1905.TW-SimulateTime'</f>
        <v>13:29:51</v>
      </c>
      <c r="F1905">
        <f>[1]!'1905.TW-Price'</f>
        <v>7.41</v>
      </c>
    </row>
    <row r="1906" spans="1:6" x14ac:dyDescent="0.25">
      <c r="A1906" t="str">
        <f>[1]!'1906.TW-ID'</f>
        <v>1906</v>
      </c>
      <c r="B1906" t="str">
        <f>[1]!'1906.TW-Name'</f>
        <v>寶隆</v>
      </c>
      <c r="C1906">
        <f>[1]!'1906.TW-SimulatePrice'</f>
        <v>11.7</v>
      </c>
      <c r="D1906">
        <f>[1]!'1906.TW-PreClose'</f>
        <v>12</v>
      </c>
      <c r="E1906" t="str">
        <f>[1]!'1906.TW-SimulateTime'</f>
        <v>13:28:58</v>
      </c>
      <c r="F1906">
        <f>[1]!'1906.TW-Price'</f>
        <v>11.7</v>
      </c>
    </row>
    <row r="1907" spans="1:6" x14ac:dyDescent="0.25">
      <c r="A1907" t="str">
        <f>[1]!'1907.TW-ID'</f>
        <v>1907</v>
      </c>
      <c r="B1907" t="str">
        <f>[1]!'1907.TW-Name'</f>
        <v>永豐餘</v>
      </c>
      <c r="C1907">
        <f>[1]!'1907.TW-SimulatePrice'</f>
        <v>13</v>
      </c>
      <c r="D1907">
        <f>[1]!'1907.TW-PreClose'</f>
        <v>12.75</v>
      </c>
      <c r="E1907" t="str">
        <f>[1]!'1907.TW-SimulateTime'</f>
        <v>13:29:57</v>
      </c>
      <c r="F1907">
        <f>[1]!'1907.TW-Price'</f>
        <v>13</v>
      </c>
    </row>
    <row r="1909" spans="1:6" x14ac:dyDescent="0.25">
      <c r="A1909" t="str">
        <f>[1]!'1909.TW-ID'</f>
        <v>1909</v>
      </c>
      <c r="B1909" t="str">
        <f>[1]!'1909.TW-Name'</f>
        <v>榮成</v>
      </c>
      <c r="C1909">
        <f>[1]!'1909.TW-SimulatePrice'</f>
        <v>12</v>
      </c>
      <c r="D1909">
        <f>[1]!'1909.TW-PreClose'</f>
        <v>12.05</v>
      </c>
      <c r="E1909" t="str">
        <f>[1]!'1909.TW-SimulateTime'</f>
        <v>13:29:59</v>
      </c>
      <c r="F1909">
        <f>[1]!'1909.TW-Price'</f>
        <v>12</v>
      </c>
    </row>
    <row r="2002" spans="1:6" x14ac:dyDescent="0.25">
      <c r="A2002" t="str">
        <f>[1]!'2002.TW-ID'</f>
        <v>2002</v>
      </c>
      <c r="B2002" t="str">
        <f>[1]!'2002.TW-Name'</f>
        <v>中鋼</v>
      </c>
      <c r="C2002">
        <f>[1]!'2002.TW-SimulatePrice'</f>
        <v>19.55</v>
      </c>
      <c r="D2002">
        <f>[1]!'2002.TW-PreClose'</f>
        <v>19.55</v>
      </c>
      <c r="E2002" t="str">
        <f>[1]!'2002.TW-SimulateTime'</f>
        <v>13:29:56</v>
      </c>
      <c r="F2002">
        <f>[1]!'2002.TW-Price'</f>
        <v>19.55</v>
      </c>
    </row>
    <row r="2006" spans="1:6" x14ac:dyDescent="0.25">
      <c r="A2006" t="str">
        <f>[1]!'2006.TW-ID'</f>
        <v>2006</v>
      </c>
      <c r="B2006" t="str">
        <f>[1]!'2006.TW-Name'</f>
        <v>東和鋼鐵</v>
      </c>
      <c r="C2006">
        <f>[1]!'2006.TW-SimulatePrice'</f>
        <v>23.1</v>
      </c>
      <c r="D2006">
        <f>[1]!'2006.TW-PreClose'</f>
        <v>23.05</v>
      </c>
      <c r="E2006" t="str">
        <f>[1]!'2006.TW-SimulateTime'</f>
        <v>13:29:56</v>
      </c>
      <c r="F2006">
        <f>[1]!'2006.TW-Price'</f>
        <v>23.1</v>
      </c>
    </row>
    <row r="2007" spans="1:6" x14ac:dyDescent="0.25">
      <c r="A2007" t="str">
        <f>[1]!'2007.TW-ID'</f>
        <v>2007</v>
      </c>
      <c r="B2007" t="str">
        <f>[1]!'2007.TW-Name'</f>
        <v>燁興</v>
      </c>
      <c r="C2007">
        <f>[1]!'2007.TW-SimulatePrice'</f>
        <v>3.7</v>
      </c>
      <c r="D2007">
        <f>[1]!'2007.TW-PreClose'</f>
        <v>3.75</v>
      </c>
      <c r="E2007" t="str">
        <f>[1]!'2007.TW-SimulateTime'</f>
        <v>13:29:52</v>
      </c>
      <c r="F2007">
        <f>[1]!'2007.TW-Price'</f>
        <v>3.7</v>
      </c>
    </row>
    <row r="2008" spans="1:6" x14ac:dyDescent="0.25">
      <c r="A2008" t="str">
        <f>[1]!'2008.TW-ID'</f>
        <v>2008</v>
      </c>
      <c r="B2008" t="str">
        <f>[1]!'2008.TW-Name'</f>
        <v>高興昌</v>
      </c>
      <c r="C2008" t="str">
        <f>[1]!'2008.TW-SimulatePrice'</f>
        <v>--</v>
      </c>
      <c r="D2008">
        <f>[1]!'2008.TW-PreClose'</f>
        <v>12.3</v>
      </c>
      <c r="E2008" t="str">
        <f>[1]!'2008.TW-SimulateTime'</f>
        <v>--</v>
      </c>
      <c r="F2008">
        <f>[1]!'2008.TW-Price'</f>
        <v>12.35</v>
      </c>
    </row>
    <row r="2009" spans="1:6" x14ac:dyDescent="0.25">
      <c r="A2009" t="str">
        <f>[1]!'2009.TW-ID'</f>
        <v>2009</v>
      </c>
      <c r="B2009" t="str">
        <f>[1]!'2009.TW-Name'</f>
        <v>第一銅</v>
      </c>
      <c r="C2009">
        <f>[1]!'2009.TW-SimulatePrice'</f>
        <v>7.23</v>
      </c>
      <c r="D2009">
        <f>[1]!'2009.TW-PreClose'</f>
        <v>7.27</v>
      </c>
      <c r="E2009" t="str">
        <f>[1]!'2009.TW-SimulateTime'</f>
        <v>13:28:46</v>
      </c>
      <c r="F2009">
        <f>[1]!'2009.TW-Price'</f>
        <v>7.23</v>
      </c>
    </row>
    <row r="2010" spans="1:6" x14ac:dyDescent="0.25">
      <c r="A2010" t="str">
        <f>[1]!'2010.TW-ID'</f>
        <v>2010</v>
      </c>
      <c r="B2010" t="str">
        <f>[1]!'2010.TW-Name'</f>
        <v>春源</v>
      </c>
      <c r="C2010">
        <f>[1]!'2010.TW-SimulatePrice'</f>
        <v>9.2799999999999994</v>
      </c>
      <c r="D2010">
        <f>[1]!'2010.TW-PreClose'</f>
        <v>9.2899999999999991</v>
      </c>
      <c r="E2010" t="str">
        <f>[1]!'2010.TW-SimulateTime'</f>
        <v>13:27:24</v>
      </c>
      <c r="F2010">
        <f>[1]!'2010.TW-Price'</f>
        <v>9.2799999999999994</v>
      </c>
    </row>
    <row r="2012" spans="1:6" x14ac:dyDescent="0.25">
      <c r="A2012" t="str">
        <f>[1]!'2012.TW-ID'</f>
        <v>2012</v>
      </c>
      <c r="B2012" t="str">
        <f>[1]!'2012.TW-Name'</f>
        <v>春雨</v>
      </c>
      <c r="C2012">
        <f>[1]!'2012.TW-SimulatePrice'</f>
        <v>17.399999999999999</v>
      </c>
      <c r="D2012">
        <f>[1]!'2012.TW-PreClose'</f>
        <v>17.45</v>
      </c>
      <c r="E2012" t="str">
        <f>[1]!'2012.TW-SimulateTime'</f>
        <v>13:29:12</v>
      </c>
      <c r="F2012">
        <f>[1]!'2012.TW-Price'</f>
        <v>17.399999999999999</v>
      </c>
    </row>
    <row r="2013" spans="1:6" x14ac:dyDescent="0.25">
      <c r="A2013" t="str">
        <f>[1]!'2013.TW-ID'</f>
        <v>2013</v>
      </c>
      <c r="B2013" t="str">
        <f>[1]!'2013.TW-Name'</f>
        <v>中鋼構</v>
      </c>
      <c r="C2013">
        <f>[1]!'2013.TW-SimulatePrice'</f>
        <v>24.2</v>
      </c>
      <c r="D2013">
        <f>[1]!'2013.TW-PreClose'</f>
        <v>23.75</v>
      </c>
      <c r="E2013" t="str">
        <f>[1]!'2013.TW-SimulateTime'</f>
        <v>13:29:52</v>
      </c>
      <c r="F2013">
        <f>[1]!'2013.TW-Price'</f>
        <v>24.2</v>
      </c>
    </row>
    <row r="2014" spans="1:6" x14ac:dyDescent="0.25">
      <c r="A2014" t="str">
        <f>[1]!'2014.TW-ID'</f>
        <v>2014</v>
      </c>
      <c r="B2014" t="str">
        <f>[1]!'2014.TW-Name'</f>
        <v>中鴻</v>
      </c>
      <c r="C2014">
        <f>[1]!'2014.TW-SimulatePrice'</f>
        <v>7.15</v>
      </c>
      <c r="D2014">
        <f>[1]!'2014.TW-PreClose'</f>
        <v>7.21</v>
      </c>
      <c r="E2014" t="str">
        <f>[1]!'2014.TW-SimulateTime'</f>
        <v>13:29:43</v>
      </c>
      <c r="F2014">
        <f>[1]!'2014.TW-Price'</f>
        <v>7.15</v>
      </c>
    </row>
    <row r="2015" spans="1:6" x14ac:dyDescent="0.25">
      <c r="A2015" t="str">
        <f>[1]!'2015.TW-ID'</f>
        <v>2015</v>
      </c>
      <c r="B2015" t="str">
        <f>[1]!'2015.TW-Name'</f>
        <v>豐興</v>
      </c>
      <c r="C2015">
        <f>[1]!'2015.TW-SimulatePrice'</f>
        <v>51.9</v>
      </c>
      <c r="D2015">
        <f>[1]!'2015.TW-PreClose'</f>
        <v>51.7</v>
      </c>
      <c r="E2015" t="str">
        <f>[1]!'2015.TW-SimulateTime'</f>
        <v>13:28:21</v>
      </c>
      <c r="F2015">
        <f>[1]!'2015.TW-Price'</f>
        <v>51.8</v>
      </c>
    </row>
    <row r="2017" spans="1:6" x14ac:dyDescent="0.25">
      <c r="A2017" t="str">
        <f>[1]!'2017.TW-ID'</f>
        <v>2017</v>
      </c>
      <c r="B2017" t="str">
        <f>[1]!'2017.TW-Name'</f>
        <v>官田鋼</v>
      </c>
      <c r="C2017">
        <f>[1]!'2017.TW-SimulatePrice'</f>
        <v>6.72</v>
      </c>
      <c r="D2017">
        <f>[1]!'2017.TW-PreClose'</f>
        <v>6.69</v>
      </c>
      <c r="E2017" t="str">
        <f>[1]!'2017.TW-SimulateTime'</f>
        <v>13:29:13</v>
      </c>
      <c r="F2017">
        <f>[1]!'2017.TW-Price'</f>
        <v>6.72</v>
      </c>
    </row>
    <row r="2020" spans="1:6" x14ac:dyDescent="0.25">
      <c r="A2020" t="str">
        <f>[1]!'2020.TW-ID'</f>
        <v>2020</v>
      </c>
      <c r="B2020" t="str">
        <f>[1]!'2020.TW-Name'</f>
        <v>美亞</v>
      </c>
      <c r="C2020">
        <f>[1]!'2020.TW-SimulatePrice'</f>
        <v>17.7</v>
      </c>
      <c r="D2020">
        <f>[1]!'2020.TW-PreClose'</f>
        <v>17.7</v>
      </c>
      <c r="E2020" t="str">
        <f>[1]!'2020.TW-SimulateTime'</f>
        <v>13:28:49</v>
      </c>
      <c r="F2020">
        <f>[1]!'2020.TW-Price'</f>
        <v>17.7</v>
      </c>
    </row>
    <row r="2022" spans="1:6" x14ac:dyDescent="0.25">
      <c r="A2022" t="str">
        <f>[1]!'2022.TW-ID'</f>
        <v>2022</v>
      </c>
      <c r="B2022" t="str">
        <f>[1]!'2022.TW-Name'</f>
        <v>聚亨</v>
      </c>
      <c r="C2022">
        <f>[1]!'2022.TW-SimulatePrice'</f>
        <v>4</v>
      </c>
      <c r="D2022">
        <f>[1]!'2022.TW-PreClose'</f>
        <v>4</v>
      </c>
      <c r="E2022" t="str">
        <f>[1]!'2022.TW-SimulateTime'</f>
        <v>13:29:47</v>
      </c>
      <c r="F2022">
        <f>[1]!'2022.TW-Price'</f>
        <v>4</v>
      </c>
    </row>
    <row r="2023" spans="1:6" x14ac:dyDescent="0.25">
      <c r="A2023" t="str">
        <f>[1]!'2023.TW-ID'</f>
        <v>2023</v>
      </c>
      <c r="B2023" t="str">
        <f>[1]!'2023.TW-Name'</f>
        <v>燁輝</v>
      </c>
      <c r="C2023">
        <f>[1]!'2023.TW-SimulatePrice'</f>
        <v>8.33</v>
      </c>
      <c r="D2023">
        <f>[1]!'2023.TW-PreClose'</f>
        <v>8.33</v>
      </c>
      <c r="E2023" t="str">
        <f>[1]!'2023.TW-SimulateTime'</f>
        <v>13:29:54</v>
      </c>
      <c r="F2023">
        <f>[1]!'2023.TW-Price'</f>
        <v>8.33</v>
      </c>
    </row>
    <row r="2024" spans="1:6" x14ac:dyDescent="0.25">
      <c r="A2024" t="str">
        <f>[1]!'2024.TW-ID'</f>
        <v>2024</v>
      </c>
      <c r="B2024" t="str">
        <f>[1]!'2024.TW-Name'</f>
        <v>志聯</v>
      </c>
      <c r="C2024">
        <f>[1]!'2024.TW-SimulatePrice'</f>
        <v>12.15</v>
      </c>
      <c r="D2024">
        <f>[1]!'2024.TW-PreClose'</f>
        <v>12</v>
      </c>
      <c r="E2024" t="str">
        <f>[1]!'2024.TW-SimulateTime'</f>
        <v>13:29:58</v>
      </c>
      <c r="F2024">
        <f>[1]!'2024.TW-Price'</f>
        <v>12.15</v>
      </c>
    </row>
    <row r="2025" spans="1:6" x14ac:dyDescent="0.25">
      <c r="A2025" t="str">
        <f>[1]!'2025.TW-ID'</f>
        <v>2025</v>
      </c>
      <c r="B2025" t="str">
        <f>[1]!'2025.TW-Name'</f>
        <v>千興</v>
      </c>
      <c r="C2025" t="str">
        <f>[1]!'2025.TW-SimulatePrice'</f>
        <v>--</v>
      </c>
      <c r="D2025">
        <f>[1]!'2025.TW-PreClose'</f>
        <v>1.78</v>
      </c>
      <c r="E2025" t="str">
        <f>[1]!'2025.TW-SimulateTime'</f>
        <v>--</v>
      </c>
      <c r="F2025">
        <f>[1]!'2025.TW-Price'</f>
        <v>1.75</v>
      </c>
    </row>
    <row r="2027" spans="1:6" x14ac:dyDescent="0.25">
      <c r="A2027" t="str">
        <f>[1]!'2027.TW-ID'</f>
        <v>2027</v>
      </c>
      <c r="B2027" t="str">
        <f>[1]!'2027.TW-Name'</f>
        <v>大成鋼</v>
      </c>
      <c r="C2027">
        <f>[1]!'2027.TW-SimulatePrice'</f>
        <v>25.55</v>
      </c>
      <c r="D2027">
        <f>[1]!'2027.TW-PreClose'</f>
        <v>25.8</v>
      </c>
      <c r="E2027" t="str">
        <f>[1]!'2027.TW-SimulateTime'</f>
        <v>13:29:59</v>
      </c>
      <c r="F2027">
        <f>[1]!'2027.TW-Price'</f>
        <v>25.55</v>
      </c>
    </row>
    <row r="2028" spans="1:6" x14ac:dyDescent="0.25">
      <c r="A2028" t="str">
        <f>[1]!'2028.TW-ID'</f>
        <v>2028</v>
      </c>
      <c r="B2028" t="str">
        <f>[1]!'2028.TW-Name'</f>
        <v>威致</v>
      </c>
      <c r="C2028" t="str">
        <f>[1]!'2028.TW-SimulatePrice'</f>
        <v>--</v>
      </c>
      <c r="D2028">
        <f>[1]!'2028.TW-PreClose'</f>
        <v>9.5</v>
      </c>
      <c r="E2028" t="str">
        <f>[1]!'2028.TW-SimulateTime'</f>
        <v>--</v>
      </c>
      <c r="F2028">
        <f>[1]!'2028.TW-Price'</f>
        <v>9.4</v>
      </c>
    </row>
    <row r="2029" spans="1:6" x14ac:dyDescent="0.25">
      <c r="A2029" t="str">
        <f>[1]!'2029.TW-ID'</f>
        <v>2029</v>
      </c>
      <c r="B2029" t="str">
        <f>[1]!'2029.TW-Name'</f>
        <v>盛餘</v>
      </c>
      <c r="C2029">
        <f>[1]!'2029.TW-SimulatePrice'</f>
        <v>15.8</v>
      </c>
      <c r="D2029">
        <f>[1]!'2029.TW-PreClose'</f>
        <v>15.8</v>
      </c>
      <c r="E2029" t="str">
        <f>[1]!'2029.TW-SimulateTime'</f>
        <v>13:29:20</v>
      </c>
      <c r="F2029">
        <f>[1]!'2029.TW-Price'</f>
        <v>15.8</v>
      </c>
    </row>
    <row r="2030" spans="1:6" x14ac:dyDescent="0.25">
      <c r="A2030" t="str">
        <f>[1]!'2030.TW-ID'</f>
        <v>2030</v>
      </c>
      <c r="B2030" t="str">
        <f>[1]!'2030.TW-Name'</f>
        <v>彰源</v>
      </c>
      <c r="C2030">
        <f>[1]!'2030.TW-SimulatePrice'</f>
        <v>10.1</v>
      </c>
      <c r="D2030">
        <f>[1]!'2030.TW-PreClose'</f>
        <v>10.1</v>
      </c>
      <c r="E2030" t="str">
        <f>[1]!'2030.TW-SimulateTime'</f>
        <v>13:28:35</v>
      </c>
      <c r="F2030">
        <f>[1]!'2030.TW-Price'</f>
        <v>10.1</v>
      </c>
    </row>
    <row r="2031" spans="1:6" x14ac:dyDescent="0.25">
      <c r="A2031" t="str">
        <f>[1]!'2031.TW-ID'</f>
        <v>2031</v>
      </c>
      <c r="B2031" t="str">
        <f>[1]!'2031.TW-Name'</f>
        <v>新光鋼</v>
      </c>
      <c r="C2031">
        <f>[1]!'2031.TW-SimulatePrice'</f>
        <v>23.6</v>
      </c>
      <c r="D2031">
        <f>[1]!'2031.TW-PreClose'</f>
        <v>23.85</v>
      </c>
      <c r="E2031" t="str">
        <f>[1]!'2031.TW-SimulateTime'</f>
        <v>13:29:56</v>
      </c>
      <c r="F2031">
        <f>[1]!'2031.TW-Price'</f>
        <v>23.6</v>
      </c>
    </row>
    <row r="2032" spans="1:6" x14ac:dyDescent="0.25">
      <c r="A2032" t="str">
        <f>[1]!'2032.TW-ID'</f>
        <v>2032</v>
      </c>
      <c r="B2032" t="str">
        <f>[1]!'2032.TW-Name'</f>
        <v>新鋼</v>
      </c>
      <c r="C2032" t="str">
        <f>[1]!'2032.TW-SimulatePrice'</f>
        <v>--</v>
      </c>
      <c r="D2032">
        <f>[1]!'2032.TW-PreClose'</f>
        <v>8.23</v>
      </c>
      <c r="E2032" t="str">
        <f>[1]!'2032.TW-SimulateTime'</f>
        <v>--</v>
      </c>
      <c r="F2032">
        <f>[1]!'2032.TW-Price'</f>
        <v>8.2799999999999994</v>
      </c>
    </row>
    <row r="2033" spans="1:6" x14ac:dyDescent="0.25">
      <c r="A2033" t="str">
        <f>[1]!'2033.TW-ID'</f>
        <v>2033</v>
      </c>
      <c r="B2033" t="str">
        <f>[1]!'2033.TW-Name'</f>
        <v>佳大</v>
      </c>
      <c r="C2033">
        <f>[1]!'2033.TW-SimulatePrice'</f>
        <v>9.31</v>
      </c>
      <c r="D2033">
        <f>[1]!'2033.TW-PreClose'</f>
        <v>9.42</v>
      </c>
      <c r="E2033" t="str">
        <f>[1]!'2033.TW-SimulateTime'</f>
        <v>13:27:52</v>
      </c>
      <c r="F2033">
        <f>[1]!'2033.TW-Price'</f>
        <v>9.31</v>
      </c>
    </row>
    <row r="2034" spans="1:6" x14ac:dyDescent="0.25">
      <c r="A2034" t="str">
        <f>[1]!'2034.TW-ID'</f>
        <v>2034</v>
      </c>
      <c r="B2034" t="str">
        <f>[1]!'2034.TW-Name'</f>
        <v>允強</v>
      </c>
      <c r="C2034">
        <f>[1]!'2034.TW-SimulatePrice'</f>
        <v>23.4</v>
      </c>
      <c r="D2034">
        <f>[1]!'2034.TW-PreClose'</f>
        <v>23.4</v>
      </c>
      <c r="E2034" t="str">
        <f>[1]!'2034.TW-SimulateTime'</f>
        <v>13:29:30</v>
      </c>
      <c r="F2034">
        <f>[1]!'2034.TW-Price'</f>
        <v>23.35</v>
      </c>
    </row>
    <row r="2038" spans="1:6" x14ac:dyDescent="0.25">
      <c r="A2038" t="str">
        <f>[1]!'2038.TW-ID'</f>
        <v>2038</v>
      </c>
      <c r="B2038" t="str">
        <f>[1]!'2038.TW-Name'</f>
        <v>海光</v>
      </c>
      <c r="C2038">
        <f>[1]!'2038.TW-SimulatePrice'</f>
        <v>6.5</v>
      </c>
      <c r="D2038">
        <f>[1]!'2038.TW-PreClose'</f>
        <v>5.91</v>
      </c>
      <c r="E2038" t="str">
        <f>[1]!'2038.TW-SimulateTime'</f>
        <v>13:29:58</v>
      </c>
      <c r="F2038">
        <f>[1]!'2038.TW-Price'</f>
        <v>6.5</v>
      </c>
    </row>
    <row r="2049" spans="1:6" x14ac:dyDescent="0.25">
      <c r="A2049" t="str">
        <f>[1]!'2049.TW-ID'</f>
        <v>2049</v>
      </c>
      <c r="B2049" t="str">
        <f>[1]!'2049.TW-Name'</f>
        <v>上銀</v>
      </c>
      <c r="C2049">
        <f>[1]!'2049.TW-SimulatePrice'</f>
        <v>283</v>
      </c>
      <c r="D2049">
        <f>[1]!'2049.TW-PreClose'</f>
        <v>286.5</v>
      </c>
      <c r="E2049" t="str">
        <f>[1]!'2049.TW-SimulateTime'</f>
        <v>13:29:57</v>
      </c>
      <c r="F2049">
        <f>[1]!'2049.TW-Price'</f>
        <v>283.5</v>
      </c>
    </row>
    <row r="2059" spans="1:6" x14ac:dyDescent="0.25">
      <c r="A2059" t="str">
        <f>[1]!'2059.TW-ID'</f>
        <v>2059</v>
      </c>
      <c r="B2059" t="str">
        <f>[1]!'2059.TW-Name'</f>
        <v>川湖</v>
      </c>
      <c r="C2059">
        <f>[1]!'2059.TW-SimulatePrice'</f>
        <v>301</v>
      </c>
      <c r="D2059">
        <f>[1]!'2059.TW-PreClose'</f>
        <v>307</v>
      </c>
      <c r="E2059" t="str">
        <f>[1]!'2059.TW-SimulateTime'</f>
        <v>13:29:58</v>
      </c>
      <c r="F2059">
        <f>[1]!'2059.TW-Price'</f>
        <v>301</v>
      </c>
    </row>
    <row r="2062" spans="1:6" x14ac:dyDescent="0.25">
      <c r="A2062" t="str">
        <f>[1]!'2062.TW-ID'</f>
        <v>2062</v>
      </c>
      <c r="B2062" t="str">
        <f>[1]!'2062.TW-Name'</f>
        <v>橋椿</v>
      </c>
      <c r="C2062">
        <f>[1]!'2062.TW-SimulatePrice'</f>
        <v>19.100000000000001</v>
      </c>
      <c r="D2062">
        <f>[1]!'2062.TW-PreClose'</f>
        <v>19.05</v>
      </c>
      <c r="E2062" t="str">
        <f>[1]!'2062.TW-SimulateTime'</f>
        <v>13:26:23</v>
      </c>
      <c r="F2062">
        <f>[1]!'2062.TW-Price'</f>
        <v>19.100000000000001</v>
      </c>
    </row>
    <row r="2069" spans="1:6" x14ac:dyDescent="0.25">
      <c r="A2069" t="str">
        <f>[1]!'2069.TW-ID'</f>
        <v>2069</v>
      </c>
      <c r="B2069" t="str">
        <f>[1]!'2069.TW-Name'</f>
        <v>運錩</v>
      </c>
      <c r="C2069" t="str">
        <f>[1]!'2069.TW-SimulatePrice'</f>
        <v>--</v>
      </c>
      <c r="D2069">
        <f>[1]!'2069.TW-PreClose'</f>
        <v>15.95</v>
      </c>
      <c r="E2069" t="str">
        <f>[1]!'2069.TW-SimulateTime'</f>
        <v>--</v>
      </c>
      <c r="F2069">
        <f>[1]!'2069.TW-Price'</f>
        <v>16.3</v>
      </c>
    </row>
    <row r="2101" spans="1:6" x14ac:dyDescent="0.25">
      <c r="A2101" t="str">
        <f>[1]!'2101.TW-ID'</f>
        <v>2101</v>
      </c>
      <c r="B2101" t="str">
        <f>[1]!'2101.TW-Name'</f>
        <v>南港</v>
      </c>
      <c r="C2101">
        <f>[1]!'2101.TW-SimulatePrice'</f>
        <v>38.1</v>
      </c>
      <c r="D2101">
        <f>[1]!'2101.TW-PreClose'</f>
        <v>38.200000000000003</v>
      </c>
      <c r="E2101" t="str">
        <f>[1]!'2101.TW-SimulateTime'</f>
        <v>13:29:55</v>
      </c>
      <c r="F2101">
        <f>[1]!'2101.TW-Price'</f>
        <v>38.1</v>
      </c>
    </row>
    <row r="2102" spans="1:6" x14ac:dyDescent="0.25">
      <c r="A2102" t="str">
        <f>[1]!'2102.TW-ID'</f>
        <v>2102</v>
      </c>
      <c r="B2102" t="str">
        <f>[1]!'2102.TW-Name'</f>
        <v>泰豐</v>
      </c>
      <c r="C2102">
        <f>[1]!'2102.TW-SimulatePrice'</f>
        <v>15.4</v>
      </c>
      <c r="D2102">
        <f>[1]!'2102.TW-PreClose'</f>
        <v>15.5</v>
      </c>
      <c r="E2102" t="str">
        <f>[1]!'2102.TW-SimulateTime'</f>
        <v>13:29:56</v>
      </c>
      <c r="F2102">
        <f>[1]!'2102.TW-Price'</f>
        <v>15.4</v>
      </c>
    </row>
    <row r="2103" spans="1:6" x14ac:dyDescent="0.25">
      <c r="A2103" t="str">
        <f>[1]!'2103.TW-ID'</f>
        <v>2103</v>
      </c>
      <c r="B2103" t="str">
        <f>[1]!'2103.TW-Name'</f>
        <v>台橡</v>
      </c>
      <c r="C2103">
        <f>[1]!'2103.TW-SimulatePrice'</f>
        <v>16.100000000000001</v>
      </c>
      <c r="D2103">
        <f>[1]!'2103.TW-PreClose'</f>
        <v>16.2</v>
      </c>
      <c r="E2103" t="str">
        <f>[1]!'2103.TW-SimulateTime'</f>
        <v>13:29:59</v>
      </c>
      <c r="F2103">
        <f>[1]!'2103.TW-Price'</f>
        <v>16.100000000000001</v>
      </c>
    </row>
    <row r="2104" spans="1:6" x14ac:dyDescent="0.25">
      <c r="A2104" t="str">
        <f>[1]!'2104.TW-ID'</f>
        <v>2104</v>
      </c>
      <c r="B2104" t="str">
        <f>[1]!'2104.TW-Name'</f>
        <v>國際中橡</v>
      </c>
      <c r="C2104">
        <f>[1]!'2104.TW-SimulatePrice'</f>
        <v>19.899999999999999</v>
      </c>
      <c r="D2104">
        <f>[1]!'2104.TW-PreClose'</f>
        <v>19.899999999999999</v>
      </c>
      <c r="E2104" t="str">
        <f>[1]!'2104.TW-SimulateTime'</f>
        <v>13:29:51</v>
      </c>
      <c r="F2104">
        <f>[1]!'2104.TW-Price'</f>
        <v>19.899999999999999</v>
      </c>
    </row>
    <row r="2105" spans="1:6" x14ac:dyDescent="0.25">
      <c r="A2105" t="str">
        <f>[1]!'2105.TW-ID'</f>
        <v>2105</v>
      </c>
      <c r="B2105" t="str">
        <f>[1]!'2105.TW-Name'</f>
        <v>正新</v>
      </c>
      <c r="C2105">
        <f>[1]!'2105.TW-SimulatePrice'</f>
        <v>31.8</v>
      </c>
      <c r="D2105">
        <f>[1]!'2105.TW-PreClose'</f>
        <v>32</v>
      </c>
      <c r="E2105" t="str">
        <f>[1]!'2105.TW-SimulateTime'</f>
        <v>13:29:55</v>
      </c>
      <c r="F2105">
        <f>[1]!'2105.TW-Price'</f>
        <v>31.8</v>
      </c>
    </row>
    <row r="2106" spans="1:6" x14ac:dyDescent="0.25">
      <c r="A2106" t="str">
        <f>[1]!'2106.TW-ID'</f>
        <v>2106</v>
      </c>
      <c r="B2106" t="str">
        <f>[1]!'2106.TW-Name'</f>
        <v>建大</v>
      </c>
      <c r="C2106">
        <f>[1]!'2106.TW-SimulatePrice'</f>
        <v>28.9</v>
      </c>
      <c r="D2106">
        <f>[1]!'2106.TW-PreClose'</f>
        <v>26.3</v>
      </c>
      <c r="E2106" t="str">
        <f>[1]!'2106.TW-SimulateTime'</f>
        <v>13:29:58</v>
      </c>
      <c r="F2106">
        <f>[1]!'2106.TW-Price'</f>
        <v>28.9</v>
      </c>
    </row>
    <row r="2107" spans="1:6" x14ac:dyDescent="0.25">
      <c r="A2107" t="str">
        <f>[1]!'2107.TW-ID'</f>
        <v>2107</v>
      </c>
      <c r="B2107" t="str">
        <f>[1]!'2107.TW-Name'</f>
        <v>厚生</v>
      </c>
      <c r="C2107">
        <f>[1]!'2107.TW-SimulatePrice'</f>
        <v>17.95</v>
      </c>
      <c r="D2107">
        <f>[1]!'2107.TW-PreClose'</f>
        <v>17.899999999999999</v>
      </c>
      <c r="E2107" t="str">
        <f>[1]!'2107.TW-SimulateTime'</f>
        <v>13:29:39</v>
      </c>
      <c r="F2107">
        <f>[1]!'2107.TW-Price'</f>
        <v>17.95</v>
      </c>
    </row>
    <row r="2108" spans="1:6" x14ac:dyDescent="0.25">
      <c r="A2108" t="str">
        <f>[1]!'2108.TW-ID'</f>
        <v>2108</v>
      </c>
      <c r="B2108" t="str">
        <f>[1]!'2108.TW-Name'</f>
        <v>南帝</v>
      </c>
      <c r="C2108">
        <f>[1]!'2108.TW-SimulatePrice'</f>
        <v>36.5</v>
      </c>
      <c r="D2108">
        <f>[1]!'2108.TW-PreClose'</f>
        <v>36.299999999999997</v>
      </c>
      <c r="E2108" t="str">
        <f>[1]!'2108.TW-SimulateTime'</f>
        <v>13:29:58</v>
      </c>
      <c r="F2108">
        <f>[1]!'2108.TW-Price'</f>
        <v>36.5</v>
      </c>
    </row>
    <row r="2109" spans="1:6" x14ac:dyDescent="0.25">
      <c r="A2109" t="str">
        <f>[1]!'2109.TW-ID'</f>
        <v>2109</v>
      </c>
      <c r="B2109" t="str">
        <f>[1]!'2109.TW-Name'</f>
        <v>華豐</v>
      </c>
      <c r="C2109">
        <f>[1]!'2109.TW-SimulatePrice'</f>
        <v>12.85</v>
      </c>
      <c r="D2109">
        <f>[1]!'2109.TW-PreClose'</f>
        <v>12.85</v>
      </c>
      <c r="E2109" t="str">
        <f>[1]!'2109.TW-SimulateTime'</f>
        <v>13:29:41</v>
      </c>
      <c r="F2109">
        <f>[1]!'2109.TW-Price'</f>
        <v>12.85</v>
      </c>
    </row>
    <row r="2114" spans="1:6" x14ac:dyDescent="0.25">
      <c r="A2114" t="str">
        <f>[1]!'2114.TW-ID'</f>
        <v>2114</v>
      </c>
      <c r="B2114" t="str">
        <f>[1]!'2114.TW-Name'</f>
        <v>鑫永銓</v>
      </c>
      <c r="C2114" t="str">
        <f>[1]!'2114.TW-SimulatePrice'</f>
        <v>--</v>
      </c>
      <c r="D2114">
        <f>[1]!'2114.TW-PreClose'</f>
        <v>80</v>
      </c>
      <c r="E2114" t="str">
        <f>[1]!'2114.TW-SimulateTime'</f>
        <v>--</v>
      </c>
      <c r="F2114">
        <f>[1]!'2114.TW-Price'</f>
        <v>79.8</v>
      </c>
    </row>
    <row r="2115" spans="1:6" x14ac:dyDescent="0.25">
      <c r="A2115" t="str">
        <f>[1]!'2115.TW-ID'</f>
        <v>2115</v>
      </c>
      <c r="B2115" t="str">
        <f>[1]!'2115.TW-Name'</f>
        <v>六暉-KY</v>
      </c>
      <c r="C2115">
        <f>[1]!'2115.TW-SimulatePrice'</f>
        <v>39.25</v>
      </c>
      <c r="D2115">
        <f>[1]!'2115.TW-PreClose'</f>
        <v>39</v>
      </c>
      <c r="E2115" t="str">
        <f>[1]!'2115.TW-SimulateTime'</f>
        <v>13:29:44</v>
      </c>
      <c r="F2115">
        <f>[1]!'2115.TW-Price'</f>
        <v>39.25</v>
      </c>
    </row>
    <row r="2201" spans="1:6" x14ac:dyDescent="0.25">
      <c r="A2201" t="str">
        <f>[1]!'2201.TW-ID'</f>
        <v>2201</v>
      </c>
      <c r="B2201" t="str">
        <f>[1]!'2201.TW-Name'</f>
        <v>裕隆</v>
      </c>
      <c r="C2201">
        <f>[1]!'2201.TW-SimulatePrice'</f>
        <v>16.899999999999999</v>
      </c>
      <c r="D2201">
        <f>[1]!'2201.TW-PreClose'</f>
        <v>16.7</v>
      </c>
      <c r="E2201" t="str">
        <f>[1]!'2201.TW-SimulateTime'</f>
        <v>13:29:58</v>
      </c>
      <c r="F2201">
        <f>[1]!'2201.TW-Price'</f>
        <v>16.899999999999999</v>
      </c>
    </row>
    <row r="2204" spans="1:6" x14ac:dyDescent="0.25">
      <c r="A2204" t="str">
        <f>[1]!'2204.TW-ID'</f>
        <v>2204</v>
      </c>
      <c r="B2204" t="str">
        <f>[1]!'2204.TW-Name'</f>
        <v>中華</v>
      </c>
      <c r="C2204">
        <f>[1]!'2204.TW-SimulatePrice'</f>
        <v>32.450000000000003</v>
      </c>
      <c r="D2204">
        <f>[1]!'2204.TW-PreClose'</f>
        <v>29.5</v>
      </c>
      <c r="E2204" t="str">
        <f>[1]!'2204.TW-SimulateTime'</f>
        <v>13:29:37</v>
      </c>
      <c r="F2204">
        <f>[1]!'2204.TW-Price'</f>
        <v>32.450000000000003</v>
      </c>
    </row>
    <row r="2206" spans="1:6" x14ac:dyDescent="0.25">
      <c r="A2206" t="str">
        <f>[1]!'2206.TW-ID'</f>
        <v>2206</v>
      </c>
      <c r="B2206" t="str">
        <f>[1]!'2206.TW-Name'</f>
        <v>三陽工業</v>
      </c>
      <c r="C2206">
        <f>[1]!'2206.TW-SimulatePrice'</f>
        <v>19.8</v>
      </c>
      <c r="D2206">
        <f>[1]!'2206.TW-PreClose'</f>
        <v>19.8</v>
      </c>
      <c r="E2206" t="str">
        <f>[1]!'2206.TW-SimulateTime'</f>
        <v>13:29:57</v>
      </c>
      <c r="F2206">
        <f>[1]!'2206.TW-Price'</f>
        <v>19.8</v>
      </c>
    </row>
    <row r="2207" spans="1:6" x14ac:dyDescent="0.25">
      <c r="A2207" t="str">
        <f>[1]!'2207.TW-ID'</f>
        <v>2207</v>
      </c>
      <c r="B2207" t="str">
        <f>[1]!'2207.TW-Name'</f>
        <v>和泰車</v>
      </c>
      <c r="C2207">
        <f>[1]!'2207.TW-SimulatePrice'</f>
        <v>508</v>
      </c>
      <c r="D2207">
        <f>[1]!'2207.TW-PreClose'</f>
        <v>515</v>
      </c>
      <c r="E2207" t="str">
        <f>[1]!'2207.TW-SimulateTime'</f>
        <v>13:29:55</v>
      </c>
      <c r="F2207">
        <f>[1]!'2207.TW-Price'</f>
        <v>509</v>
      </c>
    </row>
    <row r="2208" spans="1:6" x14ac:dyDescent="0.25">
      <c r="A2208" t="str">
        <f>[1]!'2208.TW-ID'</f>
        <v>2208</v>
      </c>
      <c r="B2208" t="str">
        <f>[1]!'2208.TW-Name'</f>
        <v>台船</v>
      </c>
      <c r="C2208">
        <f>[1]!'2208.TW-SimulatePrice'</f>
        <v>23.45</v>
      </c>
      <c r="D2208">
        <f>[1]!'2208.TW-PreClose'</f>
        <v>23.75</v>
      </c>
      <c r="E2208" t="str">
        <f>[1]!'2208.TW-SimulateTime'</f>
        <v>13:29:55</v>
      </c>
      <c r="F2208">
        <f>[1]!'2208.TW-Price'</f>
        <v>23.5</v>
      </c>
    </row>
    <row r="2227" spans="1:6" x14ac:dyDescent="0.25">
      <c r="A2227" t="str">
        <f>[1]!'2227.TW-ID'</f>
        <v>2227</v>
      </c>
      <c r="B2227" t="str">
        <f>[1]!'2227.TW-Name'</f>
        <v>裕日車</v>
      </c>
      <c r="C2227">
        <f>[1]!'2227.TW-SimulatePrice'</f>
        <v>258.5</v>
      </c>
      <c r="D2227">
        <f>[1]!'2227.TW-PreClose'</f>
        <v>258.5</v>
      </c>
      <c r="E2227" t="str">
        <f>[1]!'2227.TW-SimulateTime'</f>
        <v>13:29:17</v>
      </c>
      <c r="F2227">
        <f>[1]!'2227.TW-Price'</f>
        <v>258.5</v>
      </c>
    </row>
    <row r="2228" spans="1:6" x14ac:dyDescent="0.25">
      <c r="A2228" t="str">
        <f>[1]!'2228.TW-ID'</f>
        <v>2228</v>
      </c>
      <c r="B2228" t="str">
        <f>[1]!'2228.TW-Name'</f>
        <v>劍麟</v>
      </c>
      <c r="C2228">
        <f>[1]!'2228.TW-SimulatePrice'</f>
        <v>84.6</v>
      </c>
      <c r="D2228">
        <f>[1]!'2228.TW-PreClose'</f>
        <v>85.2</v>
      </c>
      <c r="E2228" t="str">
        <f>[1]!'2228.TW-SimulateTime'</f>
        <v>13:29:57</v>
      </c>
      <c r="F2228">
        <f>[1]!'2228.TW-Price'</f>
        <v>84.6</v>
      </c>
    </row>
    <row r="2231" spans="1:6" x14ac:dyDescent="0.25">
      <c r="A2231" t="str">
        <f>[1]!'2231.TW-ID'</f>
        <v>2231</v>
      </c>
      <c r="B2231" t="str">
        <f>[1]!'2231.TW-Name'</f>
        <v>為升</v>
      </c>
      <c r="C2231">
        <f>[1]!'2231.TW-SimulatePrice'</f>
        <v>151.5</v>
      </c>
      <c r="D2231">
        <f>[1]!'2231.TW-PreClose'</f>
        <v>155</v>
      </c>
      <c r="E2231" t="str">
        <f>[1]!'2231.TW-SimulateTime'</f>
        <v>13:29:55</v>
      </c>
      <c r="F2231">
        <f>[1]!'2231.TW-Price'</f>
        <v>151.5</v>
      </c>
    </row>
    <row r="2233" spans="1:6" x14ac:dyDescent="0.25">
      <c r="A2233" t="str">
        <f>[1]!'2233.TW-ID'</f>
        <v>2233</v>
      </c>
      <c r="B2233" t="str">
        <f>[1]!'2233.TW-Name'</f>
        <v>宇隆</v>
      </c>
      <c r="C2233">
        <f>[1]!'2233.TW-SimulatePrice'</f>
        <v>58.8</v>
      </c>
      <c r="D2233">
        <f>[1]!'2233.TW-PreClose'</f>
        <v>59.1</v>
      </c>
      <c r="E2233" t="str">
        <f>[1]!'2233.TW-SimulateTime'</f>
        <v>13:29:17</v>
      </c>
      <c r="F2233">
        <f>[1]!'2233.TW-Price'</f>
        <v>58.8</v>
      </c>
    </row>
    <row r="2236" spans="1:6" x14ac:dyDescent="0.25">
      <c r="A2236" t="str">
        <f>[1]!'2236.TW-ID'</f>
        <v>2236</v>
      </c>
      <c r="B2236" t="str">
        <f>[1]!'2236.TW-Name'</f>
        <v>百達-KY</v>
      </c>
      <c r="C2236">
        <f>[1]!'2236.TW-SimulatePrice'</f>
        <v>15.55</v>
      </c>
      <c r="D2236">
        <f>[1]!'2236.TW-PreClose'</f>
        <v>15.65</v>
      </c>
      <c r="E2236" t="str">
        <f>[1]!'2236.TW-SimulateTime'</f>
        <v>13:28:26</v>
      </c>
      <c r="F2236">
        <f>[1]!'2236.TW-Price'</f>
        <v>15.55</v>
      </c>
    </row>
    <row r="2239" spans="1:6" x14ac:dyDescent="0.25">
      <c r="A2239" t="str">
        <f>[1]!'2239.TW-ID'</f>
        <v>2239</v>
      </c>
      <c r="B2239" t="str">
        <f>[1]!'2239.TW-Name'</f>
        <v>英利-KY</v>
      </c>
      <c r="C2239">
        <f>[1]!'2239.TW-SimulatePrice'</f>
        <v>57.8</v>
      </c>
      <c r="D2239">
        <f>[1]!'2239.TW-PreClose'</f>
        <v>60.6</v>
      </c>
      <c r="E2239" t="str">
        <f>[1]!'2239.TW-SimulateTime'</f>
        <v>13:29:51</v>
      </c>
      <c r="F2239">
        <f>[1]!'2239.TW-Price'</f>
        <v>57.8</v>
      </c>
    </row>
    <row r="2243" spans="1:6" x14ac:dyDescent="0.25">
      <c r="A2243" t="str">
        <f>[1]!'2243.TW-ID'</f>
        <v>2243</v>
      </c>
      <c r="B2243" t="str">
        <f>[1]!'2243.TW-Name'</f>
        <v>宏旭-KY</v>
      </c>
      <c r="C2243">
        <f>[1]!'2243.TW-SimulatePrice'</f>
        <v>9.9</v>
      </c>
      <c r="D2243">
        <f>[1]!'2243.TW-PreClose'</f>
        <v>9.89</v>
      </c>
      <c r="E2243" t="str">
        <f>[1]!'2243.TW-SimulateTime'</f>
        <v>13:29:58</v>
      </c>
      <c r="F2243">
        <f>[1]!'2243.TW-Price'</f>
        <v>9.9</v>
      </c>
    </row>
    <row r="2301" spans="1:6" x14ac:dyDescent="0.25">
      <c r="A2301" t="str">
        <f>[1]!'2301.TW-ID'</f>
        <v>2301</v>
      </c>
      <c r="B2301" t="str">
        <f>[1]!'2301.TW-Name'</f>
        <v>光寶科</v>
      </c>
      <c r="C2301">
        <f>[1]!'2301.TW-SimulatePrice'</f>
        <v>46.1</v>
      </c>
      <c r="D2301">
        <f>[1]!'2301.TW-PreClose'</f>
        <v>46.85</v>
      </c>
      <c r="E2301" t="str">
        <f>[1]!'2301.TW-SimulateTime'</f>
        <v>13:29:57</v>
      </c>
      <c r="F2301">
        <f>[1]!'2301.TW-Price'</f>
        <v>46.1</v>
      </c>
    </row>
    <row r="2302" spans="1:6" x14ac:dyDescent="0.25">
      <c r="A2302" t="str">
        <f>[1]!'2302.TW-ID'</f>
        <v>2302</v>
      </c>
      <c r="B2302" t="str">
        <f>[1]!'2302.TW-Name'</f>
        <v>麗正</v>
      </c>
      <c r="C2302">
        <f>[1]!'2302.TW-SimulatePrice'</f>
        <v>7.08</v>
      </c>
      <c r="D2302">
        <f>[1]!'2302.TW-PreClose'</f>
        <v>7.12</v>
      </c>
      <c r="E2302" t="str">
        <f>[1]!'2302.TW-SimulateTime'</f>
        <v>13:29:37</v>
      </c>
      <c r="F2302">
        <f>[1]!'2302.TW-Price'</f>
        <v>7.08</v>
      </c>
    </row>
    <row r="2303" spans="1:6" x14ac:dyDescent="0.25">
      <c r="A2303" t="str">
        <f>[1]!'2303.TW-ID'</f>
        <v>2303</v>
      </c>
      <c r="B2303" t="str">
        <f>[1]!'2303.TW-Name'</f>
        <v>聯電</v>
      </c>
      <c r="C2303">
        <f>[1]!'2303.TW-SimulatePrice'</f>
        <v>15.4</v>
      </c>
      <c r="D2303">
        <f>[1]!'2303.TW-PreClose'</f>
        <v>15.35</v>
      </c>
      <c r="E2303" t="str">
        <f>[1]!'2303.TW-SimulateTime'</f>
        <v>13:29:59</v>
      </c>
      <c r="F2303">
        <f>[1]!'2303.TW-Price'</f>
        <v>15.4</v>
      </c>
    </row>
    <row r="2305" spans="1:6" x14ac:dyDescent="0.25">
      <c r="A2305" t="str">
        <f>[1]!'2305.TW-ID'</f>
        <v>2305</v>
      </c>
      <c r="B2305" t="str">
        <f>[1]!'2305.TW-Name'</f>
        <v>全友</v>
      </c>
      <c r="C2305">
        <f>[1]!'2305.TW-SimulatePrice'</f>
        <v>5.27</v>
      </c>
      <c r="D2305">
        <f>[1]!'2305.TW-PreClose'</f>
        <v>5.36</v>
      </c>
      <c r="E2305" t="str">
        <f>[1]!'2305.TW-SimulateTime'</f>
        <v>13:29:56</v>
      </c>
      <c r="F2305">
        <f>[1]!'2305.TW-Price'</f>
        <v>5.27</v>
      </c>
    </row>
    <row r="2308" spans="1:6" x14ac:dyDescent="0.25">
      <c r="A2308" t="str">
        <f>[1]!'2308.TW-ID'</f>
        <v>2308</v>
      </c>
      <c r="B2308" t="str">
        <f>[1]!'2308.TW-Name'</f>
        <v>台達電</v>
      </c>
      <c r="C2308">
        <f>[1]!'2308.TW-SimulatePrice'</f>
        <v>138</v>
      </c>
      <c r="D2308">
        <f>[1]!'2308.TW-PreClose'</f>
        <v>140</v>
      </c>
      <c r="E2308" t="str">
        <f>[1]!'2308.TW-SimulateTime'</f>
        <v>13:29:57</v>
      </c>
      <c r="F2308">
        <f>[1]!'2308.TW-Price'</f>
        <v>138.5</v>
      </c>
    </row>
    <row r="2312" spans="1:6" x14ac:dyDescent="0.25">
      <c r="A2312" t="str">
        <f>[1]!'2312.TW-ID'</f>
        <v>2312</v>
      </c>
      <c r="B2312" t="str">
        <f>[1]!'2312.TW-Name'</f>
        <v>金寶</v>
      </c>
      <c r="C2312">
        <f>[1]!'2312.TW-SimulatePrice'</f>
        <v>11.6</v>
      </c>
      <c r="D2312">
        <f>[1]!'2312.TW-PreClose'</f>
        <v>11.6</v>
      </c>
      <c r="E2312" t="str">
        <f>[1]!'2312.TW-SimulateTime'</f>
        <v>13:29:57</v>
      </c>
      <c r="F2312">
        <f>[1]!'2312.TW-Price'</f>
        <v>11.6</v>
      </c>
    </row>
    <row r="2313" spans="1:6" x14ac:dyDescent="0.25">
      <c r="A2313" t="str">
        <f>[1]!'2313.TW-ID'</f>
        <v>2313</v>
      </c>
      <c r="B2313" t="str">
        <f>[1]!'2313.TW-Name'</f>
        <v>華通</v>
      </c>
      <c r="C2313">
        <f>[1]!'2313.TW-SimulatePrice'</f>
        <v>42</v>
      </c>
      <c r="D2313">
        <f>[1]!'2313.TW-PreClose'</f>
        <v>41.95</v>
      </c>
      <c r="E2313" t="str">
        <f>[1]!'2313.TW-SimulateTime'</f>
        <v>13:29:57</v>
      </c>
      <c r="F2313">
        <f>[1]!'2313.TW-Price'</f>
        <v>42</v>
      </c>
    </row>
    <row r="2314" spans="1:6" x14ac:dyDescent="0.25">
      <c r="A2314" t="str">
        <f>[1]!'2314.TW-ID'</f>
        <v>2314</v>
      </c>
      <c r="B2314" t="str">
        <f>[1]!'2314.TW-Name'</f>
        <v>台揚</v>
      </c>
      <c r="C2314">
        <f>[1]!'2314.TW-SimulatePrice'</f>
        <v>20.55</v>
      </c>
      <c r="D2314">
        <f>[1]!'2314.TW-PreClose'</f>
        <v>21.15</v>
      </c>
      <c r="E2314" t="str">
        <f>[1]!'2314.TW-SimulateTime'</f>
        <v>13:29:03</v>
      </c>
      <c r="F2314">
        <f>[1]!'2314.TW-Price'</f>
        <v>20.55</v>
      </c>
    </row>
    <row r="2316" spans="1:6" x14ac:dyDescent="0.25">
      <c r="A2316" t="str">
        <f>[1]!'2316.TW-ID'</f>
        <v>2316</v>
      </c>
      <c r="B2316" t="str">
        <f>[1]!'2316.TW-Name'</f>
        <v>楠梓電</v>
      </c>
      <c r="C2316">
        <f>[1]!'2316.TW-SimulatePrice'</f>
        <v>31.35</v>
      </c>
      <c r="D2316">
        <f>[1]!'2316.TW-PreClose'</f>
        <v>32</v>
      </c>
      <c r="E2316" t="str">
        <f>[1]!'2316.TW-SimulateTime'</f>
        <v>13:29:59</v>
      </c>
      <c r="F2316">
        <f>[1]!'2316.TW-Price'</f>
        <v>31.35</v>
      </c>
    </row>
    <row r="2317" spans="1:6" x14ac:dyDescent="0.25">
      <c r="A2317" t="str">
        <f>[1]!'2317.TW-ID'</f>
        <v>2317</v>
      </c>
      <c r="B2317" t="str">
        <f>[1]!'2317.TW-Name'</f>
        <v>鴻海</v>
      </c>
      <c r="C2317">
        <f>[1]!'2317.TW-SimulatePrice'</f>
        <v>77.099999999999994</v>
      </c>
      <c r="D2317">
        <f>[1]!'2317.TW-PreClose'</f>
        <v>78.2</v>
      </c>
      <c r="E2317" t="str">
        <f>[1]!'2317.TW-SimulateTime'</f>
        <v>13:29:57</v>
      </c>
      <c r="F2317">
        <f>[1]!'2317.TW-Price'</f>
        <v>77.099999999999994</v>
      </c>
    </row>
    <row r="2321" spans="1:6" x14ac:dyDescent="0.25">
      <c r="A2321" t="str">
        <f>[1]!'2321.TW-ID'</f>
        <v>2321</v>
      </c>
      <c r="B2321" t="str">
        <f>[1]!'2321.TW-Name'</f>
        <v>東訊</v>
      </c>
      <c r="C2321" t="str">
        <f>[1]!'2321.TW-SimulatePrice'</f>
        <v>--</v>
      </c>
      <c r="D2321">
        <f>[1]!'2321.TW-PreClose'</f>
        <v>1.36</v>
      </c>
      <c r="E2321" t="str">
        <f>[1]!'2321.TW-SimulateTime'</f>
        <v>--</v>
      </c>
      <c r="F2321">
        <f>[1]!'2321.TW-Price'</f>
        <v>1.34</v>
      </c>
    </row>
    <row r="2323" spans="1:6" x14ac:dyDescent="0.25">
      <c r="A2323" t="str">
        <f>[1]!'2323.TW-ID'</f>
        <v>2323</v>
      </c>
      <c r="B2323" t="str">
        <f>[1]!'2323.TW-Name'</f>
        <v>中環</v>
      </c>
      <c r="C2323">
        <f>[1]!'2323.TW-SimulatePrice'</f>
        <v>8.65</v>
      </c>
      <c r="D2323">
        <f>[1]!'2323.TW-PreClose'</f>
        <v>7.87</v>
      </c>
      <c r="E2323" t="str">
        <f>[1]!'2323.TW-SimulateTime'</f>
        <v>13:29:55</v>
      </c>
      <c r="F2323">
        <f>[1]!'2323.TW-Price'</f>
        <v>8.65</v>
      </c>
    </row>
    <row r="2324" spans="1:6" x14ac:dyDescent="0.25">
      <c r="A2324" t="str">
        <f>[1]!'2324.TW-ID'</f>
        <v>2324</v>
      </c>
      <c r="B2324" t="str">
        <f>[1]!'2324.TW-Name'</f>
        <v>仁寶</v>
      </c>
      <c r="C2324">
        <f>[1]!'2324.TW-SimulatePrice'</f>
        <v>18.45</v>
      </c>
      <c r="D2324">
        <f>[1]!'2324.TW-PreClose'</f>
        <v>18.600000000000001</v>
      </c>
      <c r="E2324" t="str">
        <f>[1]!'2324.TW-SimulateTime'</f>
        <v>13:29:56</v>
      </c>
      <c r="F2324">
        <f>[1]!'2324.TW-Price'</f>
        <v>18.45</v>
      </c>
    </row>
    <row r="2327" spans="1:6" x14ac:dyDescent="0.25">
      <c r="A2327" t="str">
        <f>[1]!'2327.TW-ID'</f>
        <v>2327</v>
      </c>
      <c r="B2327" t="str">
        <f>[1]!'2327.TW-Name'</f>
        <v>國巨</v>
      </c>
      <c r="C2327">
        <f>[1]!'2327.TW-SimulatePrice'</f>
        <v>386</v>
      </c>
      <c r="D2327">
        <f>[1]!'2327.TW-PreClose'</f>
        <v>385.5</v>
      </c>
      <c r="E2327" t="str">
        <f>[1]!'2327.TW-SimulateTime'</f>
        <v>13:29:57</v>
      </c>
      <c r="F2327">
        <f>[1]!'2327.TW-Price'</f>
        <v>386</v>
      </c>
    </row>
    <row r="2328" spans="1:6" x14ac:dyDescent="0.25">
      <c r="A2328" t="str">
        <f>[1]!'2328.TW-ID'</f>
        <v>2328</v>
      </c>
      <c r="B2328" t="str">
        <f>[1]!'2328.TW-Name'</f>
        <v>廣宇</v>
      </c>
      <c r="C2328">
        <f>[1]!'2328.TW-SimulatePrice'</f>
        <v>18.100000000000001</v>
      </c>
      <c r="D2328">
        <f>[1]!'2328.TW-PreClose'</f>
        <v>18.350000000000001</v>
      </c>
      <c r="E2328" t="str">
        <f>[1]!'2328.TW-SimulateTime'</f>
        <v>13:29:53</v>
      </c>
      <c r="F2328">
        <f>[1]!'2328.TW-Price'</f>
        <v>18.100000000000001</v>
      </c>
    </row>
    <row r="2329" spans="1:6" x14ac:dyDescent="0.25">
      <c r="A2329" t="str">
        <f>[1]!'2329.TW-ID'</f>
        <v>2329</v>
      </c>
      <c r="B2329" t="str">
        <f>[1]!'2329.TW-Name'</f>
        <v>華泰</v>
      </c>
      <c r="C2329">
        <f>[1]!'2329.TW-SimulatePrice'</f>
        <v>11.5</v>
      </c>
      <c r="D2329">
        <f>[1]!'2329.TW-PreClose'</f>
        <v>11.7</v>
      </c>
      <c r="E2329" t="str">
        <f>[1]!'2329.TW-SimulateTime'</f>
        <v>13:29:56</v>
      </c>
      <c r="F2329">
        <f>[1]!'2329.TW-Price'</f>
        <v>11.5</v>
      </c>
    </row>
    <row r="2330" spans="1:6" x14ac:dyDescent="0.25">
      <c r="A2330" t="str">
        <f>[1]!'2330.TW-ID'</f>
        <v>2330</v>
      </c>
      <c r="B2330" t="str">
        <f>[1]!'2330.TW-Name'</f>
        <v>台積電</v>
      </c>
      <c r="C2330">
        <f>[1]!'2330.TW-SimulatePrice'</f>
        <v>298</v>
      </c>
      <c r="D2330">
        <f>[1]!'2330.TW-PreClose'</f>
        <v>293</v>
      </c>
      <c r="E2330" t="str">
        <f>[1]!'2330.TW-SimulateTime'</f>
        <v>13:29:57</v>
      </c>
      <c r="F2330">
        <f>[1]!'2330.TW-Price'</f>
        <v>298</v>
      </c>
    </row>
    <row r="2331" spans="1:6" x14ac:dyDescent="0.25">
      <c r="A2331" t="str">
        <f>[1]!'2331.TW-ID'</f>
        <v>2331</v>
      </c>
      <c r="B2331" t="str">
        <f>[1]!'2331.TW-Name'</f>
        <v>精英</v>
      </c>
      <c r="C2331">
        <f>[1]!'2331.TW-SimulatePrice'</f>
        <v>11.3</v>
      </c>
      <c r="D2331">
        <f>[1]!'2331.TW-PreClose'</f>
        <v>11.3</v>
      </c>
      <c r="E2331" t="str">
        <f>[1]!'2331.TW-SimulateTime'</f>
        <v>13:29:57</v>
      </c>
      <c r="F2331">
        <f>[1]!'2331.TW-Price'</f>
        <v>11.3</v>
      </c>
    </row>
    <row r="2332" spans="1:6" x14ac:dyDescent="0.25">
      <c r="A2332" t="str">
        <f>[1]!'2332.TW-ID'</f>
        <v>2332</v>
      </c>
      <c r="B2332" t="str">
        <f>[1]!'2332.TW-Name'</f>
        <v>友訊</v>
      </c>
      <c r="C2332">
        <f>[1]!'2332.TW-SimulatePrice'</f>
        <v>12.5</v>
      </c>
      <c r="D2332">
        <f>[1]!'2332.TW-PreClose'</f>
        <v>13.1</v>
      </c>
      <c r="E2332" t="str">
        <f>[1]!'2332.TW-SimulateTime'</f>
        <v>13:29:59</v>
      </c>
      <c r="F2332">
        <f>[1]!'2332.TW-Price'</f>
        <v>12.5</v>
      </c>
    </row>
    <row r="2337" spans="1:6" x14ac:dyDescent="0.25">
      <c r="A2337" t="str">
        <f>[1]!'2337.TW-ID'</f>
        <v>2337</v>
      </c>
      <c r="B2337" t="str">
        <f>[1]!'2337.TW-Name'</f>
        <v>旺宏</v>
      </c>
      <c r="C2337">
        <f>[1]!'2337.TW-SimulatePrice'</f>
        <v>32.5</v>
      </c>
      <c r="D2337">
        <f>[1]!'2337.TW-PreClose'</f>
        <v>32.65</v>
      </c>
      <c r="E2337" t="str">
        <f>[1]!'2337.TW-SimulateTime'</f>
        <v>13:29:57</v>
      </c>
      <c r="F2337">
        <f>[1]!'2337.TW-Price'</f>
        <v>32.5</v>
      </c>
    </row>
    <row r="2338" spans="1:6" x14ac:dyDescent="0.25">
      <c r="A2338" t="str">
        <f>[1]!'2338.TW-ID'</f>
        <v>2338</v>
      </c>
      <c r="B2338" t="str">
        <f>[1]!'2338.TW-Name'</f>
        <v>光罩</v>
      </c>
      <c r="C2338">
        <f>[1]!'2338.TW-SimulatePrice'</f>
        <v>26.9</v>
      </c>
      <c r="D2338">
        <f>[1]!'2338.TW-PreClose'</f>
        <v>28.95</v>
      </c>
      <c r="E2338" t="str">
        <f>[1]!'2338.TW-SimulateTime'</f>
        <v>13:29:59</v>
      </c>
      <c r="F2338">
        <f>[1]!'2338.TW-Price'</f>
        <v>26.9</v>
      </c>
    </row>
    <row r="2340" spans="1:6" x14ac:dyDescent="0.25">
      <c r="A2340" t="str">
        <f>[1]!'2340.TW-ID'</f>
        <v>2340</v>
      </c>
      <c r="B2340" t="str">
        <f>[1]!'2340.TW-Name'</f>
        <v>光磊</v>
      </c>
      <c r="C2340">
        <f>[1]!'2340.TW-SimulatePrice'</f>
        <v>20.6</v>
      </c>
      <c r="D2340">
        <f>[1]!'2340.TW-PreClose'</f>
        <v>21.4</v>
      </c>
      <c r="E2340" t="str">
        <f>[1]!'2340.TW-SimulateTime'</f>
        <v>13:29:59</v>
      </c>
      <c r="F2340">
        <f>[1]!'2340.TW-Price'</f>
        <v>20.6</v>
      </c>
    </row>
    <row r="2342" spans="1:6" x14ac:dyDescent="0.25">
      <c r="A2342" t="str">
        <f>[1]!'2342.TW-ID'</f>
        <v>2342</v>
      </c>
      <c r="B2342" t="str">
        <f>[1]!'2342.TW-Name'</f>
        <v>茂矽</v>
      </c>
      <c r="C2342">
        <f>[1]!'2342.TW-SimulatePrice'</f>
        <v>28.1</v>
      </c>
      <c r="D2342">
        <f>[1]!'2342.TW-PreClose'</f>
        <v>27.9</v>
      </c>
      <c r="E2342" t="str">
        <f>[1]!'2342.TW-SimulateTime'</f>
        <v>13:29:56</v>
      </c>
      <c r="F2342">
        <f>[1]!'2342.TW-Price'</f>
        <v>28.1</v>
      </c>
    </row>
    <row r="2344" spans="1:6" x14ac:dyDescent="0.25">
      <c r="A2344" t="str">
        <f>[1]!'2344.TW-ID'</f>
        <v>2344</v>
      </c>
      <c r="B2344" t="str">
        <f>[1]!'2344.TW-Name'</f>
        <v>華邦電</v>
      </c>
      <c r="C2344">
        <f>[1]!'2344.TW-SimulatePrice'</f>
        <v>12.9</v>
      </c>
      <c r="D2344">
        <f>[1]!'2344.TW-PreClose'</f>
        <v>12.8</v>
      </c>
      <c r="E2344" t="str">
        <f>[1]!'2344.TW-SimulateTime'</f>
        <v>13:29:55</v>
      </c>
      <c r="F2344">
        <f>[1]!'2344.TW-Price'</f>
        <v>12.9</v>
      </c>
    </row>
    <row r="2345" spans="1:6" x14ac:dyDescent="0.25">
      <c r="A2345" t="str">
        <f>[1]!'2345.TW-ID'</f>
        <v>2345</v>
      </c>
      <c r="B2345" t="str">
        <f>[1]!'2345.TW-Name'</f>
        <v>智邦</v>
      </c>
      <c r="C2345">
        <f>[1]!'2345.TW-SimulatePrice'</f>
        <v>209</v>
      </c>
      <c r="D2345">
        <f>[1]!'2345.TW-PreClose'</f>
        <v>211</v>
      </c>
      <c r="E2345" t="str">
        <f>[1]!'2345.TW-SimulateTime'</f>
        <v>13:29:56</v>
      </c>
      <c r="F2345">
        <f>[1]!'2345.TW-Price'</f>
        <v>209</v>
      </c>
    </row>
    <row r="2347" spans="1:6" x14ac:dyDescent="0.25">
      <c r="A2347" t="str">
        <f>[1]!'2347.TW-ID'</f>
        <v>2347</v>
      </c>
      <c r="B2347" t="str">
        <f>[1]!'2347.TW-Name'</f>
        <v>聯強</v>
      </c>
      <c r="C2347">
        <f>[1]!'2347.TW-SimulatePrice'</f>
        <v>42.4</v>
      </c>
      <c r="D2347">
        <f>[1]!'2347.TW-PreClose'</f>
        <v>41.4</v>
      </c>
      <c r="E2347" t="str">
        <f>[1]!'2347.TW-SimulateTime'</f>
        <v>13:29:53</v>
      </c>
      <c r="F2347">
        <f>[1]!'2347.TW-Price'</f>
        <v>42.4</v>
      </c>
    </row>
    <row r="2348" spans="1:6" x14ac:dyDescent="0.25">
      <c r="A2348" t="str">
        <f>[1]!'2348.TW-ID'</f>
        <v>2348</v>
      </c>
      <c r="B2348" t="str">
        <f>[1]!'2348.TW-Name'</f>
        <v>海悅</v>
      </c>
      <c r="C2348">
        <f>[1]!'2348.TW-SimulatePrice'</f>
        <v>59.4</v>
      </c>
      <c r="D2348">
        <f>[1]!'2348.TW-PreClose'</f>
        <v>60.3</v>
      </c>
      <c r="E2348" t="str">
        <f>[1]!'2348.TW-SimulateTime'</f>
        <v>13:29:56</v>
      </c>
      <c r="F2348">
        <f>[1]!'2348.TW-Price'</f>
        <v>59.4</v>
      </c>
    </row>
    <row r="2349" spans="1:6" x14ac:dyDescent="0.25">
      <c r="A2349" t="str">
        <f>[1]!'2349.TW-ID'</f>
        <v>2349</v>
      </c>
      <c r="B2349" t="str">
        <f>[1]!'2349.TW-Name'</f>
        <v>錸德</v>
      </c>
      <c r="C2349">
        <f>[1]!'2349.TW-SimulatePrice'</f>
        <v>7.1</v>
      </c>
      <c r="D2349">
        <f>[1]!'2349.TW-PreClose'</f>
        <v>6.46</v>
      </c>
      <c r="E2349" t="str">
        <f>[1]!'2349.TW-SimulateTime'</f>
        <v>13:29:54</v>
      </c>
      <c r="F2349">
        <f>[1]!'2349.TW-Price'</f>
        <v>7.1</v>
      </c>
    </row>
    <row r="2351" spans="1:6" x14ac:dyDescent="0.25">
      <c r="A2351" t="str">
        <f>[1]!'2351.TW-ID'</f>
        <v>2351</v>
      </c>
      <c r="B2351" t="str">
        <f>[1]!'2351.TW-Name'</f>
        <v>順德</v>
      </c>
      <c r="C2351">
        <f>[1]!'2351.TW-SimulatePrice'</f>
        <v>43.95</v>
      </c>
      <c r="D2351">
        <f>[1]!'2351.TW-PreClose'</f>
        <v>44.25</v>
      </c>
      <c r="E2351" t="str">
        <f>[1]!'2351.TW-SimulateTime'</f>
        <v>13:29:51</v>
      </c>
      <c r="F2351">
        <f>[1]!'2351.TW-Price'</f>
        <v>43.95</v>
      </c>
    </row>
    <row r="2352" spans="1:6" x14ac:dyDescent="0.25">
      <c r="A2352" t="str">
        <f>[1]!'2352.TW-ID'</f>
        <v>2352</v>
      </c>
      <c r="B2352" t="str">
        <f>[1]!'2352.TW-Name'</f>
        <v>佳世達</v>
      </c>
      <c r="C2352">
        <f>[1]!'2352.TW-SimulatePrice'</f>
        <v>16.25</v>
      </c>
      <c r="D2352">
        <f>[1]!'2352.TW-PreClose'</f>
        <v>16.2</v>
      </c>
      <c r="E2352" t="str">
        <f>[1]!'2352.TW-SimulateTime'</f>
        <v>13:29:48</v>
      </c>
      <c r="F2352">
        <f>[1]!'2352.TW-Price'</f>
        <v>16.25</v>
      </c>
    </row>
    <row r="2353" spans="1:6" x14ac:dyDescent="0.25">
      <c r="A2353" t="str">
        <f>[1]!'2353.TW-ID'</f>
        <v>2353</v>
      </c>
      <c r="B2353" t="str">
        <f>[1]!'2353.TW-Name'</f>
        <v>宏碁</v>
      </c>
      <c r="C2353">
        <f>[1]!'2353.TW-SimulatePrice'</f>
        <v>16.25</v>
      </c>
      <c r="D2353">
        <f>[1]!'2353.TW-PreClose'</f>
        <v>16.149999999999999</v>
      </c>
      <c r="E2353" t="str">
        <f>[1]!'2353.TW-SimulateTime'</f>
        <v>13:29:57</v>
      </c>
      <c r="F2353">
        <f>[1]!'2353.TW-Price'</f>
        <v>16.25</v>
      </c>
    </row>
    <row r="2354" spans="1:6" x14ac:dyDescent="0.25">
      <c r="A2354" t="str">
        <f>[1]!'2354.TW-ID'</f>
        <v>2354</v>
      </c>
      <c r="B2354" t="str">
        <f>[1]!'2354.TW-Name'</f>
        <v>鴻準</v>
      </c>
      <c r="C2354">
        <f>[1]!'2354.TW-SimulatePrice'</f>
        <v>54.8</v>
      </c>
      <c r="D2354">
        <f>[1]!'2354.TW-PreClose'</f>
        <v>55.5</v>
      </c>
      <c r="E2354" t="str">
        <f>[1]!'2354.TW-SimulateTime'</f>
        <v>13:29:56</v>
      </c>
      <c r="F2354">
        <f>[1]!'2354.TW-Price'</f>
        <v>54.8</v>
      </c>
    </row>
    <row r="2355" spans="1:6" x14ac:dyDescent="0.25">
      <c r="A2355" t="str">
        <f>[1]!'2355.TW-ID'</f>
        <v>2355</v>
      </c>
      <c r="B2355" t="str">
        <f>[1]!'2355.TW-Name'</f>
        <v>敬鵬</v>
      </c>
      <c r="C2355">
        <f>[1]!'2355.TW-SimulatePrice'</f>
        <v>22.5</v>
      </c>
      <c r="D2355">
        <f>[1]!'2355.TW-PreClose'</f>
        <v>23.05</v>
      </c>
      <c r="E2355" t="str">
        <f>[1]!'2355.TW-SimulateTime'</f>
        <v>13:29:55</v>
      </c>
      <c r="F2355">
        <f>[1]!'2355.TW-Price'</f>
        <v>22.5</v>
      </c>
    </row>
    <row r="2356" spans="1:6" x14ac:dyDescent="0.25">
      <c r="A2356" t="str">
        <f>[1]!'2356.TW-ID'</f>
        <v>2356</v>
      </c>
      <c r="B2356" t="str">
        <f>[1]!'2356.TW-Name'</f>
        <v>英業達</v>
      </c>
      <c r="C2356">
        <f>[1]!'2356.TW-SimulatePrice'</f>
        <v>23.65</v>
      </c>
      <c r="D2356">
        <f>[1]!'2356.TW-PreClose'</f>
        <v>23.55</v>
      </c>
      <c r="E2356" t="str">
        <f>[1]!'2356.TW-SimulateTime'</f>
        <v>13:29:55</v>
      </c>
      <c r="F2356">
        <f>[1]!'2356.TW-Price'</f>
        <v>23.6</v>
      </c>
    </row>
    <row r="2357" spans="1:6" x14ac:dyDescent="0.25">
      <c r="A2357" t="str">
        <f>[1]!'2357.TW-ID'</f>
        <v>2357</v>
      </c>
      <c r="B2357" t="str">
        <f>[1]!'2357.TW-Name'</f>
        <v>華碩</v>
      </c>
      <c r="C2357">
        <f>[1]!'2357.TW-SimulatePrice'</f>
        <v>207</v>
      </c>
      <c r="D2357">
        <f>[1]!'2357.TW-PreClose'</f>
        <v>208</v>
      </c>
      <c r="E2357" t="str">
        <f>[1]!'2357.TW-SimulateTime'</f>
        <v>13:29:59</v>
      </c>
      <c r="F2357">
        <f>[1]!'2357.TW-Price'</f>
        <v>207</v>
      </c>
    </row>
    <row r="2358" spans="1:6" x14ac:dyDescent="0.25">
      <c r="A2358" t="str">
        <f>[1]!'2358.TW-ID'</f>
        <v>2358</v>
      </c>
      <c r="B2358" t="str">
        <f>[1]!'2358.TW-Name'</f>
        <v>廷鑫</v>
      </c>
      <c r="C2358">
        <f>[1]!'2358.TW-SimulatePrice'</f>
        <v>14.2</v>
      </c>
      <c r="D2358">
        <f>[1]!'2358.TW-PreClose'</f>
        <v>14.5</v>
      </c>
      <c r="E2358" t="str">
        <f>[1]!'2358.TW-SimulateTime'</f>
        <v>13:29:36</v>
      </c>
      <c r="F2358">
        <f>[1]!'2358.TW-Price'</f>
        <v>14.2</v>
      </c>
    </row>
    <row r="2359" spans="1:6" x14ac:dyDescent="0.25">
      <c r="A2359" t="str">
        <f>[1]!'2359.TW-ID'</f>
        <v>2359</v>
      </c>
      <c r="B2359" t="str">
        <f>[1]!'2359.TW-Name'</f>
        <v>所羅門</v>
      </c>
      <c r="C2359">
        <f>[1]!'2359.TW-SimulatePrice'</f>
        <v>18.3</v>
      </c>
      <c r="D2359">
        <f>[1]!'2359.TW-PreClose'</f>
        <v>18.55</v>
      </c>
      <c r="E2359" t="str">
        <f>[1]!'2359.TW-SimulateTime'</f>
        <v>13:29:58</v>
      </c>
      <c r="F2359">
        <f>[1]!'2359.TW-Price'</f>
        <v>18.3</v>
      </c>
    </row>
    <row r="2360" spans="1:6" x14ac:dyDescent="0.25">
      <c r="A2360" t="str">
        <f>[1]!'2360.TW-ID'</f>
        <v>2360</v>
      </c>
      <c r="B2360" t="str">
        <f>[1]!'2360.TW-Name'</f>
        <v>致茂</v>
      </c>
      <c r="C2360">
        <f>[1]!'2360.TW-SimulatePrice'</f>
        <v>135.5</v>
      </c>
      <c r="D2360">
        <f>[1]!'2360.TW-PreClose'</f>
        <v>131</v>
      </c>
      <c r="E2360" t="str">
        <f>[1]!'2360.TW-SimulateTime'</f>
        <v>13:29:50</v>
      </c>
      <c r="F2360">
        <f>[1]!'2360.TW-Price'</f>
        <v>135.5</v>
      </c>
    </row>
    <row r="2362" spans="1:6" x14ac:dyDescent="0.25">
      <c r="A2362" t="str">
        <f>[1]!'2362.TW-ID'</f>
        <v>2362</v>
      </c>
      <c r="B2362" t="str">
        <f>[1]!'2362.TW-Name'</f>
        <v>藍天</v>
      </c>
      <c r="C2362">
        <f>[1]!'2362.TW-SimulatePrice'</f>
        <v>29.75</v>
      </c>
      <c r="D2362">
        <f>[1]!'2362.TW-PreClose'</f>
        <v>29.8</v>
      </c>
      <c r="E2362" t="str">
        <f>[1]!'2362.TW-SimulateTime'</f>
        <v>13:29:56</v>
      </c>
      <c r="F2362">
        <f>[1]!'2362.TW-Price'</f>
        <v>29.75</v>
      </c>
    </row>
    <row r="2363" spans="1:6" x14ac:dyDescent="0.25">
      <c r="A2363" t="str">
        <f>[1]!'2363.TW-ID'</f>
        <v>2363</v>
      </c>
      <c r="B2363" t="str">
        <f>[1]!'2363.TW-Name'</f>
        <v>矽統</v>
      </c>
      <c r="C2363">
        <f>[1]!'2363.TW-SimulatePrice'</f>
        <v>11.75</v>
      </c>
      <c r="D2363">
        <f>[1]!'2363.TW-PreClose'</f>
        <v>11.55</v>
      </c>
      <c r="E2363" t="str">
        <f>[1]!'2363.TW-SimulateTime'</f>
        <v>13:29:58</v>
      </c>
      <c r="F2363">
        <f>[1]!'2363.TW-Price'</f>
        <v>11.75</v>
      </c>
    </row>
    <row r="2364" spans="1:6" x14ac:dyDescent="0.25">
      <c r="A2364" t="str">
        <f>[1]!'2364.TW-ID'</f>
        <v>2364</v>
      </c>
      <c r="B2364" t="str">
        <f>[1]!'2364.TW-Name'</f>
        <v>倫飛</v>
      </c>
      <c r="C2364" t="str">
        <f>[1]!'2364.TW-SimulatePrice'</f>
        <v>--</v>
      </c>
      <c r="D2364">
        <f>[1]!'2364.TW-PreClose'</f>
        <v>2.11</v>
      </c>
      <c r="E2364" t="str">
        <f>[1]!'2364.TW-SimulateTime'</f>
        <v>--</v>
      </c>
      <c r="F2364">
        <f>[1]!'2364.TW-Price'</f>
        <v>2.11</v>
      </c>
    </row>
    <row r="2365" spans="1:6" x14ac:dyDescent="0.25">
      <c r="A2365" t="str">
        <f>[1]!'2365.TW-ID'</f>
        <v>2365</v>
      </c>
      <c r="B2365" t="str">
        <f>[1]!'2365.TW-Name'</f>
        <v>昆盈</v>
      </c>
      <c r="C2365">
        <f>[1]!'2365.TW-SimulatePrice'</f>
        <v>7.94</v>
      </c>
      <c r="D2365">
        <f>[1]!'2365.TW-PreClose'</f>
        <v>7.83</v>
      </c>
      <c r="E2365" t="str">
        <f>[1]!'2365.TW-SimulateTime'</f>
        <v>13:29:58</v>
      </c>
      <c r="F2365">
        <f>[1]!'2365.TW-Price'</f>
        <v>7.94</v>
      </c>
    </row>
    <row r="2367" spans="1:6" x14ac:dyDescent="0.25">
      <c r="A2367" t="str">
        <f>[1]!'2367.TW-ID'</f>
        <v>2367</v>
      </c>
      <c r="B2367" t="str">
        <f>[1]!'2367.TW-Name'</f>
        <v>燿華</v>
      </c>
      <c r="C2367">
        <f>[1]!'2367.TW-SimulatePrice'</f>
        <v>21.7</v>
      </c>
      <c r="D2367">
        <f>[1]!'2367.TW-PreClose'</f>
        <v>21.7</v>
      </c>
      <c r="E2367" t="str">
        <f>[1]!'2367.TW-SimulateTime'</f>
        <v>13:29:55</v>
      </c>
      <c r="F2367">
        <f>[1]!'2367.TW-Price'</f>
        <v>21.7</v>
      </c>
    </row>
    <row r="2368" spans="1:6" x14ac:dyDescent="0.25">
      <c r="A2368" t="str">
        <f>[1]!'2368.TW-ID'</f>
        <v>2368</v>
      </c>
      <c r="B2368" t="str">
        <f>[1]!'2368.TW-Name'</f>
        <v>金像電</v>
      </c>
      <c r="C2368">
        <f>[1]!'2368.TW-SimulatePrice'</f>
        <v>34.15</v>
      </c>
      <c r="D2368">
        <f>[1]!'2368.TW-PreClose'</f>
        <v>32.549999999999997</v>
      </c>
      <c r="E2368" t="str">
        <f>[1]!'2368.TW-SimulateTime'</f>
        <v>13:29:57</v>
      </c>
      <c r="F2368">
        <f>[1]!'2368.TW-Price'</f>
        <v>34.1</v>
      </c>
    </row>
    <row r="2369" spans="1:6" x14ac:dyDescent="0.25">
      <c r="A2369" t="str">
        <f>[1]!'2369.TW-ID'</f>
        <v>2369</v>
      </c>
      <c r="B2369" t="str">
        <f>[1]!'2369.TW-Name'</f>
        <v>菱生</v>
      </c>
      <c r="C2369">
        <f>[1]!'2369.TW-SimulatePrice'</f>
        <v>9.41</v>
      </c>
      <c r="D2369">
        <f>[1]!'2369.TW-PreClose'</f>
        <v>9.52</v>
      </c>
      <c r="E2369" t="str">
        <f>[1]!'2369.TW-SimulateTime'</f>
        <v>13:29:37</v>
      </c>
      <c r="F2369">
        <f>[1]!'2369.TW-Price'</f>
        <v>9.41</v>
      </c>
    </row>
    <row r="2371" spans="1:6" x14ac:dyDescent="0.25">
      <c r="A2371" t="str">
        <f>[1]!'2371.TW-ID'</f>
        <v>2371</v>
      </c>
      <c r="B2371" t="str">
        <f>[1]!'2371.TW-Name'</f>
        <v>大同</v>
      </c>
      <c r="C2371">
        <f>[1]!'2371.TW-SimulatePrice'</f>
        <v>20.5</v>
      </c>
      <c r="D2371">
        <f>[1]!'2371.TW-PreClose'</f>
        <v>20.5</v>
      </c>
      <c r="E2371" t="str">
        <f>[1]!'2371.TW-SimulateTime'</f>
        <v>13:29:58</v>
      </c>
      <c r="F2371">
        <f>[1]!'2371.TW-Price'</f>
        <v>20.5</v>
      </c>
    </row>
    <row r="2373" spans="1:6" x14ac:dyDescent="0.25">
      <c r="A2373" t="str">
        <f>[1]!'2373.TW-ID'</f>
        <v>2373</v>
      </c>
      <c r="B2373" t="str">
        <f>[1]!'2373.TW-Name'</f>
        <v>震旦行</v>
      </c>
      <c r="C2373">
        <f>[1]!'2373.TW-SimulatePrice'</f>
        <v>89.2</v>
      </c>
      <c r="D2373">
        <f>[1]!'2373.TW-PreClose'</f>
        <v>89</v>
      </c>
      <c r="E2373" t="str">
        <f>[1]!'2373.TW-SimulateTime'</f>
        <v>13:29:17</v>
      </c>
      <c r="F2373">
        <f>[1]!'2373.TW-Price'</f>
        <v>89.2</v>
      </c>
    </row>
    <row r="2374" spans="1:6" x14ac:dyDescent="0.25">
      <c r="A2374" t="str">
        <f>[1]!'2374.TW-ID'</f>
        <v>2374</v>
      </c>
      <c r="B2374" t="str">
        <f>[1]!'2374.TW-Name'</f>
        <v>佳能</v>
      </c>
      <c r="C2374">
        <f>[1]!'2374.TW-SimulatePrice'</f>
        <v>11.7</v>
      </c>
      <c r="D2374">
        <f>[1]!'2374.TW-PreClose'</f>
        <v>11.85</v>
      </c>
      <c r="E2374" t="str">
        <f>[1]!'2374.TW-SimulateTime'</f>
        <v>13:29:05</v>
      </c>
      <c r="F2374">
        <f>[1]!'2374.TW-Price'</f>
        <v>11.7</v>
      </c>
    </row>
    <row r="2375" spans="1:6" x14ac:dyDescent="0.25">
      <c r="A2375" t="str">
        <f>[1]!'2375.TW-ID'</f>
        <v>2375</v>
      </c>
      <c r="B2375" t="str">
        <f>[1]!'2375.TW-Name'</f>
        <v>凱美</v>
      </c>
      <c r="C2375">
        <f>[1]!'2375.TW-SimulatePrice'</f>
        <v>36.450000000000003</v>
      </c>
      <c r="D2375">
        <f>[1]!'2375.TW-PreClose'</f>
        <v>36.200000000000003</v>
      </c>
      <c r="E2375" t="str">
        <f>[1]!'2375.TW-SimulateTime'</f>
        <v>13:29:56</v>
      </c>
      <c r="F2375">
        <f>[1]!'2375.TW-Price'</f>
        <v>36.5</v>
      </c>
    </row>
    <row r="2376" spans="1:6" x14ac:dyDescent="0.25">
      <c r="A2376" t="str">
        <f>[1]!'2376.TW-ID'</f>
        <v>2376</v>
      </c>
      <c r="B2376" t="str">
        <f>[1]!'2376.TW-Name'</f>
        <v>技嘉</v>
      </c>
      <c r="C2376">
        <f>[1]!'2376.TW-SimulatePrice'</f>
        <v>62.4</v>
      </c>
      <c r="D2376">
        <f>[1]!'2376.TW-PreClose'</f>
        <v>58.9</v>
      </c>
      <c r="E2376" t="str">
        <f>[1]!'2376.TW-SimulateTime'</f>
        <v>13:29:58</v>
      </c>
      <c r="F2376">
        <f>[1]!'2376.TW-Price'</f>
        <v>62.4</v>
      </c>
    </row>
    <row r="2377" spans="1:6" x14ac:dyDescent="0.25">
      <c r="A2377" t="str">
        <f>[1]!'2377.TW-ID'</f>
        <v>2377</v>
      </c>
      <c r="B2377" t="str">
        <f>[1]!'2377.TW-Name'</f>
        <v>微星</v>
      </c>
      <c r="C2377">
        <f>[1]!'2377.TW-SimulatePrice'</f>
        <v>103.5</v>
      </c>
      <c r="D2377">
        <f>[1]!'2377.TW-PreClose'</f>
        <v>102.5</v>
      </c>
      <c r="E2377" t="str">
        <f>[1]!'2377.TW-SimulateTime'</f>
        <v>13:29:55</v>
      </c>
      <c r="F2377">
        <f>[1]!'2377.TW-Price'</f>
        <v>103.5</v>
      </c>
    </row>
    <row r="2379" spans="1:6" x14ac:dyDescent="0.25">
      <c r="A2379" t="str">
        <f>[1]!'2379.TW-ID'</f>
        <v>2379</v>
      </c>
      <c r="B2379" t="str">
        <f>[1]!'2379.TW-Name'</f>
        <v>瑞昱</v>
      </c>
      <c r="C2379">
        <f>[1]!'2379.TW-SimulatePrice'</f>
        <v>245.5</v>
      </c>
      <c r="D2379">
        <f>[1]!'2379.TW-PreClose'</f>
        <v>246</v>
      </c>
      <c r="E2379" t="str">
        <f>[1]!'2379.TW-SimulateTime'</f>
        <v>13:29:56</v>
      </c>
      <c r="F2379">
        <f>[1]!'2379.TW-Price'</f>
        <v>245.5</v>
      </c>
    </row>
    <row r="2380" spans="1:6" x14ac:dyDescent="0.25">
      <c r="A2380" t="str">
        <f>[1]!'2380.TW-ID'</f>
        <v>2380</v>
      </c>
      <c r="B2380" t="str">
        <f>[1]!'2380.TW-Name'</f>
        <v>虹光</v>
      </c>
      <c r="C2380">
        <f>[1]!'2380.TW-SimulatePrice'</f>
        <v>3.64</v>
      </c>
      <c r="D2380">
        <f>[1]!'2380.TW-PreClose'</f>
        <v>3.7</v>
      </c>
      <c r="E2380" t="str">
        <f>[1]!'2380.TW-SimulateTime'</f>
        <v>13:29:59</v>
      </c>
      <c r="F2380">
        <f>[1]!'2380.TW-Price'</f>
        <v>3.64</v>
      </c>
    </row>
    <row r="2382" spans="1:6" x14ac:dyDescent="0.25">
      <c r="A2382" t="str">
        <f>[1]!'2382.TW-ID'</f>
        <v>2382</v>
      </c>
      <c r="B2382" t="str">
        <f>[1]!'2382.TW-Name'</f>
        <v>廣達</v>
      </c>
      <c r="C2382">
        <f>[1]!'2382.TW-SimulatePrice'</f>
        <v>65.099999999999994</v>
      </c>
      <c r="D2382">
        <f>[1]!'2382.TW-PreClose'</f>
        <v>65</v>
      </c>
      <c r="E2382" t="str">
        <f>[1]!'2382.TW-SimulateTime'</f>
        <v>13:29:57</v>
      </c>
      <c r="F2382">
        <f>[1]!'2382.TW-Price'</f>
        <v>65.2</v>
      </c>
    </row>
    <row r="2383" spans="1:6" x14ac:dyDescent="0.25">
      <c r="A2383" t="str">
        <f>[1]!'2383.TW-ID'</f>
        <v>2383</v>
      </c>
      <c r="B2383" t="str">
        <f>[1]!'2383.TW-Name'</f>
        <v>台光電</v>
      </c>
      <c r="C2383">
        <f>[1]!'2383.TW-SimulatePrice'</f>
        <v>144</v>
      </c>
      <c r="D2383">
        <f>[1]!'2383.TW-PreClose'</f>
        <v>141</v>
      </c>
      <c r="E2383" t="str">
        <f>[1]!'2383.TW-SimulateTime'</f>
        <v>13:29:59</v>
      </c>
      <c r="F2383">
        <f>[1]!'2383.TW-Price'</f>
        <v>144</v>
      </c>
    </row>
    <row r="2385" spans="1:6" x14ac:dyDescent="0.25">
      <c r="A2385" t="str">
        <f>[1]!'2385.TW-ID'</f>
        <v>2385</v>
      </c>
      <c r="B2385" t="str">
        <f>[1]!'2385.TW-Name'</f>
        <v>群光</v>
      </c>
      <c r="C2385">
        <f>[1]!'2385.TW-SimulatePrice'</f>
        <v>80.599999999999994</v>
      </c>
      <c r="D2385">
        <f>[1]!'2385.TW-PreClose'</f>
        <v>80.8</v>
      </c>
      <c r="E2385" t="str">
        <f>[1]!'2385.TW-SimulateTime'</f>
        <v>13:29:58</v>
      </c>
      <c r="F2385">
        <f>[1]!'2385.TW-Price'</f>
        <v>80.599999999999994</v>
      </c>
    </row>
    <row r="2387" spans="1:6" x14ac:dyDescent="0.25">
      <c r="A2387" t="str">
        <f>[1]!'2387.TW-ID'</f>
        <v>2387</v>
      </c>
      <c r="B2387" t="str">
        <f>[1]!'2387.TW-Name'</f>
        <v>精元</v>
      </c>
      <c r="C2387">
        <f>[1]!'2387.TW-SimulatePrice'</f>
        <v>28.85</v>
      </c>
      <c r="D2387">
        <f>[1]!'2387.TW-PreClose'</f>
        <v>29.9</v>
      </c>
      <c r="E2387" t="str">
        <f>[1]!'2387.TW-SimulateTime'</f>
        <v>13:29:56</v>
      </c>
      <c r="F2387">
        <f>[1]!'2387.TW-Price'</f>
        <v>28.85</v>
      </c>
    </row>
    <row r="2388" spans="1:6" x14ac:dyDescent="0.25">
      <c r="A2388" t="str">
        <f>[1]!'2388.TW-ID'</f>
        <v>2388</v>
      </c>
      <c r="B2388" t="str">
        <f>[1]!'2388.TW-Name'</f>
        <v>威盛</v>
      </c>
      <c r="C2388">
        <f>[1]!'2388.TW-SimulatePrice'</f>
        <v>27.7</v>
      </c>
      <c r="D2388">
        <f>[1]!'2388.TW-PreClose'</f>
        <v>28.25</v>
      </c>
      <c r="E2388" t="str">
        <f>[1]!'2388.TW-SimulateTime'</f>
        <v>13:29:40</v>
      </c>
      <c r="F2388">
        <f>[1]!'2388.TW-Price'</f>
        <v>27.7</v>
      </c>
    </row>
    <row r="2390" spans="1:6" x14ac:dyDescent="0.25">
      <c r="A2390" t="str">
        <f>[1]!'2390.TW-ID'</f>
        <v>2390</v>
      </c>
      <c r="B2390" t="str">
        <f>[1]!'2390.TW-Name'</f>
        <v>云辰</v>
      </c>
      <c r="C2390">
        <f>[1]!'2390.TW-SimulatePrice'</f>
        <v>8.27</v>
      </c>
      <c r="D2390">
        <f>[1]!'2390.TW-PreClose'</f>
        <v>8.26</v>
      </c>
      <c r="E2390" t="str">
        <f>[1]!'2390.TW-SimulateTime'</f>
        <v>13:29:49</v>
      </c>
      <c r="F2390">
        <f>[1]!'2390.TW-Price'</f>
        <v>8.27</v>
      </c>
    </row>
    <row r="2392" spans="1:6" x14ac:dyDescent="0.25">
      <c r="A2392" t="str">
        <f>[1]!'2392.TW-ID'</f>
        <v>2392</v>
      </c>
      <c r="B2392" t="str">
        <f>[1]!'2392.TW-Name'</f>
        <v>正崴</v>
      </c>
      <c r="C2392">
        <f>[1]!'2392.TW-SimulatePrice'</f>
        <v>36.35</v>
      </c>
      <c r="D2392">
        <f>[1]!'2392.TW-PreClose'</f>
        <v>37.1</v>
      </c>
      <c r="E2392" t="str">
        <f>[1]!'2392.TW-SimulateTime'</f>
        <v>13:29:59</v>
      </c>
      <c r="F2392">
        <f>[1]!'2392.TW-Price'</f>
        <v>36.35</v>
      </c>
    </row>
    <row r="2393" spans="1:6" x14ac:dyDescent="0.25">
      <c r="A2393" t="str">
        <f>[1]!'2393.TW-ID'</f>
        <v>2393</v>
      </c>
      <c r="B2393" t="str">
        <f>[1]!'2393.TW-Name'</f>
        <v>億光</v>
      </c>
      <c r="C2393">
        <f>[1]!'2393.TW-SimulatePrice'</f>
        <v>32.049999999999997</v>
      </c>
      <c r="D2393">
        <f>[1]!'2393.TW-PreClose'</f>
        <v>32.65</v>
      </c>
      <c r="E2393" t="str">
        <f>[1]!'2393.TW-SimulateTime'</f>
        <v>13:29:57</v>
      </c>
      <c r="F2393">
        <f>[1]!'2393.TW-Price'</f>
        <v>32.1</v>
      </c>
    </row>
    <row r="2395" spans="1:6" x14ac:dyDescent="0.25">
      <c r="A2395" t="str">
        <f>[1]!'2395.TW-ID'</f>
        <v>2395</v>
      </c>
      <c r="B2395" t="str">
        <f>[1]!'2395.TW-Name'</f>
        <v>研華</v>
      </c>
      <c r="C2395">
        <f>[1]!'2395.TW-SimulatePrice'</f>
        <v>278</v>
      </c>
      <c r="D2395">
        <f>[1]!'2395.TW-PreClose'</f>
        <v>283</v>
      </c>
      <c r="E2395" t="str">
        <f>[1]!'2395.TW-SimulateTime'</f>
        <v>13:29:55</v>
      </c>
      <c r="F2395">
        <f>[1]!'2395.TW-Price'</f>
        <v>278</v>
      </c>
    </row>
    <row r="2397" spans="1:6" x14ac:dyDescent="0.25">
      <c r="A2397" t="str">
        <f>[1]!'2397.TW-ID'</f>
        <v>2397</v>
      </c>
      <c r="B2397" t="str">
        <f>[1]!'2397.TW-Name'</f>
        <v>友通</v>
      </c>
      <c r="C2397">
        <f>[1]!'2397.TW-SimulatePrice'</f>
        <v>75.3</v>
      </c>
      <c r="D2397">
        <f>[1]!'2397.TW-PreClose'</f>
        <v>75.8</v>
      </c>
      <c r="E2397" t="str">
        <f>[1]!'2397.TW-SimulateTime'</f>
        <v>13:28:53</v>
      </c>
      <c r="F2397">
        <f>[1]!'2397.TW-Price'</f>
        <v>75.3</v>
      </c>
    </row>
    <row r="2399" spans="1:6" x14ac:dyDescent="0.25">
      <c r="A2399" t="str">
        <f>[1]!'2399.TW-ID'</f>
        <v>2399</v>
      </c>
      <c r="B2399" t="str">
        <f>[1]!'2399.TW-Name'</f>
        <v>映泰</v>
      </c>
      <c r="C2399">
        <f>[1]!'2399.TW-SimulatePrice'</f>
        <v>9.6999999999999993</v>
      </c>
      <c r="D2399">
        <f>[1]!'2399.TW-PreClose'</f>
        <v>9.81</v>
      </c>
      <c r="E2399" t="str">
        <f>[1]!'2399.TW-SimulateTime'</f>
        <v>13:29:47</v>
      </c>
      <c r="F2399">
        <f>[1]!'2399.TW-Price'</f>
        <v>9.6999999999999993</v>
      </c>
    </row>
    <row r="2401" spans="1:6" x14ac:dyDescent="0.25">
      <c r="A2401" t="str">
        <f>[1]!'2401.TW-ID'</f>
        <v>2401</v>
      </c>
      <c r="B2401" t="str">
        <f>[1]!'2401.TW-Name'</f>
        <v>凌陽</v>
      </c>
      <c r="C2401">
        <f>[1]!'2401.TW-SimulatePrice'</f>
        <v>10.15</v>
      </c>
      <c r="D2401">
        <f>[1]!'2401.TW-PreClose'</f>
        <v>10.5</v>
      </c>
      <c r="E2401" t="str">
        <f>[1]!'2401.TW-SimulateTime'</f>
        <v>13:29:59</v>
      </c>
      <c r="F2401">
        <f>[1]!'2401.TW-Price'</f>
        <v>10.15</v>
      </c>
    </row>
    <row r="2402" spans="1:6" x14ac:dyDescent="0.25">
      <c r="A2402" t="str">
        <f>[1]!'2402.TW-ID'</f>
        <v>2402</v>
      </c>
      <c r="B2402" t="str">
        <f>[1]!'2402.TW-Name'</f>
        <v>毅嘉</v>
      </c>
      <c r="C2402">
        <f>[1]!'2402.TW-SimulatePrice'</f>
        <v>12.4</v>
      </c>
      <c r="D2402">
        <f>[1]!'2402.TW-PreClose'</f>
        <v>12.6</v>
      </c>
      <c r="E2402" t="str">
        <f>[1]!'2402.TW-SimulateTime'</f>
        <v>13:29:49</v>
      </c>
      <c r="F2402">
        <f>[1]!'2402.TW-Price'</f>
        <v>12.4</v>
      </c>
    </row>
    <row r="2404" spans="1:6" x14ac:dyDescent="0.25">
      <c r="A2404" t="str">
        <f>[1]!'2404.TW-ID'</f>
        <v>2404</v>
      </c>
      <c r="B2404" t="str">
        <f>[1]!'2404.TW-Name'</f>
        <v>漢唐</v>
      </c>
      <c r="C2404">
        <f>[1]!'2404.TW-SimulatePrice'</f>
        <v>195</v>
      </c>
      <c r="D2404">
        <f>[1]!'2404.TW-PreClose'</f>
        <v>194</v>
      </c>
      <c r="E2404" t="str">
        <f>[1]!'2404.TW-SimulateTime'</f>
        <v>13:29:56</v>
      </c>
      <c r="F2404">
        <f>[1]!'2404.TW-Price'</f>
        <v>195</v>
      </c>
    </row>
    <row r="2405" spans="1:6" x14ac:dyDescent="0.25">
      <c r="A2405" t="str">
        <f>[1]!'2405.TW-ID'</f>
        <v>2405</v>
      </c>
      <c r="B2405" t="str">
        <f>[1]!'2405.TW-Name'</f>
        <v>浩鑫</v>
      </c>
      <c r="C2405">
        <f>[1]!'2405.TW-SimulatePrice'</f>
        <v>9.6199999999999992</v>
      </c>
      <c r="D2405">
        <f>[1]!'2405.TW-PreClose'</f>
        <v>9.82</v>
      </c>
      <c r="E2405" t="str">
        <f>[1]!'2405.TW-SimulateTime'</f>
        <v>13:29:54</v>
      </c>
      <c r="F2405">
        <f>[1]!'2405.TW-Price'</f>
        <v>9.6199999999999992</v>
      </c>
    </row>
    <row r="2406" spans="1:6" x14ac:dyDescent="0.25">
      <c r="A2406" t="str">
        <f>[1]!'2406.TW-ID'</f>
        <v>2406</v>
      </c>
      <c r="B2406" t="str">
        <f>[1]!'2406.TW-Name'</f>
        <v>國碩</v>
      </c>
      <c r="C2406">
        <f>[1]!'2406.TW-SimulatePrice'</f>
        <v>9.8000000000000007</v>
      </c>
      <c r="D2406">
        <f>[1]!'2406.TW-PreClose'</f>
        <v>10.050000000000001</v>
      </c>
      <c r="E2406" t="str">
        <f>[1]!'2406.TW-SimulateTime'</f>
        <v>13:29:58</v>
      </c>
      <c r="F2406">
        <f>[1]!'2406.TW-Price'</f>
        <v>9.8000000000000007</v>
      </c>
    </row>
    <row r="2408" spans="1:6" x14ac:dyDescent="0.25">
      <c r="A2408" t="str">
        <f>[1]!'2408.TW-ID'</f>
        <v>2408</v>
      </c>
      <c r="B2408" t="str">
        <f>[1]!'2408.TW-Name'</f>
        <v>南亞科</v>
      </c>
      <c r="C2408">
        <f>[1]!'2408.TW-SimulatePrice'</f>
        <v>60.1</v>
      </c>
      <c r="D2408">
        <f>[1]!'2408.TW-PreClose'</f>
        <v>60</v>
      </c>
      <c r="E2408" t="str">
        <f>[1]!'2408.TW-SimulateTime'</f>
        <v>13:29:58</v>
      </c>
      <c r="F2408">
        <f>[1]!'2408.TW-Price'</f>
        <v>60.1</v>
      </c>
    </row>
    <row r="2409" spans="1:6" x14ac:dyDescent="0.25">
      <c r="A2409" t="str">
        <f>[1]!'2409.TW-ID'</f>
        <v>2409</v>
      </c>
      <c r="B2409" t="str">
        <f>[1]!'2409.TW-Name'</f>
        <v>友達</v>
      </c>
      <c r="C2409">
        <f>[1]!'2409.TW-SimulatePrice'</f>
        <v>7.61</v>
      </c>
      <c r="D2409">
        <f>[1]!'2409.TW-PreClose'</f>
        <v>7.66</v>
      </c>
      <c r="E2409" t="str">
        <f>[1]!'2409.TW-SimulateTime'</f>
        <v>13:29:58</v>
      </c>
      <c r="F2409">
        <f>[1]!'2409.TW-Price'</f>
        <v>7.61</v>
      </c>
    </row>
    <row r="2412" spans="1:6" x14ac:dyDescent="0.25">
      <c r="A2412" t="str">
        <f>[1]!'2412.TW-ID'</f>
        <v>2412</v>
      </c>
      <c r="B2412" t="str">
        <f>[1]!'2412.TW-Name'</f>
        <v>中華電</v>
      </c>
      <c r="C2412">
        <f>[1]!'2412.TW-SimulatePrice'</f>
        <v>109.5</v>
      </c>
      <c r="D2412">
        <f>[1]!'2412.TW-PreClose'</f>
        <v>110</v>
      </c>
      <c r="E2412" t="str">
        <f>[1]!'2412.TW-SimulateTime'</f>
        <v>13:29:56</v>
      </c>
      <c r="F2412">
        <f>[1]!'2412.TW-Price'</f>
        <v>109.5</v>
      </c>
    </row>
    <row r="2413" spans="1:6" x14ac:dyDescent="0.25">
      <c r="A2413" t="str">
        <f>[1]!'2413.TW-ID'</f>
        <v>2413</v>
      </c>
      <c r="B2413" t="str">
        <f>[1]!'2413.TW-Name'</f>
        <v>環科</v>
      </c>
      <c r="C2413">
        <f>[1]!'2413.TW-SimulatePrice'</f>
        <v>12.25</v>
      </c>
      <c r="D2413">
        <f>[1]!'2413.TW-PreClose'</f>
        <v>12.35</v>
      </c>
      <c r="E2413" t="str">
        <f>[1]!'2413.TW-SimulateTime'</f>
        <v>13:29:59</v>
      </c>
      <c r="F2413">
        <f>[1]!'2413.TW-Price'</f>
        <v>12.25</v>
      </c>
    </row>
    <row r="2414" spans="1:6" x14ac:dyDescent="0.25">
      <c r="A2414" t="str">
        <f>[1]!'2414.TW-ID'</f>
        <v>2414</v>
      </c>
      <c r="B2414" t="str">
        <f>[1]!'2414.TW-Name'</f>
        <v>精技</v>
      </c>
      <c r="C2414">
        <f>[1]!'2414.TW-SimulatePrice'</f>
        <v>24</v>
      </c>
      <c r="D2414">
        <f>[1]!'2414.TW-PreClose'</f>
        <v>23.8</v>
      </c>
      <c r="E2414" t="str">
        <f>[1]!'2414.TW-SimulateTime'</f>
        <v>13:29:35</v>
      </c>
      <c r="F2414">
        <f>[1]!'2414.TW-Price'</f>
        <v>24</v>
      </c>
    </row>
    <row r="2415" spans="1:6" x14ac:dyDescent="0.25">
      <c r="A2415" t="str">
        <f>[1]!'2415.TW-ID'</f>
        <v>2415</v>
      </c>
      <c r="B2415" t="str">
        <f>[1]!'2415.TW-Name'</f>
        <v>錩新</v>
      </c>
      <c r="C2415">
        <f>[1]!'2415.TW-SimulatePrice'</f>
        <v>15.9</v>
      </c>
      <c r="D2415">
        <f>[1]!'2415.TW-PreClose'</f>
        <v>16.45</v>
      </c>
      <c r="E2415" t="str">
        <f>[1]!'2415.TW-SimulateTime'</f>
        <v>13:29:48</v>
      </c>
      <c r="F2415">
        <f>[1]!'2415.TW-Price'</f>
        <v>15.9</v>
      </c>
    </row>
    <row r="2417" spans="1:6" x14ac:dyDescent="0.25">
      <c r="A2417" t="str">
        <f>[1]!'2417.TW-ID'</f>
        <v>2417</v>
      </c>
      <c r="B2417" t="str">
        <f>[1]!'2417.TW-Name'</f>
        <v>圓剛</v>
      </c>
      <c r="C2417">
        <f>[1]!'2417.TW-SimulatePrice'</f>
        <v>12.75</v>
      </c>
      <c r="D2417">
        <f>[1]!'2417.TW-PreClose'</f>
        <v>12.8</v>
      </c>
      <c r="E2417" t="str">
        <f>[1]!'2417.TW-SimulateTime'</f>
        <v>13:29:58</v>
      </c>
      <c r="F2417">
        <f>[1]!'2417.TW-Price'</f>
        <v>12.75</v>
      </c>
    </row>
    <row r="2419" spans="1:6" x14ac:dyDescent="0.25">
      <c r="A2419" t="str">
        <f>[1]!'2419.TW-ID'</f>
        <v>2419</v>
      </c>
      <c r="B2419" t="str">
        <f>[1]!'2419.TW-Name'</f>
        <v>仲琦</v>
      </c>
      <c r="C2419">
        <f>[1]!'2419.TW-SimulatePrice'</f>
        <v>20.100000000000001</v>
      </c>
      <c r="D2419">
        <f>[1]!'2419.TW-PreClose'</f>
        <v>20.399999999999999</v>
      </c>
      <c r="E2419" t="str">
        <f>[1]!'2419.TW-SimulateTime'</f>
        <v>13:29:32</v>
      </c>
      <c r="F2419">
        <f>[1]!'2419.TW-Price'</f>
        <v>20.100000000000001</v>
      </c>
    </row>
    <row r="2420" spans="1:6" x14ac:dyDescent="0.25">
      <c r="A2420" t="str">
        <f>[1]!'2420.TW-ID'</f>
        <v>2420</v>
      </c>
      <c r="B2420" t="str">
        <f>[1]!'2420.TW-Name'</f>
        <v>新巨</v>
      </c>
      <c r="C2420">
        <f>[1]!'2420.TW-SimulatePrice'</f>
        <v>33.65</v>
      </c>
      <c r="D2420">
        <f>[1]!'2420.TW-PreClose'</f>
        <v>33.65</v>
      </c>
      <c r="E2420" t="str">
        <f>[1]!'2420.TW-SimulateTime'</f>
        <v>13:29:57</v>
      </c>
      <c r="F2420">
        <f>[1]!'2420.TW-Price'</f>
        <v>33.65</v>
      </c>
    </row>
    <row r="2421" spans="1:6" x14ac:dyDescent="0.25">
      <c r="A2421" t="str">
        <f>[1]!'2421.TW-ID'</f>
        <v>2421</v>
      </c>
      <c r="B2421" t="str">
        <f>[1]!'2421.TW-Name'</f>
        <v>建準</v>
      </c>
      <c r="C2421">
        <f>[1]!'2421.TW-SimulatePrice'</f>
        <v>49.5</v>
      </c>
      <c r="D2421">
        <f>[1]!'2421.TW-PreClose'</f>
        <v>49.2</v>
      </c>
      <c r="E2421" t="str">
        <f>[1]!'2421.TW-SimulateTime'</f>
        <v>13:29:59</v>
      </c>
      <c r="F2421">
        <f>[1]!'2421.TW-Price'</f>
        <v>49.5</v>
      </c>
    </row>
    <row r="2423" spans="1:6" x14ac:dyDescent="0.25">
      <c r="A2423" t="str">
        <f>[1]!'2423.TW-ID'</f>
        <v>2423</v>
      </c>
      <c r="B2423" t="str">
        <f>[1]!'2423.TW-Name'</f>
        <v>固緯</v>
      </c>
      <c r="C2423">
        <f>[1]!'2423.TW-SimulatePrice'</f>
        <v>23.4</v>
      </c>
      <c r="D2423">
        <f>[1]!'2423.TW-PreClose'</f>
        <v>23.55</v>
      </c>
      <c r="E2423" t="str">
        <f>[1]!'2423.TW-SimulateTime'</f>
        <v>13:29:10</v>
      </c>
      <c r="F2423">
        <f>[1]!'2423.TW-Price'</f>
        <v>23.4</v>
      </c>
    </row>
    <row r="2424" spans="1:6" x14ac:dyDescent="0.25">
      <c r="A2424" t="str">
        <f>[1]!'2424.TW-ID'</f>
        <v>2424</v>
      </c>
      <c r="B2424" t="str">
        <f>[1]!'2424.TW-Name'</f>
        <v>隴華</v>
      </c>
      <c r="C2424" t="str">
        <f>[1]!'2424.TW-SimulatePrice'</f>
        <v>--</v>
      </c>
      <c r="D2424">
        <f>[1]!'2424.TW-PreClose'</f>
        <v>17.649999999999999</v>
      </c>
      <c r="E2424" t="str">
        <f>[1]!'2424.TW-SimulateTime'</f>
        <v>--</v>
      </c>
      <c r="F2424">
        <f>[1]!'2424.TW-Price'</f>
        <v>18.600000000000001</v>
      </c>
    </row>
    <row r="2425" spans="1:6" x14ac:dyDescent="0.25">
      <c r="A2425" t="str">
        <f>[1]!'2425.TW-ID'</f>
        <v>2425</v>
      </c>
      <c r="B2425" t="str">
        <f>[1]!'2425.TW-Name'</f>
        <v>承啟</v>
      </c>
      <c r="C2425">
        <f>[1]!'2425.TW-SimulatePrice'</f>
        <v>25.15</v>
      </c>
      <c r="D2425">
        <f>[1]!'2425.TW-PreClose'</f>
        <v>25.15</v>
      </c>
      <c r="E2425" t="str">
        <f>[1]!'2425.TW-SimulateTime'</f>
        <v>13:29:54</v>
      </c>
      <c r="F2425">
        <f>[1]!'2425.TW-Price'</f>
        <v>25.15</v>
      </c>
    </row>
    <row r="2426" spans="1:6" x14ac:dyDescent="0.25">
      <c r="A2426" t="str">
        <f>[1]!'2426.TW-ID'</f>
        <v>2426</v>
      </c>
      <c r="B2426" t="str">
        <f>[1]!'2426.TW-Name'</f>
        <v>鼎元</v>
      </c>
      <c r="C2426">
        <f>[1]!'2426.TW-SimulatePrice'</f>
        <v>13.15</v>
      </c>
      <c r="D2426">
        <f>[1]!'2426.TW-PreClose'</f>
        <v>13.4</v>
      </c>
      <c r="E2426" t="str">
        <f>[1]!'2426.TW-SimulateTime'</f>
        <v>13:29:57</v>
      </c>
      <c r="F2426">
        <f>[1]!'2426.TW-Price'</f>
        <v>13.15</v>
      </c>
    </row>
    <row r="2427" spans="1:6" x14ac:dyDescent="0.25">
      <c r="A2427" t="str">
        <f>[1]!'2427.TW-ID'</f>
        <v>2427</v>
      </c>
      <c r="B2427" t="str">
        <f>[1]!'2427.TW-Name'</f>
        <v>三商電</v>
      </c>
      <c r="C2427">
        <f>[1]!'2427.TW-SimulatePrice'</f>
        <v>10.1</v>
      </c>
      <c r="D2427">
        <f>[1]!'2427.TW-PreClose'</f>
        <v>10.050000000000001</v>
      </c>
      <c r="E2427" t="str">
        <f>[1]!'2427.TW-SimulateTime'</f>
        <v>13:29:55</v>
      </c>
      <c r="F2427">
        <f>[1]!'2427.TW-Price'</f>
        <v>10.1</v>
      </c>
    </row>
    <row r="2428" spans="1:6" x14ac:dyDescent="0.25">
      <c r="A2428" t="str">
        <f>[1]!'2428.TW-ID'</f>
        <v>2428</v>
      </c>
      <c r="B2428" t="str">
        <f>[1]!'2428.TW-Name'</f>
        <v>興勤</v>
      </c>
      <c r="C2428">
        <f>[1]!'2428.TW-SimulatePrice'</f>
        <v>86.9</v>
      </c>
      <c r="D2428">
        <f>[1]!'2428.TW-PreClose'</f>
        <v>87</v>
      </c>
      <c r="E2428" t="str">
        <f>[1]!'2428.TW-SimulateTime'</f>
        <v>13:29:50</v>
      </c>
      <c r="F2428">
        <f>[1]!'2428.TW-Price'</f>
        <v>86.9</v>
      </c>
    </row>
    <row r="2429" spans="1:6" x14ac:dyDescent="0.25">
      <c r="A2429" t="str">
        <f>[1]!'2429.TW-ID'</f>
        <v>2429</v>
      </c>
      <c r="B2429" t="str">
        <f>[1]!'2429.TW-Name'</f>
        <v>銘旺科</v>
      </c>
      <c r="C2429">
        <f>[1]!'2429.TW-SimulatePrice'</f>
        <v>19.8</v>
      </c>
      <c r="D2429">
        <f>[1]!'2429.TW-PreClose'</f>
        <v>20.100000000000001</v>
      </c>
      <c r="E2429" t="str">
        <f>[1]!'2429.TW-SimulateTime'</f>
        <v>13:29:23</v>
      </c>
      <c r="F2429">
        <f>[1]!'2429.TW-Price'</f>
        <v>19.8</v>
      </c>
    </row>
    <row r="2430" spans="1:6" x14ac:dyDescent="0.25">
      <c r="A2430" t="str">
        <f>[1]!'2430.TW-ID'</f>
        <v>2430</v>
      </c>
      <c r="B2430" t="str">
        <f>[1]!'2430.TW-Name'</f>
        <v>燦坤</v>
      </c>
      <c r="C2430">
        <f>[1]!'2430.TW-SimulatePrice'</f>
        <v>16.45</v>
      </c>
      <c r="D2430">
        <f>[1]!'2430.TW-PreClose'</f>
        <v>16.75</v>
      </c>
      <c r="E2430" t="str">
        <f>[1]!'2430.TW-SimulateTime'</f>
        <v>13:29:51</v>
      </c>
      <c r="F2430">
        <f>[1]!'2430.TW-Price'</f>
        <v>16.45</v>
      </c>
    </row>
    <row r="2431" spans="1:6" x14ac:dyDescent="0.25">
      <c r="A2431" t="str">
        <f>[1]!'2431.TW-ID'</f>
        <v>2431</v>
      </c>
      <c r="B2431" t="str">
        <f>[1]!'2431.TW-Name'</f>
        <v>聯昌</v>
      </c>
      <c r="C2431">
        <f>[1]!'2431.TW-SimulatePrice'</f>
        <v>8.2899999999999991</v>
      </c>
      <c r="D2431">
        <f>[1]!'2431.TW-PreClose'</f>
        <v>8.41</v>
      </c>
      <c r="E2431" t="str">
        <f>[1]!'2431.TW-SimulateTime'</f>
        <v>13:26:37</v>
      </c>
      <c r="F2431">
        <f>[1]!'2431.TW-Price'</f>
        <v>8.2899999999999991</v>
      </c>
    </row>
    <row r="2433" spans="1:6" x14ac:dyDescent="0.25">
      <c r="A2433" t="str">
        <f>[1]!'2433.TW-ID'</f>
        <v>2433</v>
      </c>
      <c r="B2433" t="str">
        <f>[1]!'2433.TW-Name'</f>
        <v>互盛電</v>
      </c>
      <c r="C2433">
        <f>[1]!'2433.TW-SimulatePrice'</f>
        <v>52.7</v>
      </c>
      <c r="D2433">
        <f>[1]!'2433.TW-PreClose'</f>
        <v>52.5</v>
      </c>
      <c r="E2433" t="str">
        <f>[1]!'2433.TW-SimulateTime'</f>
        <v>13:28:22</v>
      </c>
      <c r="F2433">
        <f>[1]!'2433.TW-Price'</f>
        <v>52.7</v>
      </c>
    </row>
    <row r="2434" spans="1:6" x14ac:dyDescent="0.25">
      <c r="A2434" t="str">
        <f>[1]!'2434.TW-ID'</f>
        <v>2434</v>
      </c>
      <c r="B2434" t="str">
        <f>[1]!'2434.TW-Name'</f>
        <v>統懋</v>
      </c>
      <c r="C2434" t="str">
        <f>[1]!'2434.TW-SimulatePrice'</f>
        <v>--</v>
      </c>
      <c r="D2434">
        <f>[1]!'2434.TW-PreClose'</f>
        <v>5.93</v>
      </c>
      <c r="E2434" t="str">
        <f>[1]!'2434.TW-SimulateTime'</f>
        <v>--</v>
      </c>
      <c r="F2434">
        <f>[1]!'2434.TW-Price'</f>
        <v>6</v>
      </c>
    </row>
    <row r="2436" spans="1:6" x14ac:dyDescent="0.25">
      <c r="A2436" t="str">
        <f>[1]!'2436.TW-ID'</f>
        <v>2436</v>
      </c>
      <c r="B2436" t="str">
        <f>[1]!'2436.TW-Name'</f>
        <v>偉詮電</v>
      </c>
      <c r="C2436">
        <f>[1]!'2436.TW-SimulatePrice'</f>
        <v>25.2</v>
      </c>
      <c r="D2436">
        <f>[1]!'2436.TW-PreClose'</f>
        <v>25.45</v>
      </c>
      <c r="E2436" t="str">
        <f>[1]!'2436.TW-SimulateTime'</f>
        <v>13:29:40</v>
      </c>
      <c r="F2436">
        <f>[1]!'2436.TW-Price'</f>
        <v>25.25</v>
      </c>
    </row>
    <row r="2438" spans="1:6" x14ac:dyDescent="0.25">
      <c r="A2438" t="str">
        <f>[1]!'2438.TW-ID'</f>
        <v>2438</v>
      </c>
      <c r="B2438" t="str">
        <f>[1]!'2438.TW-Name'</f>
        <v>翔耀</v>
      </c>
      <c r="C2438" t="str">
        <f>[1]!'2438.TW-SimulatePrice'</f>
        <v>--</v>
      </c>
      <c r="D2438">
        <f>[1]!'2438.TW-PreClose'</f>
        <v>5.74</v>
      </c>
      <c r="E2438" t="str">
        <f>[1]!'2438.TW-SimulateTime'</f>
        <v>--</v>
      </c>
      <c r="F2438">
        <f>[1]!'2438.TW-Price'</f>
        <v>5.6</v>
      </c>
    </row>
    <row r="2439" spans="1:6" x14ac:dyDescent="0.25">
      <c r="A2439" t="str">
        <f>[1]!'2439.TW-ID'</f>
        <v>2439</v>
      </c>
      <c r="B2439" t="str">
        <f>[1]!'2439.TW-Name'</f>
        <v>美律</v>
      </c>
      <c r="C2439">
        <f>[1]!'2439.TW-SimulatePrice'</f>
        <v>131.5</v>
      </c>
      <c r="D2439">
        <f>[1]!'2439.TW-PreClose'</f>
        <v>134.5</v>
      </c>
      <c r="E2439" t="str">
        <f>[1]!'2439.TW-SimulateTime'</f>
        <v>13:29:54</v>
      </c>
      <c r="F2439">
        <f>[1]!'2439.TW-Price'</f>
        <v>131.5</v>
      </c>
    </row>
    <row r="2440" spans="1:6" x14ac:dyDescent="0.25">
      <c r="A2440" t="str">
        <f>[1]!'2440.TW-ID'</f>
        <v>2440</v>
      </c>
      <c r="B2440" t="str">
        <f>[1]!'2440.TW-Name'</f>
        <v>太空梭</v>
      </c>
      <c r="C2440">
        <f>[1]!'2440.TW-SimulatePrice'</f>
        <v>9.1199999999999992</v>
      </c>
      <c r="D2440">
        <f>[1]!'2440.TW-PreClose'</f>
        <v>9.1</v>
      </c>
      <c r="E2440" t="str">
        <f>[1]!'2440.TW-SimulateTime'</f>
        <v>13:31:45</v>
      </c>
      <c r="F2440">
        <f>[1]!'2440.TW-Price'</f>
        <v>9.1199999999999992</v>
      </c>
    </row>
    <row r="2441" spans="1:6" x14ac:dyDescent="0.25">
      <c r="A2441" t="str">
        <f>[1]!'2441.TW-ID'</f>
        <v>2441</v>
      </c>
      <c r="B2441" t="str">
        <f>[1]!'2441.TW-Name'</f>
        <v>超豐</v>
      </c>
      <c r="C2441">
        <f>[1]!'2441.TW-SimulatePrice'</f>
        <v>44.1</v>
      </c>
      <c r="D2441">
        <f>[1]!'2441.TW-PreClose'</f>
        <v>44.25</v>
      </c>
      <c r="E2441" t="str">
        <f>[1]!'2441.TW-SimulateTime'</f>
        <v>13:29:57</v>
      </c>
      <c r="F2441">
        <f>[1]!'2441.TW-Price'</f>
        <v>44.1</v>
      </c>
    </row>
    <row r="2442" spans="1:6" x14ac:dyDescent="0.25">
      <c r="A2442" t="str">
        <f>[1]!'2442.TW-ID'</f>
        <v>2442</v>
      </c>
      <c r="B2442" t="str">
        <f>[1]!'2442.TW-Name'</f>
        <v>新美齊</v>
      </c>
      <c r="C2442">
        <f>[1]!'2442.TW-SimulatePrice'</f>
        <v>7.67</v>
      </c>
      <c r="D2442">
        <f>[1]!'2442.TW-PreClose'</f>
        <v>8.06</v>
      </c>
      <c r="E2442" t="str">
        <f>[1]!'2442.TW-SimulateTime'</f>
        <v>13:29:52</v>
      </c>
      <c r="F2442">
        <f>[1]!'2442.TW-Price'</f>
        <v>7.67</v>
      </c>
    </row>
    <row r="2443" spans="1:6" x14ac:dyDescent="0.25">
      <c r="A2443" t="str">
        <f>[1]!'2443.TW-ID'</f>
        <v>2443</v>
      </c>
      <c r="B2443" t="str">
        <f>[1]!'2443.TW-Name'</f>
        <v>億麗</v>
      </c>
      <c r="C2443">
        <f>[1]!'2443.TW-SimulatePrice'</f>
        <v>3.05</v>
      </c>
      <c r="D2443">
        <f>[1]!'2443.TW-PreClose'</f>
        <v>2.78</v>
      </c>
      <c r="E2443" t="str">
        <f>[1]!'2443.TW-SimulateTime'</f>
        <v>13:29:18</v>
      </c>
      <c r="F2443">
        <f>[1]!'2443.TW-Price'</f>
        <v>3.05</v>
      </c>
    </row>
    <row r="2444" spans="1:6" x14ac:dyDescent="0.25">
      <c r="A2444" t="str">
        <f>[1]!'2444.TW-ID'</f>
        <v>2444</v>
      </c>
      <c r="B2444" t="str">
        <f>[1]!'2444.TW-Name'</f>
        <v>兆勁</v>
      </c>
      <c r="C2444">
        <f>[1]!'2444.TW-SimulatePrice'</f>
        <v>16.5</v>
      </c>
      <c r="D2444">
        <f>[1]!'2444.TW-PreClose'</f>
        <v>16.350000000000001</v>
      </c>
      <c r="E2444" t="str">
        <f>[1]!'2444.TW-SimulateTime'</f>
        <v>13:29:58</v>
      </c>
      <c r="F2444">
        <f>[1]!'2444.TW-Price'</f>
        <v>16.5</v>
      </c>
    </row>
    <row r="2448" spans="1:6" x14ac:dyDescent="0.25">
      <c r="A2448" t="str">
        <f>[1]!'2448.TW-ID'</f>
        <v>2448</v>
      </c>
      <c r="B2448" t="str">
        <f>[1]!'2448.TW-Name'</f>
        <v>晶電</v>
      </c>
      <c r="C2448">
        <f>[1]!'2448.TW-SimulatePrice'</f>
        <v>35.700000000000003</v>
      </c>
      <c r="D2448">
        <f>[1]!'2448.TW-PreClose'</f>
        <v>37.549999999999997</v>
      </c>
      <c r="E2448" t="str">
        <f>[1]!'2448.TW-SimulateTime'</f>
        <v>13:29:57</v>
      </c>
      <c r="F2448">
        <f>[1]!'2448.TW-Price'</f>
        <v>35.700000000000003</v>
      </c>
    </row>
    <row r="2449" spans="1:6" x14ac:dyDescent="0.25">
      <c r="A2449" t="str">
        <f>[1]!'2449.TW-ID'</f>
        <v>2449</v>
      </c>
      <c r="B2449" t="str">
        <f>[1]!'2449.TW-Name'</f>
        <v>京元電子</v>
      </c>
      <c r="C2449">
        <f>[1]!'2449.TW-SimulatePrice'</f>
        <v>35.549999999999997</v>
      </c>
      <c r="D2449">
        <f>[1]!'2449.TW-PreClose'</f>
        <v>36.1</v>
      </c>
      <c r="E2449" t="str">
        <f>[1]!'2449.TW-SimulateTime'</f>
        <v>13:29:58</v>
      </c>
      <c r="F2449">
        <f>[1]!'2449.TW-Price'</f>
        <v>35.549999999999997</v>
      </c>
    </row>
    <row r="2450" spans="1:6" x14ac:dyDescent="0.25">
      <c r="A2450" t="str">
        <f>[1]!'2450.TW-ID'</f>
        <v>2450</v>
      </c>
      <c r="B2450" t="str">
        <f>[1]!'2450.TW-Name'</f>
        <v>神腦</v>
      </c>
      <c r="C2450">
        <f>[1]!'2450.TW-SimulatePrice'</f>
        <v>27.7</v>
      </c>
      <c r="D2450">
        <f>[1]!'2450.TW-PreClose'</f>
        <v>27.85</v>
      </c>
      <c r="E2450" t="str">
        <f>[1]!'2450.TW-SimulateTime'</f>
        <v>13:27:11</v>
      </c>
      <c r="F2450">
        <f>[1]!'2450.TW-Price'</f>
        <v>27.7</v>
      </c>
    </row>
    <row r="2451" spans="1:6" x14ac:dyDescent="0.25">
      <c r="A2451" t="str">
        <f>[1]!'2451.TW-ID'</f>
        <v>2451</v>
      </c>
      <c r="B2451" t="str">
        <f>[1]!'2451.TW-Name'</f>
        <v>創見</v>
      </c>
      <c r="C2451">
        <f>[1]!'2451.TW-SimulatePrice'</f>
        <v>69</v>
      </c>
      <c r="D2451">
        <f>[1]!'2451.TW-PreClose'</f>
        <v>69.2</v>
      </c>
      <c r="E2451" t="str">
        <f>[1]!'2451.TW-SimulateTime'</f>
        <v>13:29:50</v>
      </c>
      <c r="F2451">
        <f>[1]!'2451.TW-Price'</f>
        <v>69</v>
      </c>
    </row>
    <row r="2453" spans="1:6" x14ac:dyDescent="0.25">
      <c r="A2453" t="str">
        <f>[1]!'2453.TW-ID'</f>
        <v>2453</v>
      </c>
      <c r="B2453" t="str">
        <f>[1]!'2453.TW-Name'</f>
        <v>凌群</v>
      </c>
      <c r="C2453">
        <f>[1]!'2453.TW-SimulatePrice'</f>
        <v>16.149999999999999</v>
      </c>
      <c r="D2453">
        <f>[1]!'2453.TW-PreClose'</f>
        <v>16.5</v>
      </c>
      <c r="E2453" t="str">
        <f>[1]!'2453.TW-SimulateTime'</f>
        <v>13:29:58</v>
      </c>
      <c r="F2453">
        <f>[1]!'2453.TW-Price'</f>
        <v>16.149999999999999</v>
      </c>
    </row>
    <row r="2454" spans="1:6" x14ac:dyDescent="0.25">
      <c r="A2454" t="str">
        <f>[1]!'2454.TW-ID'</f>
        <v>2454</v>
      </c>
      <c r="B2454" t="str">
        <f>[1]!'2454.TW-Name'</f>
        <v>聯發科</v>
      </c>
      <c r="C2454">
        <f>[1]!'2454.TW-SimulatePrice'</f>
        <v>411</v>
      </c>
      <c r="D2454">
        <f>[1]!'2454.TW-PreClose'</f>
        <v>411</v>
      </c>
      <c r="E2454" t="str">
        <f>[1]!'2454.TW-SimulateTime'</f>
        <v>13:29:59</v>
      </c>
      <c r="F2454">
        <f>[1]!'2454.TW-Price'</f>
        <v>411</v>
      </c>
    </row>
    <row r="2455" spans="1:6" x14ac:dyDescent="0.25">
      <c r="A2455" t="str">
        <f>[1]!'2455.TW-ID'</f>
        <v>2455</v>
      </c>
      <c r="B2455" t="str">
        <f>[1]!'2455.TW-Name'</f>
        <v>全新</v>
      </c>
      <c r="C2455">
        <f>[1]!'2455.TW-SimulatePrice'</f>
        <v>90.9</v>
      </c>
      <c r="D2455">
        <f>[1]!'2455.TW-PreClose'</f>
        <v>92.2</v>
      </c>
      <c r="E2455" t="str">
        <f>[1]!'2455.TW-SimulateTime'</f>
        <v>13:29:56</v>
      </c>
      <c r="F2455">
        <f>[1]!'2455.TW-Price'</f>
        <v>90.9</v>
      </c>
    </row>
    <row r="2456" spans="1:6" x14ac:dyDescent="0.25">
      <c r="A2456" t="str">
        <f>[1]!'2456.TW-ID'</f>
        <v>2456</v>
      </c>
      <c r="B2456" t="str">
        <f>[1]!'2456.TW-Name'</f>
        <v>奇力新</v>
      </c>
      <c r="C2456">
        <f>[1]!'2456.TW-SimulatePrice'</f>
        <v>98.7</v>
      </c>
      <c r="D2456">
        <f>[1]!'2456.TW-PreClose'</f>
        <v>99.6</v>
      </c>
      <c r="E2456" t="str">
        <f>[1]!'2456.TW-SimulateTime'</f>
        <v>13:29:56</v>
      </c>
      <c r="F2456">
        <f>[1]!'2456.TW-Price'</f>
        <v>98.7</v>
      </c>
    </row>
    <row r="2457" spans="1:6" x14ac:dyDescent="0.25">
      <c r="A2457" t="str">
        <f>[1]!'2457.TW-ID'</f>
        <v>2457</v>
      </c>
      <c r="B2457" t="str">
        <f>[1]!'2457.TW-Name'</f>
        <v>飛宏</v>
      </c>
      <c r="C2457">
        <f>[1]!'2457.TW-SimulatePrice'</f>
        <v>6.74</v>
      </c>
      <c r="D2457">
        <f>[1]!'2457.TW-PreClose'</f>
        <v>6.83</v>
      </c>
      <c r="E2457" t="str">
        <f>[1]!'2457.TW-SimulateTime'</f>
        <v>13:29:38</v>
      </c>
      <c r="F2457">
        <f>[1]!'2457.TW-Price'</f>
        <v>6.74</v>
      </c>
    </row>
    <row r="2458" spans="1:6" x14ac:dyDescent="0.25">
      <c r="A2458" t="str">
        <f>[1]!'2458.TW-ID'</f>
        <v>2458</v>
      </c>
      <c r="B2458" t="str">
        <f>[1]!'2458.TW-Name'</f>
        <v>義隆</v>
      </c>
      <c r="C2458">
        <f>[1]!'2458.TW-SimulatePrice'</f>
        <v>91.6</v>
      </c>
      <c r="D2458">
        <f>[1]!'2458.TW-PreClose'</f>
        <v>94.2</v>
      </c>
      <c r="E2458" t="str">
        <f>[1]!'2458.TW-SimulateTime'</f>
        <v>13:29:55</v>
      </c>
      <c r="F2458">
        <f>[1]!'2458.TW-Price'</f>
        <v>91.5</v>
      </c>
    </row>
    <row r="2459" spans="1:6" x14ac:dyDescent="0.25">
      <c r="A2459" t="str">
        <f>[1]!'2459.TW-ID'</f>
        <v>2459</v>
      </c>
      <c r="B2459" t="str">
        <f>[1]!'2459.TW-Name'</f>
        <v>敦吉</v>
      </c>
      <c r="C2459">
        <f>[1]!'2459.TW-SimulatePrice'</f>
        <v>39.950000000000003</v>
      </c>
      <c r="D2459">
        <f>[1]!'2459.TW-PreClose'</f>
        <v>40</v>
      </c>
      <c r="E2459" t="str">
        <f>[1]!'2459.TW-SimulateTime'</f>
        <v>13:29:55</v>
      </c>
      <c r="F2459">
        <f>[1]!'2459.TW-Price'</f>
        <v>39.950000000000003</v>
      </c>
    </row>
    <row r="2460" spans="1:6" x14ac:dyDescent="0.25">
      <c r="A2460" t="str">
        <f>[1]!'2460.TW-ID'</f>
        <v>2460</v>
      </c>
      <c r="B2460" t="str">
        <f>[1]!'2460.TW-Name'</f>
        <v>建通</v>
      </c>
      <c r="C2460">
        <f>[1]!'2460.TW-SimulatePrice'</f>
        <v>8.16</v>
      </c>
      <c r="D2460">
        <f>[1]!'2460.TW-PreClose'</f>
        <v>8.1999999999999993</v>
      </c>
      <c r="E2460" t="str">
        <f>[1]!'2460.TW-SimulateTime'</f>
        <v>13:29:58</v>
      </c>
      <c r="F2460">
        <f>[1]!'2460.TW-Price'</f>
        <v>8.16</v>
      </c>
    </row>
    <row r="2461" spans="1:6" x14ac:dyDescent="0.25">
      <c r="A2461" t="str">
        <f>[1]!'2461.TW-ID'</f>
        <v>2461</v>
      </c>
      <c r="B2461" t="str">
        <f>[1]!'2461.TW-Name'</f>
        <v>光群雷</v>
      </c>
      <c r="C2461">
        <f>[1]!'2461.TW-SimulatePrice'</f>
        <v>14.9</v>
      </c>
      <c r="D2461">
        <f>[1]!'2461.TW-PreClose'</f>
        <v>15</v>
      </c>
      <c r="E2461" t="str">
        <f>[1]!'2461.TW-SimulateTime'</f>
        <v>13:29:41</v>
      </c>
      <c r="F2461">
        <f>[1]!'2461.TW-Price'</f>
        <v>14.9</v>
      </c>
    </row>
    <row r="2462" spans="1:6" x14ac:dyDescent="0.25">
      <c r="A2462" t="str">
        <f>[1]!'2462.TW-ID'</f>
        <v>2462</v>
      </c>
      <c r="B2462" t="str">
        <f>[1]!'2462.TW-Name'</f>
        <v>良得電</v>
      </c>
      <c r="C2462" t="str">
        <f>[1]!'2462.TW-SimulatePrice'</f>
        <v>--</v>
      </c>
      <c r="D2462">
        <f>[1]!'2462.TW-PreClose'</f>
        <v>26.6</v>
      </c>
      <c r="E2462" t="str">
        <f>[1]!'2462.TW-SimulateTime'</f>
        <v>--</v>
      </c>
      <c r="F2462">
        <f>[1]!'2462.TW-Price'</f>
        <v>26.45</v>
      </c>
    </row>
    <row r="2464" spans="1:6" x14ac:dyDescent="0.25">
      <c r="A2464" t="str">
        <f>[1]!'2464.TW-ID'</f>
        <v>2464</v>
      </c>
      <c r="B2464" t="str">
        <f>[1]!'2464.TW-Name'</f>
        <v>盟立</v>
      </c>
      <c r="C2464">
        <f>[1]!'2464.TW-SimulatePrice'</f>
        <v>37.25</v>
      </c>
      <c r="D2464">
        <f>[1]!'2464.TW-PreClose'</f>
        <v>37.049999999999997</v>
      </c>
      <c r="E2464" t="str">
        <f>[1]!'2464.TW-SimulateTime'</f>
        <v>13:29:58</v>
      </c>
      <c r="F2464">
        <f>[1]!'2464.TW-Price'</f>
        <v>37.25</v>
      </c>
    </row>
    <row r="2465" spans="1:6" x14ac:dyDescent="0.25">
      <c r="A2465" t="str">
        <f>[1]!'2465.TW-ID'</f>
        <v>2465</v>
      </c>
      <c r="B2465" t="str">
        <f>[1]!'2465.TW-Name'</f>
        <v>麗臺</v>
      </c>
      <c r="C2465">
        <f>[1]!'2465.TW-SimulatePrice'</f>
        <v>9.6999999999999993</v>
      </c>
      <c r="D2465">
        <f>[1]!'2465.TW-PreClose'</f>
        <v>9.7200000000000006</v>
      </c>
      <c r="E2465" t="str">
        <f>[1]!'2465.TW-SimulateTime'</f>
        <v>13:28:31</v>
      </c>
      <c r="F2465">
        <f>[1]!'2465.TW-Price'</f>
        <v>9.6999999999999993</v>
      </c>
    </row>
    <row r="2466" spans="1:6" x14ac:dyDescent="0.25">
      <c r="A2466" t="str">
        <f>[1]!'2466.TW-ID'</f>
        <v>2466</v>
      </c>
      <c r="B2466" t="str">
        <f>[1]!'2466.TW-Name'</f>
        <v>冠西電</v>
      </c>
      <c r="C2466">
        <f>[1]!'2466.TW-SimulatePrice'</f>
        <v>29.5</v>
      </c>
      <c r="D2466">
        <f>[1]!'2466.TW-PreClose'</f>
        <v>30</v>
      </c>
      <c r="E2466" t="str">
        <f>[1]!'2466.TW-SimulateTime'</f>
        <v>13:29:54</v>
      </c>
      <c r="F2466">
        <f>[1]!'2466.TW-Price'</f>
        <v>29.5</v>
      </c>
    </row>
    <row r="2467" spans="1:6" x14ac:dyDescent="0.25">
      <c r="A2467" t="str">
        <f>[1]!'2467.TW-ID'</f>
        <v>2467</v>
      </c>
      <c r="B2467" t="str">
        <f>[1]!'2467.TW-Name'</f>
        <v>志聖</v>
      </c>
      <c r="C2467">
        <f>[1]!'2467.TW-SimulatePrice'</f>
        <v>28.15</v>
      </c>
      <c r="D2467">
        <f>[1]!'2467.TW-PreClose'</f>
        <v>28.5</v>
      </c>
      <c r="E2467" t="str">
        <f>[1]!'2467.TW-SimulateTime'</f>
        <v>13:29:09</v>
      </c>
      <c r="F2467">
        <f>[1]!'2467.TW-Price'</f>
        <v>28.15</v>
      </c>
    </row>
    <row r="2468" spans="1:6" x14ac:dyDescent="0.25">
      <c r="A2468" t="str">
        <f>[1]!'2468.TW-ID'</f>
        <v>2468</v>
      </c>
      <c r="B2468" t="str">
        <f>[1]!'2468.TW-Name'</f>
        <v>華經</v>
      </c>
      <c r="C2468">
        <f>[1]!'2468.TW-SimulatePrice'</f>
        <v>12.65</v>
      </c>
      <c r="D2468">
        <f>[1]!'2468.TW-PreClose'</f>
        <v>12.75</v>
      </c>
      <c r="E2468" t="str">
        <f>[1]!'2468.TW-SimulateTime'</f>
        <v>13:29:54</v>
      </c>
      <c r="F2468">
        <f>[1]!'2468.TW-Price'</f>
        <v>12.65</v>
      </c>
    </row>
    <row r="2471" spans="1:6" x14ac:dyDescent="0.25">
      <c r="A2471" t="str">
        <f>[1]!'2471.TW-ID'</f>
        <v>2471</v>
      </c>
      <c r="B2471" t="str">
        <f>[1]!'2471.TW-Name'</f>
        <v>資通</v>
      </c>
      <c r="C2471">
        <f>[1]!'2471.TW-SimulatePrice'</f>
        <v>21.05</v>
      </c>
      <c r="D2471">
        <f>[1]!'2471.TW-PreClose'</f>
        <v>21.2</v>
      </c>
      <c r="E2471" t="str">
        <f>[1]!'2471.TW-SimulateTime'</f>
        <v>13:29:56</v>
      </c>
      <c r="F2471">
        <f>[1]!'2471.TW-Price'</f>
        <v>21.05</v>
      </c>
    </row>
    <row r="2472" spans="1:6" x14ac:dyDescent="0.25">
      <c r="A2472" t="str">
        <f>[1]!'2472.TW-ID'</f>
        <v>2472</v>
      </c>
      <c r="B2472" t="str">
        <f>[1]!'2472.TW-Name'</f>
        <v>立隆電</v>
      </c>
      <c r="C2472">
        <f>[1]!'2472.TW-SimulatePrice'</f>
        <v>41.55</v>
      </c>
      <c r="D2472">
        <f>[1]!'2472.TW-PreClose'</f>
        <v>41.55</v>
      </c>
      <c r="E2472" t="str">
        <f>[1]!'2472.TW-SimulateTime'</f>
        <v>13:29:56</v>
      </c>
      <c r="F2472">
        <f>[1]!'2472.TW-Price'</f>
        <v>41.55</v>
      </c>
    </row>
    <row r="2474" spans="1:6" x14ac:dyDescent="0.25">
      <c r="A2474" t="str">
        <f>[1]!'2474.TW-ID'</f>
        <v>2474</v>
      </c>
      <c r="B2474" t="str">
        <f>[1]!'2474.TW-Name'</f>
        <v>可成</v>
      </c>
      <c r="C2474">
        <f>[1]!'2474.TW-SimulatePrice'</f>
        <v>232.5</v>
      </c>
      <c r="D2474">
        <f>[1]!'2474.TW-PreClose'</f>
        <v>232.5</v>
      </c>
      <c r="E2474" t="str">
        <f>[1]!'2474.TW-SimulateTime'</f>
        <v>13:29:59</v>
      </c>
      <c r="F2474">
        <f>[1]!'2474.TW-Price'</f>
        <v>232.5</v>
      </c>
    </row>
    <row r="2476" spans="1:6" x14ac:dyDescent="0.25">
      <c r="A2476" t="str">
        <f>[1]!'2476.TW-ID'</f>
        <v>2476</v>
      </c>
      <c r="B2476" t="str">
        <f>[1]!'2476.TW-Name'</f>
        <v>鉅祥</v>
      </c>
      <c r="C2476">
        <f>[1]!'2476.TW-SimulatePrice'</f>
        <v>20</v>
      </c>
      <c r="D2476">
        <f>[1]!'2476.TW-PreClose'</f>
        <v>19.899999999999999</v>
      </c>
      <c r="E2476" t="str">
        <f>[1]!'2476.TW-SimulateTime'</f>
        <v>13:29:31</v>
      </c>
      <c r="F2476">
        <f>[1]!'2476.TW-Price'</f>
        <v>20</v>
      </c>
    </row>
    <row r="2477" spans="1:6" x14ac:dyDescent="0.25">
      <c r="A2477" t="str">
        <f>[1]!'2477.TW-ID'</f>
        <v>2477</v>
      </c>
      <c r="B2477" t="str">
        <f>[1]!'2477.TW-Name'</f>
        <v>美隆電</v>
      </c>
      <c r="C2477">
        <f>[1]!'2477.TW-SimulatePrice'</f>
        <v>20.65</v>
      </c>
      <c r="D2477">
        <f>[1]!'2477.TW-PreClose'</f>
        <v>21.1</v>
      </c>
      <c r="E2477" t="str">
        <f>[1]!'2477.TW-SimulateTime'</f>
        <v>13:29:46</v>
      </c>
      <c r="F2477">
        <f>[1]!'2477.TW-Price'</f>
        <v>20.65</v>
      </c>
    </row>
    <row r="2478" spans="1:6" x14ac:dyDescent="0.25">
      <c r="A2478" t="str">
        <f>[1]!'2478.TW-ID'</f>
        <v>2478</v>
      </c>
      <c r="B2478" t="str">
        <f>[1]!'2478.TW-Name'</f>
        <v>大毅</v>
      </c>
      <c r="C2478">
        <f>[1]!'2478.TW-SimulatePrice'</f>
        <v>81.400000000000006</v>
      </c>
      <c r="D2478">
        <f>[1]!'2478.TW-PreClose'</f>
        <v>79.3</v>
      </c>
      <c r="E2478" t="str">
        <f>[1]!'2478.TW-SimulateTime'</f>
        <v>13:29:57</v>
      </c>
      <c r="F2478">
        <f>[1]!'2478.TW-Price'</f>
        <v>81.400000000000006</v>
      </c>
    </row>
    <row r="2480" spans="1:6" x14ac:dyDescent="0.25">
      <c r="A2480" t="str">
        <f>[1]!'2480.TW-ID'</f>
        <v>2480</v>
      </c>
      <c r="B2480" t="str">
        <f>[1]!'2480.TW-Name'</f>
        <v>敦陽科</v>
      </c>
      <c r="C2480">
        <f>[1]!'2480.TW-SimulatePrice'</f>
        <v>62.9</v>
      </c>
      <c r="D2480">
        <f>[1]!'2480.TW-PreClose'</f>
        <v>62.8</v>
      </c>
      <c r="E2480" t="str">
        <f>[1]!'2480.TW-SimulateTime'</f>
        <v>13:29:58</v>
      </c>
      <c r="F2480">
        <f>[1]!'2480.TW-Price'</f>
        <v>62.9</v>
      </c>
    </row>
    <row r="2481" spans="1:6" x14ac:dyDescent="0.25">
      <c r="A2481" t="str">
        <f>[1]!'2481.TW-ID'</f>
        <v>2481</v>
      </c>
      <c r="B2481" t="str">
        <f>[1]!'2481.TW-Name'</f>
        <v>強茂</v>
      </c>
      <c r="C2481">
        <f>[1]!'2481.TW-SimulatePrice'</f>
        <v>23.25</v>
      </c>
      <c r="D2481">
        <f>[1]!'2481.TW-PreClose'</f>
        <v>24.2</v>
      </c>
      <c r="E2481" t="str">
        <f>[1]!'2481.TW-SimulateTime'</f>
        <v>13:29:57</v>
      </c>
      <c r="F2481">
        <f>[1]!'2481.TW-Price'</f>
        <v>23.25</v>
      </c>
    </row>
    <row r="2482" spans="1:6" x14ac:dyDescent="0.25">
      <c r="A2482" t="str">
        <f>[1]!'2482.TW-ID'</f>
        <v>2482</v>
      </c>
      <c r="B2482" t="str">
        <f>[1]!'2482.TW-Name'</f>
        <v>連宇</v>
      </c>
      <c r="C2482">
        <f>[1]!'2482.TW-SimulatePrice'</f>
        <v>10.7</v>
      </c>
      <c r="D2482">
        <f>[1]!'2482.TW-PreClose'</f>
        <v>10.8</v>
      </c>
      <c r="E2482" t="str">
        <f>[1]!'2482.TW-SimulateTime'</f>
        <v>13:28:21</v>
      </c>
      <c r="F2482">
        <f>[1]!'2482.TW-Price'</f>
        <v>10.7</v>
      </c>
    </row>
    <row r="2483" spans="1:6" x14ac:dyDescent="0.25">
      <c r="A2483" t="str">
        <f>[1]!'2483.TW-ID'</f>
        <v>2483</v>
      </c>
      <c r="B2483" t="str">
        <f>[1]!'2483.TW-Name'</f>
        <v>百容</v>
      </c>
      <c r="C2483">
        <f>[1]!'2483.TW-SimulatePrice'</f>
        <v>19.600000000000001</v>
      </c>
      <c r="D2483">
        <f>[1]!'2483.TW-PreClose'</f>
        <v>19.649999999999999</v>
      </c>
      <c r="E2483" t="str">
        <f>[1]!'2483.TW-SimulateTime'</f>
        <v>13:27:44</v>
      </c>
      <c r="F2483">
        <f>[1]!'2483.TW-Price'</f>
        <v>19.600000000000001</v>
      </c>
    </row>
    <row r="2484" spans="1:6" x14ac:dyDescent="0.25">
      <c r="A2484" t="str">
        <f>[1]!'2484.TW-ID'</f>
        <v>2484</v>
      </c>
      <c r="B2484" t="str">
        <f>[1]!'2484.TW-Name'</f>
        <v>希華</v>
      </c>
      <c r="C2484">
        <f>[1]!'2484.TW-SimulatePrice'</f>
        <v>20.6</v>
      </c>
      <c r="D2484">
        <f>[1]!'2484.TW-PreClose'</f>
        <v>20.7</v>
      </c>
      <c r="E2484" t="str">
        <f>[1]!'2484.TW-SimulateTime'</f>
        <v>13:29:57</v>
      </c>
      <c r="F2484">
        <f>[1]!'2484.TW-Price'</f>
        <v>20.6</v>
      </c>
    </row>
    <row r="2485" spans="1:6" x14ac:dyDescent="0.25">
      <c r="A2485" t="str">
        <f>[1]!'2485.TW-ID'</f>
        <v>2485</v>
      </c>
      <c r="B2485" t="str">
        <f>[1]!'2485.TW-Name'</f>
        <v>兆赫</v>
      </c>
      <c r="C2485">
        <f>[1]!'2485.TW-SimulatePrice'</f>
        <v>15.8</v>
      </c>
      <c r="D2485">
        <f>[1]!'2485.TW-PreClose'</f>
        <v>16.25</v>
      </c>
      <c r="E2485" t="str">
        <f>[1]!'2485.TW-SimulateTime'</f>
        <v>13:29:57</v>
      </c>
      <c r="F2485">
        <f>[1]!'2485.TW-Price'</f>
        <v>15.8</v>
      </c>
    </row>
    <row r="2486" spans="1:6" x14ac:dyDescent="0.25">
      <c r="A2486" t="str">
        <f>[1]!'2486.TW-ID'</f>
        <v>2486</v>
      </c>
      <c r="B2486" t="str">
        <f>[1]!'2486.TW-Name'</f>
        <v>一詮</v>
      </c>
      <c r="C2486">
        <f>[1]!'2486.TW-SimulatePrice'</f>
        <v>7.38</v>
      </c>
      <c r="D2486">
        <f>[1]!'2486.TW-PreClose'</f>
        <v>7.4</v>
      </c>
      <c r="E2486" t="str">
        <f>[1]!'2486.TW-SimulateTime'</f>
        <v>13:29:55</v>
      </c>
      <c r="F2486">
        <f>[1]!'2486.TW-Price'</f>
        <v>7.38</v>
      </c>
    </row>
    <row r="2488" spans="1:6" x14ac:dyDescent="0.25">
      <c r="A2488" t="str">
        <f>[1]!'2488.TW-ID'</f>
        <v>2488</v>
      </c>
      <c r="B2488" t="str">
        <f>[1]!'2488.TW-Name'</f>
        <v>漢平</v>
      </c>
      <c r="C2488">
        <f>[1]!'2488.TW-SimulatePrice'</f>
        <v>28.1</v>
      </c>
      <c r="D2488">
        <f>[1]!'2488.TW-PreClose'</f>
        <v>28</v>
      </c>
      <c r="E2488" t="str">
        <f>[1]!'2488.TW-SimulateTime'</f>
        <v>13:29:32</v>
      </c>
      <c r="F2488">
        <f>[1]!'2488.TW-Price'</f>
        <v>27.95</v>
      </c>
    </row>
    <row r="2489" spans="1:6" x14ac:dyDescent="0.25">
      <c r="A2489" t="str">
        <f>[1]!'2489.TW-ID'</f>
        <v>2489</v>
      </c>
      <c r="B2489" t="str">
        <f>[1]!'2489.TW-Name'</f>
        <v>瑞軒</v>
      </c>
      <c r="C2489">
        <f>[1]!'2489.TW-SimulatePrice'</f>
        <v>7.05</v>
      </c>
      <c r="D2489">
        <f>[1]!'2489.TW-PreClose'</f>
        <v>7.13</v>
      </c>
      <c r="E2489" t="str">
        <f>[1]!'2489.TW-SimulateTime'</f>
        <v>13:29:55</v>
      </c>
      <c r="F2489">
        <f>[1]!'2489.TW-Price'</f>
        <v>7.05</v>
      </c>
    </row>
    <row r="2491" spans="1:6" x14ac:dyDescent="0.25">
      <c r="A2491" t="str">
        <f>[1]!'2491.TW-ID'</f>
        <v>2491</v>
      </c>
      <c r="B2491" t="str">
        <f>[1]!'2491.TW-Name'</f>
        <v>吉祥全</v>
      </c>
      <c r="C2491" t="str">
        <f>[1]!'2491.TW-SimulatePrice'</f>
        <v>--</v>
      </c>
      <c r="D2491">
        <f>[1]!'2491.TW-PreClose'</f>
        <v>7.31</v>
      </c>
      <c r="E2491" t="str">
        <f>[1]!'2491.TW-SimulateTime'</f>
        <v>--</v>
      </c>
      <c r="F2491">
        <f>[1]!'2491.TW-Price'</f>
        <v>7.46</v>
      </c>
    </row>
    <row r="2492" spans="1:6" x14ac:dyDescent="0.25">
      <c r="A2492" t="str">
        <f>[1]!'2492.TW-ID'</f>
        <v>2492</v>
      </c>
      <c r="B2492" t="str">
        <f>[1]!'2492.TW-Name'</f>
        <v>華新科</v>
      </c>
      <c r="C2492">
        <f>[1]!'2492.TW-SimulatePrice'</f>
        <v>189</v>
      </c>
      <c r="D2492">
        <f>[1]!'2492.TW-PreClose'</f>
        <v>189</v>
      </c>
      <c r="E2492" t="str">
        <f>[1]!'2492.TW-SimulateTime'</f>
        <v>13:29:58</v>
      </c>
      <c r="F2492">
        <f>[1]!'2492.TW-Price'</f>
        <v>189</v>
      </c>
    </row>
    <row r="2493" spans="1:6" x14ac:dyDescent="0.25">
      <c r="A2493" t="str">
        <f>[1]!'2493.TW-ID'</f>
        <v>2493</v>
      </c>
      <c r="B2493" t="str">
        <f>[1]!'2493.TW-Name'</f>
        <v>揚博</v>
      </c>
      <c r="C2493">
        <f>[1]!'2493.TW-SimulatePrice'</f>
        <v>33.299999999999997</v>
      </c>
      <c r="D2493">
        <f>[1]!'2493.TW-PreClose'</f>
        <v>32.9</v>
      </c>
      <c r="E2493" t="str">
        <f>[1]!'2493.TW-SimulateTime'</f>
        <v>13:29:58</v>
      </c>
      <c r="F2493">
        <f>[1]!'2493.TW-Price'</f>
        <v>33.299999999999997</v>
      </c>
    </row>
    <row r="2495" spans="1:6" x14ac:dyDescent="0.25">
      <c r="A2495" t="str">
        <f>[1]!'2495.TW-ID'</f>
        <v>2495</v>
      </c>
      <c r="B2495" t="str">
        <f>[1]!'2495.TW-Name'</f>
        <v>普安</v>
      </c>
      <c r="C2495">
        <f>[1]!'2495.TW-SimulatePrice'</f>
        <v>11.25</v>
      </c>
      <c r="D2495">
        <f>[1]!'2495.TW-PreClose'</f>
        <v>11.3</v>
      </c>
      <c r="E2495" t="str">
        <f>[1]!'2495.TW-SimulateTime'</f>
        <v>13:27:47</v>
      </c>
      <c r="F2495">
        <f>[1]!'2495.TW-Price'</f>
        <v>11.25</v>
      </c>
    </row>
    <row r="2496" spans="1:6" x14ac:dyDescent="0.25">
      <c r="A2496" t="str">
        <f>[1]!'2496.TW-ID'</f>
        <v>2496</v>
      </c>
      <c r="B2496" t="str">
        <f>[1]!'2496.TW-Name'</f>
        <v>卓越</v>
      </c>
      <c r="C2496">
        <f>[1]!'2496.TW-SimulatePrice'</f>
        <v>61.8</v>
      </c>
      <c r="D2496">
        <f>[1]!'2496.TW-PreClose'</f>
        <v>62.7</v>
      </c>
      <c r="E2496" t="str">
        <f>[1]!'2496.TW-SimulateTime'</f>
        <v>13:29:33</v>
      </c>
      <c r="F2496">
        <f>[1]!'2496.TW-Price'</f>
        <v>61.8</v>
      </c>
    </row>
    <row r="2497" spans="1:6" x14ac:dyDescent="0.25">
      <c r="A2497" t="str">
        <f>[1]!'2497.TW-ID'</f>
        <v>2497</v>
      </c>
      <c r="B2497" t="str">
        <f>[1]!'2497.TW-Name'</f>
        <v>怡利電</v>
      </c>
      <c r="C2497">
        <f>[1]!'2497.TW-SimulatePrice'</f>
        <v>16</v>
      </c>
      <c r="D2497">
        <f>[1]!'2497.TW-PreClose'</f>
        <v>16.05</v>
      </c>
      <c r="E2497" t="str">
        <f>[1]!'2497.TW-SimulateTime'</f>
        <v>13:27:48</v>
      </c>
      <c r="F2497">
        <f>[1]!'2497.TW-Price'</f>
        <v>16</v>
      </c>
    </row>
    <row r="2498" spans="1:6" x14ac:dyDescent="0.25">
      <c r="A2498" t="str">
        <f>[1]!'2498.TW-ID'</f>
        <v>2498</v>
      </c>
      <c r="B2498" t="str">
        <f>[1]!'2498.TW-Name'</f>
        <v>宏達電</v>
      </c>
      <c r="C2498">
        <f>[1]!'2498.TW-SimulatePrice'</f>
        <v>28.3</v>
      </c>
      <c r="D2498">
        <f>[1]!'2498.TW-PreClose'</f>
        <v>28.2</v>
      </c>
      <c r="E2498" t="str">
        <f>[1]!'2498.TW-SimulateTime'</f>
        <v>13:29:57</v>
      </c>
      <c r="F2498">
        <f>[1]!'2498.TW-Price'</f>
        <v>28.3</v>
      </c>
    </row>
    <row r="2501" spans="1:6" x14ac:dyDescent="0.25">
      <c r="A2501" t="str">
        <f>[1]!'2501.TW-ID'</f>
        <v>2501</v>
      </c>
      <c r="B2501" t="str">
        <f>[1]!'2501.TW-Name'</f>
        <v>國建</v>
      </c>
      <c r="C2501">
        <f>[1]!'2501.TW-SimulatePrice'</f>
        <v>18.7</v>
      </c>
      <c r="D2501">
        <f>[1]!'2501.TW-PreClose'</f>
        <v>18.7</v>
      </c>
      <c r="E2501" t="str">
        <f>[1]!'2501.TW-SimulateTime'</f>
        <v>13:29:29</v>
      </c>
      <c r="F2501">
        <f>[1]!'2501.TW-Price'</f>
        <v>18.7</v>
      </c>
    </row>
    <row r="2504" spans="1:6" x14ac:dyDescent="0.25">
      <c r="A2504" t="str">
        <f>[1]!'2504.TW-ID'</f>
        <v>2504</v>
      </c>
      <c r="B2504" t="str">
        <f>[1]!'2504.TW-Name'</f>
        <v>國產</v>
      </c>
      <c r="C2504">
        <f>[1]!'2504.TW-SimulatePrice'</f>
        <v>13.8</v>
      </c>
      <c r="D2504">
        <f>[1]!'2504.TW-PreClose'</f>
        <v>13.65</v>
      </c>
      <c r="E2504" t="str">
        <f>[1]!'2504.TW-SimulateTime'</f>
        <v>13:29:58</v>
      </c>
      <c r="F2504">
        <f>[1]!'2504.TW-Price'</f>
        <v>13.8</v>
      </c>
    </row>
    <row r="2505" spans="1:6" x14ac:dyDescent="0.25">
      <c r="A2505" t="str">
        <f>[1]!'2505.TW-ID'</f>
        <v>2505</v>
      </c>
      <c r="B2505" t="str">
        <f>[1]!'2505.TW-Name'</f>
        <v>國揚</v>
      </c>
      <c r="C2505">
        <f>[1]!'2505.TW-SimulatePrice'</f>
        <v>19.649999999999999</v>
      </c>
      <c r="D2505">
        <f>[1]!'2505.TW-PreClose'</f>
        <v>19.850000000000001</v>
      </c>
      <c r="E2505" t="str">
        <f>[1]!'2505.TW-SimulateTime'</f>
        <v>13:29:59</v>
      </c>
      <c r="F2505">
        <f>[1]!'2505.TW-Price'</f>
        <v>19.649999999999999</v>
      </c>
    </row>
    <row r="2506" spans="1:6" x14ac:dyDescent="0.25">
      <c r="A2506" t="str">
        <f>[1]!'2506.TW-ID'</f>
        <v>2506</v>
      </c>
      <c r="B2506" t="str">
        <f>[1]!'2506.TW-Name'</f>
        <v>太設</v>
      </c>
      <c r="C2506">
        <f>[1]!'2506.TW-SimulatePrice'</f>
        <v>9.02</v>
      </c>
      <c r="D2506">
        <f>[1]!'2506.TW-PreClose'</f>
        <v>9.0399999999999991</v>
      </c>
      <c r="E2506" t="str">
        <f>[1]!'2506.TW-SimulateTime'</f>
        <v>13:29:21</v>
      </c>
      <c r="F2506">
        <f>[1]!'2506.TW-Price'</f>
        <v>9.02</v>
      </c>
    </row>
    <row r="2509" spans="1:6" x14ac:dyDescent="0.25">
      <c r="A2509" t="str">
        <f>[1]!'2509.TW-ID'</f>
        <v>2509</v>
      </c>
      <c r="B2509" t="str">
        <f>[1]!'2509.TW-Name'</f>
        <v>全坤建</v>
      </c>
      <c r="C2509">
        <f>[1]!'2509.TW-SimulatePrice'</f>
        <v>20.25</v>
      </c>
      <c r="D2509">
        <f>[1]!'2509.TW-PreClose'</f>
        <v>20.6</v>
      </c>
      <c r="E2509" t="str">
        <f>[1]!'2509.TW-SimulateTime'</f>
        <v>13:29:27</v>
      </c>
      <c r="F2509">
        <f>[1]!'2509.TW-Price'</f>
        <v>20.25</v>
      </c>
    </row>
    <row r="2511" spans="1:6" x14ac:dyDescent="0.25">
      <c r="A2511" t="str">
        <f>[1]!'2511.TW-ID'</f>
        <v>2511</v>
      </c>
      <c r="B2511" t="str">
        <f>[1]!'2511.TW-Name'</f>
        <v>太子</v>
      </c>
      <c r="C2511">
        <f>[1]!'2511.TW-SimulatePrice'</f>
        <v>9.7100000000000009</v>
      </c>
      <c r="D2511">
        <f>[1]!'2511.TW-PreClose'</f>
        <v>9.7100000000000009</v>
      </c>
      <c r="E2511" t="str">
        <f>[1]!'2511.TW-SimulateTime'</f>
        <v>13:29:52</v>
      </c>
      <c r="F2511">
        <f>[1]!'2511.TW-Price'</f>
        <v>9.7100000000000009</v>
      </c>
    </row>
    <row r="2514" spans="1:6" x14ac:dyDescent="0.25">
      <c r="A2514" t="str">
        <f>[1]!'2514.TW-ID'</f>
        <v>2514</v>
      </c>
      <c r="B2514" t="str">
        <f>[1]!'2514.TW-Name'</f>
        <v>龍邦</v>
      </c>
      <c r="C2514">
        <f>[1]!'2514.TW-SimulatePrice'</f>
        <v>14.75</v>
      </c>
      <c r="D2514">
        <f>[1]!'2514.TW-PreClose'</f>
        <v>15</v>
      </c>
      <c r="E2514" t="str">
        <f>[1]!'2514.TW-SimulateTime'</f>
        <v>13:28:54</v>
      </c>
      <c r="F2514">
        <f>[1]!'2514.TW-Price'</f>
        <v>14.75</v>
      </c>
    </row>
    <row r="2515" spans="1:6" x14ac:dyDescent="0.25">
      <c r="A2515" t="str">
        <f>[1]!'2515.TW-ID'</f>
        <v>2515</v>
      </c>
      <c r="B2515" t="str">
        <f>[1]!'2515.TW-Name'</f>
        <v>中工</v>
      </c>
      <c r="C2515">
        <f>[1]!'2515.TW-SimulatePrice'</f>
        <v>6.74</v>
      </c>
      <c r="D2515">
        <f>[1]!'2515.TW-PreClose'</f>
        <v>6.78</v>
      </c>
      <c r="E2515" t="str">
        <f>[1]!'2515.TW-SimulateTime'</f>
        <v>13:29:58</v>
      </c>
      <c r="F2515">
        <f>[1]!'2515.TW-Price'</f>
        <v>6.74</v>
      </c>
    </row>
    <row r="2516" spans="1:6" x14ac:dyDescent="0.25">
      <c r="A2516" t="str">
        <f>[1]!'2516.TW-ID'</f>
        <v>2516</v>
      </c>
      <c r="B2516" t="str">
        <f>[1]!'2516.TW-Name'</f>
        <v>新建</v>
      </c>
      <c r="C2516">
        <f>[1]!'2516.TW-SimulatePrice'</f>
        <v>4.5599999999999996</v>
      </c>
      <c r="D2516">
        <f>[1]!'2516.TW-PreClose'</f>
        <v>4.5999999999999996</v>
      </c>
      <c r="E2516" t="str">
        <f>[1]!'2516.TW-SimulateTime'</f>
        <v>13:29:38</v>
      </c>
      <c r="F2516">
        <f>[1]!'2516.TW-Price'</f>
        <v>4.5599999999999996</v>
      </c>
    </row>
    <row r="2520" spans="1:6" x14ac:dyDescent="0.25">
      <c r="A2520" t="str">
        <f>[1]!'2520.TW-ID'</f>
        <v>2520</v>
      </c>
      <c r="B2520" t="str">
        <f>[1]!'2520.TW-Name'</f>
        <v>冠德</v>
      </c>
      <c r="C2520">
        <f>[1]!'2520.TW-SimulatePrice'</f>
        <v>25.3</v>
      </c>
      <c r="D2520">
        <f>[1]!'2520.TW-PreClose'</f>
        <v>25.7</v>
      </c>
      <c r="E2520" t="str">
        <f>[1]!'2520.TW-SimulateTime'</f>
        <v>13:29:59</v>
      </c>
      <c r="F2520">
        <f>[1]!'2520.TW-Price'</f>
        <v>25.35</v>
      </c>
    </row>
    <row r="2524" spans="1:6" x14ac:dyDescent="0.25">
      <c r="A2524" t="str">
        <f>[1]!'2524.TW-ID'</f>
        <v>2524</v>
      </c>
      <c r="B2524" t="str">
        <f>[1]!'2524.TW-Name'</f>
        <v>京城</v>
      </c>
      <c r="C2524">
        <f>[1]!'2524.TW-SimulatePrice'</f>
        <v>31.3</v>
      </c>
      <c r="D2524">
        <f>[1]!'2524.TW-PreClose'</f>
        <v>31.7</v>
      </c>
      <c r="E2524" t="str">
        <f>[1]!'2524.TW-SimulateTime'</f>
        <v>13:29:59</v>
      </c>
      <c r="F2524">
        <f>[1]!'2524.TW-Price'</f>
        <v>31.3</v>
      </c>
    </row>
    <row r="2527" spans="1:6" x14ac:dyDescent="0.25">
      <c r="A2527" t="str">
        <f>[1]!'2527.TW-ID'</f>
        <v>2527</v>
      </c>
      <c r="B2527" t="str">
        <f>[1]!'2527.TW-Name'</f>
        <v>宏璟</v>
      </c>
      <c r="C2527">
        <f>[1]!'2527.TW-SimulatePrice'</f>
        <v>19.600000000000001</v>
      </c>
      <c r="D2527">
        <f>[1]!'2527.TW-PreClose'</f>
        <v>19.600000000000001</v>
      </c>
      <c r="E2527" t="str">
        <f>[1]!'2527.TW-SimulateTime'</f>
        <v>13:29:37</v>
      </c>
      <c r="F2527">
        <f>[1]!'2527.TW-Price'</f>
        <v>19.600000000000001</v>
      </c>
    </row>
    <row r="2528" spans="1:6" x14ac:dyDescent="0.25">
      <c r="A2528" t="str">
        <f>[1]!'2528.TW-ID'</f>
        <v>2528</v>
      </c>
      <c r="B2528" t="str">
        <f>[1]!'2528.TW-Name'</f>
        <v>皇普</v>
      </c>
      <c r="C2528">
        <f>[1]!'2528.TW-SimulatePrice'</f>
        <v>20</v>
      </c>
      <c r="D2528">
        <f>[1]!'2528.TW-PreClose'</f>
        <v>19.7</v>
      </c>
      <c r="E2528" t="str">
        <f>[1]!'2528.TW-SimulateTime'</f>
        <v>13:29:52</v>
      </c>
      <c r="F2528">
        <f>[1]!'2528.TW-Price'</f>
        <v>20</v>
      </c>
    </row>
    <row r="2530" spans="1:6" x14ac:dyDescent="0.25">
      <c r="A2530" t="str">
        <f>[1]!'2530.TW-ID'</f>
        <v>2530</v>
      </c>
      <c r="B2530" t="str">
        <f>[1]!'2530.TW-Name'</f>
        <v>華建</v>
      </c>
      <c r="C2530">
        <f>[1]!'2530.TW-SimulatePrice'</f>
        <v>16.25</v>
      </c>
      <c r="D2530">
        <f>[1]!'2530.TW-PreClose'</f>
        <v>15.9</v>
      </c>
      <c r="E2530" t="str">
        <f>[1]!'2530.TW-SimulateTime'</f>
        <v>13:29:58</v>
      </c>
      <c r="F2530">
        <f>[1]!'2530.TW-Price'</f>
        <v>16.25</v>
      </c>
    </row>
    <row r="2534" spans="1:6" x14ac:dyDescent="0.25">
      <c r="A2534" t="str">
        <f>[1]!'2534.TW-ID'</f>
        <v>2534</v>
      </c>
      <c r="B2534" t="str">
        <f>[1]!'2534.TW-Name'</f>
        <v>宏盛</v>
      </c>
      <c r="C2534">
        <f>[1]!'2534.TW-SimulatePrice'</f>
        <v>16.899999999999999</v>
      </c>
      <c r="D2534">
        <f>[1]!'2534.TW-PreClose'</f>
        <v>16.7</v>
      </c>
      <c r="E2534" t="str">
        <f>[1]!'2534.TW-SimulateTime'</f>
        <v>13:29:40</v>
      </c>
      <c r="F2534">
        <f>[1]!'2534.TW-Price'</f>
        <v>16.899999999999999</v>
      </c>
    </row>
    <row r="2535" spans="1:6" x14ac:dyDescent="0.25">
      <c r="A2535" t="str">
        <f>[1]!'2535.TW-ID'</f>
        <v>2535</v>
      </c>
      <c r="B2535" t="str">
        <f>[1]!'2535.TW-Name'</f>
        <v>達欣工</v>
      </c>
      <c r="C2535">
        <f>[1]!'2535.TW-SimulatePrice'</f>
        <v>21.4</v>
      </c>
      <c r="D2535">
        <f>[1]!'2535.TW-PreClose'</f>
        <v>21.45</v>
      </c>
      <c r="E2535" t="str">
        <f>[1]!'2535.TW-SimulateTime'</f>
        <v>13:29:56</v>
      </c>
      <c r="F2535">
        <f>[1]!'2535.TW-Price'</f>
        <v>21.4</v>
      </c>
    </row>
    <row r="2536" spans="1:6" x14ac:dyDescent="0.25">
      <c r="A2536" t="str">
        <f>[1]!'2536.TW-ID'</f>
        <v>2536</v>
      </c>
      <c r="B2536" t="str">
        <f>[1]!'2536.TW-Name'</f>
        <v>宏普</v>
      </c>
      <c r="C2536">
        <f>[1]!'2536.TW-SimulatePrice'</f>
        <v>22.85</v>
      </c>
      <c r="D2536">
        <f>[1]!'2536.TW-PreClose'</f>
        <v>22.95</v>
      </c>
      <c r="E2536" t="str">
        <f>[1]!'2536.TW-SimulateTime'</f>
        <v>13:29:39</v>
      </c>
      <c r="F2536">
        <f>[1]!'2536.TW-Price'</f>
        <v>22.85</v>
      </c>
    </row>
    <row r="2537" spans="1:6" x14ac:dyDescent="0.25">
      <c r="A2537" t="str">
        <f>[1]!'2537.TW-ID'</f>
        <v>2537</v>
      </c>
      <c r="B2537" t="str">
        <f>[1]!'2537.TW-Name'</f>
        <v>聯上發</v>
      </c>
      <c r="C2537">
        <f>[1]!'2537.TW-SimulatePrice'</f>
        <v>9.7899999999999991</v>
      </c>
      <c r="D2537">
        <f>[1]!'2537.TW-PreClose'</f>
        <v>9.91</v>
      </c>
      <c r="E2537" t="str">
        <f>[1]!'2537.TW-SimulateTime'</f>
        <v>13:29:57</v>
      </c>
      <c r="F2537">
        <f>[1]!'2537.TW-Price'</f>
        <v>9.7899999999999991</v>
      </c>
    </row>
    <row r="2538" spans="1:6" x14ac:dyDescent="0.25">
      <c r="A2538" t="str">
        <f>[1]!'2538.TW-ID'</f>
        <v>2538</v>
      </c>
      <c r="B2538" t="str">
        <f>[1]!'2538.TW-Name'</f>
        <v>基泰</v>
      </c>
      <c r="C2538">
        <f>[1]!'2538.TW-SimulatePrice'</f>
        <v>9.68</v>
      </c>
      <c r="D2538">
        <f>[1]!'2538.TW-PreClose'</f>
        <v>9.73</v>
      </c>
      <c r="E2538" t="str">
        <f>[1]!'2538.TW-SimulateTime'</f>
        <v>13:29:34</v>
      </c>
      <c r="F2538">
        <f>[1]!'2538.TW-Price'</f>
        <v>9.68</v>
      </c>
    </row>
    <row r="2539" spans="1:6" x14ac:dyDescent="0.25">
      <c r="A2539" t="str">
        <f>[1]!'2539.TW-ID'</f>
        <v>2539</v>
      </c>
      <c r="B2539" t="str">
        <f>[1]!'2539.TW-Name'</f>
        <v>櫻花建</v>
      </c>
      <c r="C2539">
        <f>[1]!'2539.TW-SimulatePrice'</f>
        <v>33.6</v>
      </c>
      <c r="D2539">
        <f>[1]!'2539.TW-PreClose'</f>
        <v>33.700000000000003</v>
      </c>
      <c r="E2539" t="str">
        <f>[1]!'2539.TW-SimulateTime'</f>
        <v>13:29:56</v>
      </c>
      <c r="F2539">
        <f>[1]!'2539.TW-Price'</f>
        <v>33.6</v>
      </c>
    </row>
    <row r="2540" spans="1:6" x14ac:dyDescent="0.25">
      <c r="A2540" t="str">
        <f>[1]!'2540.TW-ID'</f>
        <v>2540</v>
      </c>
      <c r="B2540" t="str">
        <f>[1]!'2540.TW-Name'</f>
        <v>愛山林</v>
      </c>
      <c r="C2540">
        <f>[1]!'2540.TW-SimulatePrice'</f>
        <v>28.7</v>
      </c>
      <c r="D2540">
        <f>[1]!'2540.TW-PreClose'</f>
        <v>28.5</v>
      </c>
      <c r="E2540" t="str">
        <f>[1]!'2540.TW-SimulateTime'</f>
        <v>13:29:50</v>
      </c>
      <c r="F2540">
        <f>[1]!'2540.TW-Price'</f>
        <v>28.7</v>
      </c>
    </row>
    <row r="2542" spans="1:6" x14ac:dyDescent="0.25">
      <c r="A2542" t="str">
        <f>[1]!'2542.TW-ID'</f>
        <v>2542</v>
      </c>
      <c r="B2542" t="str">
        <f>[1]!'2542.TW-Name'</f>
        <v>興富發</v>
      </c>
      <c r="C2542">
        <f>[1]!'2542.TW-SimulatePrice'</f>
        <v>43.55</v>
      </c>
      <c r="D2542">
        <f>[1]!'2542.TW-PreClose'</f>
        <v>43.05</v>
      </c>
      <c r="E2542" t="str">
        <f>[1]!'2542.TW-SimulateTime'</f>
        <v>13:29:56</v>
      </c>
      <c r="F2542">
        <f>[1]!'2542.TW-Price'</f>
        <v>43.55</v>
      </c>
    </row>
    <row r="2543" spans="1:6" x14ac:dyDescent="0.25">
      <c r="A2543" t="str">
        <f>[1]!'2543.TW-ID'</f>
        <v>2543</v>
      </c>
      <c r="B2543" t="str">
        <f>[1]!'2543.TW-Name'</f>
        <v>皇昌</v>
      </c>
      <c r="C2543" t="str">
        <f>[1]!'2543.TW-SimulatePrice'</f>
        <v>--</v>
      </c>
      <c r="D2543">
        <f>[1]!'2543.TW-PreClose'</f>
        <v>6.5</v>
      </c>
      <c r="E2543" t="str">
        <f>[1]!'2543.TW-SimulateTime'</f>
        <v>--</v>
      </c>
      <c r="F2543">
        <f>[1]!'2543.TW-Price'</f>
        <v>6.56</v>
      </c>
    </row>
    <row r="2545" spans="1:6" x14ac:dyDescent="0.25">
      <c r="A2545" t="str">
        <f>[1]!'2545.TW-ID'</f>
        <v>2545</v>
      </c>
      <c r="B2545" t="str">
        <f>[1]!'2545.TW-Name'</f>
        <v>皇翔</v>
      </c>
      <c r="C2545">
        <f>[1]!'2545.TW-SimulatePrice'</f>
        <v>33</v>
      </c>
      <c r="D2545">
        <f>[1]!'2545.TW-PreClose'</f>
        <v>33</v>
      </c>
      <c r="E2545" t="str">
        <f>[1]!'2545.TW-SimulateTime'</f>
        <v>13:29:58</v>
      </c>
      <c r="F2545">
        <f>[1]!'2545.TW-Price'</f>
        <v>33</v>
      </c>
    </row>
    <row r="2546" spans="1:6" x14ac:dyDescent="0.25">
      <c r="A2546" t="str">
        <f>[1]!'2546.TW-ID'</f>
        <v>2546</v>
      </c>
      <c r="B2546" t="str">
        <f>[1]!'2546.TW-Name'</f>
        <v>根基</v>
      </c>
      <c r="C2546">
        <f>[1]!'2546.TW-SimulatePrice'</f>
        <v>37.85</v>
      </c>
      <c r="D2546">
        <f>[1]!'2546.TW-PreClose'</f>
        <v>37.9</v>
      </c>
      <c r="E2546" t="str">
        <f>[1]!'2546.TW-SimulateTime'</f>
        <v>13:29:59</v>
      </c>
      <c r="F2546">
        <f>[1]!'2546.TW-Price'</f>
        <v>37.85</v>
      </c>
    </row>
    <row r="2547" spans="1:6" x14ac:dyDescent="0.25">
      <c r="A2547" t="str">
        <f>[1]!'2547.TW-ID'</f>
        <v>2547</v>
      </c>
      <c r="B2547" t="str">
        <f>[1]!'2547.TW-Name'</f>
        <v>日勝生</v>
      </c>
      <c r="C2547">
        <f>[1]!'2547.TW-SimulatePrice'</f>
        <v>9.7200000000000006</v>
      </c>
      <c r="D2547">
        <f>[1]!'2547.TW-PreClose'</f>
        <v>9.84</v>
      </c>
      <c r="E2547" t="str">
        <f>[1]!'2547.TW-SimulateTime'</f>
        <v>13:29:54</v>
      </c>
      <c r="F2547">
        <f>[1]!'2547.TW-Price'</f>
        <v>9.7200000000000006</v>
      </c>
    </row>
    <row r="2548" spans="1:6" x14ac:dyDescent="0.25">
      <c r="A2548" t="str">
        <f>[1]!'2548.TW-ID'</f>
        <v>2548</v>
      </c>
      <c r="B2548" t="str">
        <f>[1]!'2548.TW-Name'</f>
        <v>華固</v>
      </c>
      <c r="C2548">
        <f>[1]!'2548.TW-SimulatePrice'</f>
        <v>90.4</v>
      </c>
      <c r="D2548">
        <f>[1]!'2548.TW-PreClose'</f>
        <v>91</v>
      </c>
      <c r="E2548" t="str">
        <f>[1]!'2548.TW-SimulateTime'</f>
        <v>13:29:50</v>
      </c>
      <c r="F2548">
        <f>[1]!'2548.TW-Price'</f>
        <v>90.4</v>
      </c>
    </row>
    <row r="2597" spans="1:6" x14ac:dyDescent="0.25">
      <c r="A2597" t="str">
        <f>[1]!'2597.TW-ID'</f>
        <v>2597</v>
      </c>
      <c r="B2597" t="str">
        <f>[1]!'2597.TW-Name'</f>
        <v>潤弘</v>
      </c>
      <c r="C2597">
        <f>[1]!'2597.TW-SimulatePrice'</f>
        <v>61.8</v>
      </c>
      <c r="D2597">
        <f>[1]!'2597.TW-PreClose'</f>
        <v>62.3</v>
      </c>
      <c r="E2597" t="str">
        <f>[1]!'2597.TW-SimulateTime'</f>
        <v>13:29:54</v>
      </c>
      <c r="F2597">
        <f>[1]!'2597.TW-Price'</f>
        <v>61.8</v>
      </c>
    </row>
    <row r="2601" spans="1:6" x14ac:dyDescent="0.25">
      <c r="A2601" t="str">
        <f>[1]!'2601.TW-ID'</f>
        <v>2601</v>
      </c>
      <c r="B2601" t="str">
        <f>[1]!'2601.TW-Name'</f>
        <v>益航</v>
      </c>
      <c r="C2601">
        <f>[1]!'2601.TW-SimulatePrice'</f>
        <v>9.7100000000000009</v>
      </c>
      <c r="D2601">
        <f>[1]!'2601.TW-PreClose'</f>
        <v>9.6999999999999993</v>
      </c>
      <c r="E2601" t="str">
        <f>[1]!'2601.TW-SimulateTime'</f>
        <v>13:29:59</v>
      </c>
      <c r="F2601">
        <f>[1]!'2601.TW-Price'</f>
        <v>9.7100000000000009</v>
      </c>
    </row>
    <row r="2603" spans="1:6" x14ac:dyDescent="0.25">
      <c r="A2603" t="str">
        <f>[1]!'2603.TW-ID'</f>
        <v>2603</v>
      </c>
      <c r="B2603" t="str">
        <f>[1]!'2603.TW-Name'</f>
        <v>長榮</v>
      </c>
      <c r="C2603">
        <f>[1]!'2603.TW-SimulatePrice'</f>
        <v>10.45</v>
      </c>
      <c r="D2603">
        <f>[1]!'2603.TW-PreClose'</f>
        <v>10.35</v>
      </c>
      <c r="E2603" t="str">
        <f>[1]!'2603.TW-SimulateTime'</f>
        <v>13:29:58</v>
      </c>
      <c r="F2603">
        <f>[1]!'2603.TW-Price'</f>
        <v>10.45</v>
      </c>
    </row>
    <row r="2605" spans="1:6" x14ac:dyDescent="0.25">
      <c r="A2605" t="str">
        <f>[1]!'2605.TW-ID'</f>
        <v>2605</v>
      </c>
      <c r="B2605" t="str">
        <f>[1]!'2605.TW-Name'</f>
        <v>新興</v>
      </c>
      <c r="C2605">
        <f>[1]!'2605.TW-SimulatePrice'</f>
        <v>13.6</v>
      </c>
      <c r="D2605">
        <f>[1]!'2605.TW-PreClose'</f>
        <v>13.85</v>
      </c>
      <c r="E2605" t="str">
        <f>[1]!'2605.TW-SimulateTime'</f>
        <v>13:29:57</v>
      </c>
      <c r="F2605">
        <f>[1]!'2605.TW-Price'</f>
        <v>13.6</v>
      </c>
    </row>
    <row r="2606" spans="1:6" x14ac:dyDescent="0.25">
      <c r="A2606" t="str">
        <f>[1]!'2606.TW-ID'</f>
        <v>2606</v>
      </c>
      <c r="B2606" t="str">
        <f>[1]!'2606.TW-Name'</f>
        <v>裕民</v>
      </c>
      <c r="C2606">
        <f>[1]!'2606.TW-SimulatePrice'</f>
        <v>28</v>
      </c>
      <c r="D2606">
        <f>[1]!'2606.TW-PreClose'</f>
        <v>28.1</v>
      </c>
      <c r="E2606" t="str">
        <f>[1]!'2606.TW-SimulateTime'</f>
        <v>13:29:57</v>
      </c>
      <c r="F2606">
        <f>[1]!'2606.TW-Price'</f>
        <v>28</v>
      </c>
    </row>
    <row r="2607" spans="1:6" x14ac:dyDescent="0.25">
      <c r="A2607" t="str">
        <f>[1]!'2607.TW-ID'</f>
        <v>2607</v>
      </c>
      <c r="B2607" t="str">
        <f>[1]!'2607.TW-Name'</f>
        <v>榮運</v>
      </c>
      <c r="C2607">
        <f>[1]!'2607.TW-SimulatePrice'</f>
        <v>12.8</v>
      </c>
      <c r="D2607">
        <f>[1]!'2607.TW-PreClose'</f>
        <v>12.75</v>
      </c>
      <c r="E2607" t="str">
        <f>[1]!'2607.TW-SimulateTime'</f>
        <v>13:29:49</v>
      </c>
      <c r="F2607">
        <f>[1]!'2607.TW-Price'</f>
        <v>12.8</v>
      </c>
    </row>
    <row r="2608" spans="1:6" x14ac:dyDescent="0.25">
      <c r="A2608" t="str">
        <f>[1]!'2608.TW-ID'</f>
        <v>2608</v>
      </c>
      <c r="B2608" t="str">
        <f>[1]!'2608.TW-Name'</f>
        <v>嘉里大榮</v>
      </c>
      <c r="C2608">
        <f>[1]!'2608.TW-SimulatePrice'</f>
        <v>39.85</v>
      </c>
      <c r="D2608">
        <f>[1]!'2608.TW-PreClose'</f>
        <v>39.200000000000003</v>
      </c>
      <c r="E2608" t="str">
        <f>[1]!'2608.TW-SimulateTime'</f>
        <v>13:29:41</v>
      </c>
      <c r="F2608">
        <f>[1]!'2608.TW-Price'</f>
        <v>39.85</v>
      </c>
    </row>
    <row r="2609" spans="1:6" x14ac:dyDescent="0.25">
      <c r="A2609" t="str">
        <f>[1]!'2609.TW-ID'</f>
        <v>2609</v>
      </c>
      <c r="B2609" t="str">
        <f>[1]!'2609.TW-Name'</f>
        <v>陽明</v>
      </c>
      <c r="C2609">
        <f>[1]!'2609.TW-SimulatePrice'</f>
        <v>6.32</v>
      </c>
      <c r="D2609">
        <f>[1]!'2609.TW-PreClose'</f>
        <v>6.39</v>
      </c>
      <c r="E2609" t="str">
        <f>[1]!'2609.TW-SimulateTime'</f>
        <v>13:29:52</v>
      </c>
      <c r="F2609">
        <f>[1]!'2609.TW-Price'</f>
        <v>6.32</v>
      </c>
    </row>
    <row r="2610" spans="1:6" x14ac:dyDescent="0.25">
      <c r="A2610" t="str">
        <f>[1]!'2610.TW-ID'</f>
        <v>2610</v>
      </c>
      <c r="B2610" t="str">
        <f>[1]!'2610.TW-Name'</f>
        <v>華航</v>
      </c>
      <c r="C2610">
        <f>[1]!'2610.TW-SimulatePrice'</f>
        <v>8.0299999999999994</v>
      </c>
      <c r="D2610">
        <f>[1]!'2610.TW-PreClose'</f>
        <v>8.0399999999999991</v>
      </c>
      <c r="E2610" t="str">
        <f>[1]!'2610.TW-SimulateTime'</f>
        <v>13:29:56</v>
      </c>
      <c r="F2610">
        <f>[1]!'2610.TW-Price'</f>
        <v>8.0299999999999994</v>
      </c>
    </row>
    <row r="2611" spans="1:6" x14ac:dyDescent="0.25">
      <c r="A2611" t="str">
        <f>[1]!'2611.TW-ID'</f>
        <v>2611</v>
      </c>
      <c r="B2611" t="str">
        <f>[1]!'2611.TW-Name'</f>
        <v>志信</v>
      </c>
      <c r="C2611" t="str">
        <f>[1]!'2611.TW-SimulatePrice'</f>
        <v>--</v>
      </c>
      <c r="D2611">
        <f>[1]!'2611.TW-PreClose'</f>
        <v>6.01</v>
      </c>
      <c r="E2611" t="str">
        <f>[1]!'2611.TW-SimulateTime'</f>
        <v>--</v>
      </c>
      <c r="F2611">
        <f>[1]!'2611.TW-Price'</f>
        <v>6.09</v>
      </c>
    </row>
    <row r="2612" spans="1:6" x14ac:dyDescent="0.25">
      <c r="A2612" t="str">
        <f>[1]!'2612.TW-ID'</f>
        <v>2612</v>
      </c>
      <c r="B2612" t="str">
        <f>[1]!'2612.TW-Name'</f>
        <v>中航</v>
      </c>
      <c r="C2612">
        <f>[1]!'2612.TW-SimulatePrice'</f>
        <v>22.8</v>
      </c>
      <c r="D2612">
        <f>[1]!'2612.TW-PreClose'</f>
        <v>22.8</v>
      </c>
      <c r="E2612" t="str">
        <f>[1]!'2612.TW-SimulateTime'</f>
        <v>13:29:55</v>
      </c>
      <c r="F2612">
        <f>[1]!'2612.TW-Price'</f>
        <v>22.8</v>
      </c>
    </row>
    <row r="2613" spans="1:6" x14ac:dyDescent="0.25">
      <c r="A2613" t="str">
        <f>[1]!'2613.TW-ID'</f>
        <v>2613</v>
      </c>
      <c r="B2613" t="str">
        <f>[1]!'2613.TW-Name'</f>
        <v>中櫃</v>
      </c>
      <c r="C2613" t="str">
        <f>[1]!'2613.TW-SimulatePrice'</f>
        <v>--</v>
      </c>
      <c r="D2613">
        <f>[1]!'2613.TW-PreClose'</f>
        <v>13.2</v>
      </c>
      <c r="E2613" t="str">
        <f>[1]!'2613.TW-SimulateTime'</f>
        <v>--</v>
      </c>
      <c r="F2613">
        <f>[1]!'2613.TW-Price'</f>
        <v>13.35</v>
      </c>
    </row>
    <row r="2614" spans="1:6" x14ac:dyDescent="0.25">
      <c r="A2614" t="str">
        <f>[1]!'2614.TW-ID'</f>
        <v>2614</v>
      </c>
      <c r="B2614" t="str">
        <f>[1]!'2614.TW-Name'</f>
        <v>東森</v>
      </c>
      <c r="C2614">
        <f>[1]!'2614.TW-SimulatePrice'</f>
        <v>15.75</v>
      </c>
      <c r="D2614">
        <f>[1]!'2614.TW-PreClose'</f>
        <v>17.45</v>
      </c>
      <c r="E2614" t="str">
        <f>[1]!'2614.TW-SimulateTime'</f>
        <v>13:29:49</v>
      </c>
      <c r="F2614">
        <f>[1]!'2614.TW-Price'</f>
        <v>15.75</v>
      </c>
    </row>
    <row r="2615" spans="1:6" x14ac:dyDescent="0.25">
      <c r="A2615" t="str">
        <f>[1]!'2615.TW-ID'</f>
        <v>2615</v>
      </c>
      <c r="B2615" t="str">
        <f>[1]!'2615.TW-Name'</f>
        <v>萬海</v>
      </c>
      <c r="C2615">
        <f>[1]!'2615.TW-SimulatePrice'</f>
        <v>15.55</v>
      </c>
      <c r="D2615">
        <f>[1]!'2615.TW-PreClose'</f>
        <v>15.6</v>
      </c>
      <c r="E2615" t="str">
        <f>[1]!'2615.TW-SimulateTime'</f>
        <v>13:27:59</v>
      </c>
      <c r="F2615">
        <f>[1]!'2615.TW-Price'</f>
        <v>15.55</v>
      </c>
    </row>
    <row r="2616" spans="1:6" x14ac:dyDescent="0.25">
      <c r="A2616" t="str">
        <f>[1]!'2616.TW-ID'</f>
        <v>2616</v>
      </c>
      <c r="B2616" t="str">
        <f>[1]!'2616.TW-Name'</f>
        <v>山隆</v>
      </c>
      <c r="C2616">
        <f>[1]!'2616.TW-SimulatePrice'</f>
        <v>29.9</v>
      </c>
      <c r="D2616">
        <f>[1]!'2616.TW-PreClose'</f>
        <v>29.85</v>
      </c>
      <c r="E2616" t="str">
        <f>[1]!'2616.TW-SimulateTime'</f>
        <v>13:29:22</v>
      </c>
      <c r="F2616">
        <f>[1]!'2616.TW-Price'</f>
        <v>29.95</v>
      </c>
    </row>
    <row r="2617" spans="1:6" x14ac:dyDescent="0.25">
      <c r="A2617" t="str">
        <f>[1]!'2617.TW-ID'</f>
        <v>2617</v>
      </c>
      <c r="B2617" t="str">
        <f>[1]!'2617.TW-Name'</f>
        <v>台航</v>
      </c>
      <c r="C2617">
        <f>[1]!'2617.TW-SimulatePrice'</f>
        <v>15.25</v>
      </c>
      <c r="D2617">
        <f>[1]!'2617.TW-PreClose'</f>
        <v>15.1</v>
      </c>
      <c r="E2617" t="str">
        <f>[1]!'2617.TW-SimulateTime'</f>
        <v>13:29:15</v>
      </c>
      <c r="F2617">
        <f>[1]!'2617.TW-Price'</f>
        <v>15.25</v>
      </c>
    </row>
    <row r="2618" spans="1:6" x14ac:dyDescent="0.25">
      <c r="A2618" t="str">
        <f>[1]!'2618.TW-ID'</f>
        <v>2618</v>
      </c>
      <c r="B2618" t="str">
        <f>[1]!'2618.TW-Name'</f>
        <v>長榮航</v>
      </c>
      <c r="C2618">
        <f>[1]!'2618.TW-SimulatePrice'</f>
        <v>10.8</v>
      </c>
      <c r="D2618">
        <f>[1]!'2618.TW-PreClose'</f>
        <v>11</v>
      </c>
      <c r="E2618" t="str">
        <f>[1]!'2618.TW-SimulateTime'</f>
        <v>13:29:58</v>
      </c>
      <c r="F2618">
        <f>[1]!'2618.TW-Price'</f>
        <v>10.8</v>
      </c>
    </row>
    <row r="2630" spans="1:6" x14ac:dyDescent="0.25">
      <c r="A2630" t="str">
        <f>[1]!'2630.TW-ID'</f>
        <v>2630</v>
      </c>
      <c r="B2630" t="str">
        <f>[1]!'2630.TW-Name'</f>
        <v>亞航</v>
      </c>
      <c r="C2630">
        <f>[1]!'2630.TW-SimulatePrice'</f>
        <v>16.7</v>
      </c>
      <c r="D2630">
        <f>[1]!'2630.TW-PreClose'</f>
        <v>16.899999999999999</v>
      </c>
      <c r="E2630" t="str">
        <f>[1]!'2630.TW-SimulateTime'</f>
        <v>13:29:35</v>
      </c>
      <c r="F2630">
        <f>[1]!'2630.TW-Price'</f>
        <v>16.7</v>
      </c>
    </row>
    <row r="2633" spans="1:6" x14ac:dyDescent="0.25">
      <c r="A2633" t="str">
        <f>[1]!'2633.TW-ID'</f>
        <v>2633</v>
      </c>
      <c r="B2633" t="str">
        <f>[1]!'2633.TW-Name'</f>
        <v>台灣高鐵</v>
      </c>
      <c r="C2633">
        <f>[1]!'2633.TW-SimulatePrice'</f>
        <v>33.5</v>
      </c>
      <c r="D2633">
        <f>[1]!'2633.TW-PreClose'</f>
        <v>33.6</v>
      </c>
      <c r="E2633" t="str">
        <f>[1]!'2633.TW-SimulateTime'</f>
        <v>13:29:55</v>
      </c>
      <c r="F2633">
        <f>[1]!'2633.TW-Price'</f>
        <v>33.5</v>
      </c>
    </row>
    <row r="2634" spans="1:6" x14ac:dyDescent="0.25">
      <c r="A2634" t="str">
        <f>[1]!'2634.TW-ID'</f>
        <v>2634</v>
      </c>
      <c r="B2634" t="str">
        <f>[1]!'2634.TW-Name'</f>
        <v>漢翔</v>
      </c>
      <c r="C2634">
        <f>[1]!'2634.TW-SimulatePrice'</f>
        <v>27.4</v>
      </c>
      <c r="D2634">
        <f>[1]!'2634.TW-PreClose'</f>
        <v>27.5</v>
      </c>
      <c r="E2634" t="str">
        <f>[1]!'2634.TW-SimulateTime'</f>
        <v>13:29:38</v>
      </c>
      <c r="F2634">
        <f>[1]!'2634.TW-Price'</f>
        <v>27.4</v>
      </c>
    </row>
    <row r="2636" spans="1:6" x14ac:dyDescent="0.25">
      <c r="A2636" t="str">
        <f>[1]!'2636.TW-ID'</f>
        <v>2636</v>
      </c>
      <c r="B2636" t="str">
        <f>[1]!'2636.TW-Name'</f>
        <v>台驊投控</v>
      </c>
      <c r="C2636">
        <f>[1]!'2636.TW-SimulatePrice'</f>
        <v>22.7</v>
      </c>
      <c r="D2636">
        <f>[1]!'2636.TW-PreClose'</f>
        <v>22.45</v>
      </c>
      <c r="E2636" t="str">
        <f>[1]!'2636.TW-SimulateTime'</f>
        <v>13:29:25</v>
      </c>
      <c r="F2636">
        <f>[1]!'2636.TW-Price'</f>
        <v>22.7</v>
      </c>
    </row>
    <row r="2637" spans="1:6" x14ac:dyDescent="0.25">
      <c r="A2637" t="str">
        <f>[1]!'2637.TW-ID'</f>
        <v>2637</v>
      </c>
      <c r="B2637" t="str">
        <f>[1]!'2637.TW-Name'</f>
        <v>慧洋-KY</v>
      </c>
      <c r="C2637">
        <f>[1]!'2637.TW-SimulatePrice'</f>
        <v>23.35</v>
      </c>
      <c r="D2637">
        <f>[1]!'2637.TW-PreClose'</f>
        <v>23.4</v>
      </c>
      <c r="E2637" t="str">
        <f>[1]!'2637.TW-SimulateTime'</f>
        <v>13:29:40</v>
      </c>
      <c r="F2637">
        <f>[1]!'2637.TW-Price'</f>
        <v>23.35</v>
      </c>
    </row>
    <row r="2642" spans="1:6" x14ac:dyDescent="0.25">
      <c r="A2642" t="str">
        <f>[1]!'2642.TW-ID'</f>
        <v>2642</v>
      </c>
      <c r="B2642" t="str">
        <f>[1]!'2642.TW-Name'</f>
        <v>宅配通</v>
      </c>
      <c r="C2642">
        <f>[1]!'2642.TW-SimulatePrice'</f>
        <v>33</v>
      </c>
      <c r="D2642">
        <f>[1]!'2642.TW-PreClose'</f>
        <v>30.45</v>
      </c>
      <c r="E2642" t="str">
        <f>[1]!'2642.TW-SimulateTime'</f>
        <v>13:29:51</v>
      </c>
      <c r="F2642">
        <f>[1]!'2642.TW-Price'</f>
        <v>33.049999999999997</v>
      </c>
    </row>
    <row r="2701" spans="1:6" x14ac:dyDescent="0.25">
      <c r="A2701" t="str">
        <f>[1]!'2701.TW-ID'</f>
        <v>2701</v>
      </c>
      <c r="B2701" t="str">
        <f>[1]!'2701.TW-Name'</f>
        <v>萬企</v>
      </c>
      <c r="C2701">
        <f>[1]!'2701.TW-SimulatePrice'</f>
        <v>11.65</v>
      </c>
      <c r="D2701">
        <f>[1]!'2701.TW-PreClose'</f>
        <v>11.65</v>
      </c>
      <c r="E2701" t="str">
        <f>[1]!'2701.TW-SimulateTime'</f>
        <v>13:27:06</v>
      </c>
      <c r="F2701">
        <f>[1]!'2701.TW-Price'</f>
        <v>11.65</v>
      </c>
    </row>
    <row r="2702" spans="1:6" x14ac:dyDescent="0.25">
      <c r="A2702" t="str">
        <f>[1]!'2702.TW-ID'</f>
        <v>2702</v>
      </c>
      <c r="B2702" t="str">
        <f>[1]!'2702.TW-Name'</f>
        <v>華園</v>
      </c>
      <c r="C2702">
        <f>[1]!'2702.TW-SimulatePrice'</f>
        <v>15.6</v>
      </c>
      <c r="D2702">
        <f>[1]!'2702.TW-PreClose'</f>
        <v>15.15</v>
      </c>
      <c r="E2702" t="str">
        <f>[1]!'2702.TW-SimulateTime'</f>
        <v>13:29:57</v>
      </c>
      <c r="F2702">
        <f>[1]!'2702.TW-Price'</f>
        <v>15.6</v>
      </c>
    </row>
    <row r="2704" spans="1:6" x14ac:dyDescent="0.25">
      <c r="A2704" t="str">
        <f>[1]!'2704.TW-ID'</f>
        <v>2704</v>
      </c>
      <c r="B2704" t="str">
        <f>[1]!'2704.TW-Name'</f>
        <v>國賓</v>
      </c>
      <c r="C2704">
        <f>[1]!'2704.TW-SimulatePrice'</f>
        <v>26.4</v>
      </c>
      <c r="D2704">
        <f>[1]!'2704.TW-PreClose'</f>
        <v>26.4</v>
      </c>
      <c r="E2704" t="str">
        <f>[1]!'2704.TW-SimulateTime'</f>
        <v>13:29:22</v>
      </c>
      <c r="F2704">
        <f>[1]!'2704.TW-Price'</f>
        <v>26.4</v>
      </c>
    </row>
    <row r="2705" spans="1:6" x14ac:dyDescent="0.25">
      <c r="A2705" t="str">
        <f>[1]!'2705.TW-ID'</f>
        <v>2705</v>
      </c>
      <c r="B2705" t="str">
        <f>[1]!'2705.TW-Name'</f>
        <v>六福</v>
      </c>
      <c r="C2705">
        <f>[1]!'2705.TW-SimulatePrice'</f>
        <v>12.2</v>
      </c>
      <c r="D2705">
        <f>[1]!'2705.TW-PreClose'</f>
        <v>12.45</v>
      </c>
      <c r="E2705" t="str">
        <f>[1]!'2705.TW-SimulateTime'</f>
        <v>13:29:42</v>
      </c>
      <c r="F2705">
        <f>[1]!'2705.TW-Price'</f>
        <v>12.2</v>
      </c>
    </row>
    <row r="2706" spans="1:6" x14ac:dyDescent="0.25">
      <c r="A2706" t="str">
        <f>[1]!'2706.TW-ID'</f>
        <v>2706</v>
      </c>
      <c r="B2706" t="str">
        <f>[1]!'2706.TW-Name'</f>
        <v>第一店</v>
      </c>
      <c r="C2706">
        <f>[1]!'2706.TW-SimulatePrice'</f>
        <v>12.85</v>
      </c>
      <c r="D2706">
        <f>[1]!'2706.TW-PreClose'</f>
        <v>12.9</v>
      </c>
      <c r="E2706" t="str">
        <f>[1]!'2706.TW-SimulateTime'</f>
        <v>13:25:48</v>
      </c>
      <c r="F2706">
        <f>[1]!'2706.TW-Price'</f>
        <v>12.85</v>
      </c>
    </row>
    <row r="2707" spans="1:6" x14ac:dyDescent="0.25">
      <c r="A2707" t="str">
        <f>[1]!'2707.TW-ID'</f>
        <v>2707</v>
      </c>
      <c r="B2707" t="str">
        <f>[1]!'2707.TW-Name'</f>
        <v>晶華</v>
      </c>
      <c r="C2707">
        <f>[1]!'2707.TW-SimulatePrice'</f>
        <v>136.5</v>
      </c>
      <c r="D2707">
        <f>[1]!'2707.TW-PreClose'</f>
        <v>135</v>
      </c>
      <c r="E2707" t="str">
        <f>[1]!'2707.TW-SimulateTime'</f>
        <v>13:29:56</v>
      </c>
      <c r="F2707">
        <f>[1]!'2707.TW-Price'</f>
        <v>136.5</v>
      </c>
    </row>
    <row r="2712" spans="1:6" x14ac:dyDescent="0.25">
      <c r="A2712" t="str">
        <f>[1]!'2712.TW-ID'</f>
        <v>2712</v>
      </c>
      <c r="B2712" t="str">
        <f>[1]!'2712.TW-Name'</f>
        <v>遠雄來</v>
      </c>
      <c r="C2712" t="str">
        <f>[1]!'2712.TW-SimulatePrice'</f>
        <v>--</v>
      </c>
      <c r="D2712">
        <f>[1]!'2712.TW-PreClose'</f>
        <v>36.049999999999997</v>
      </c>
      <c r="E2712" t="str">
        <f>[1]!'2712.TW-SimulateTime'</f>
        <v>--</v>
      </c>
      <c r="F2712">
        <f>[1]!'2712.TW-Price'</f>
        <v>35.75</v>
      </c>
    </row>
    <row r="2722" spans="1:6" x14ac:dyDescent="0.25">
      <c r="A2722" t="str">
        <f>[1]!'2722.TW-ID'</f>
        <v>2722</v>
      </c>
      <c r="B2722" t="str">
        <f>[1]!'2722.TW-Name'</f>
        <v>夏都</v>
      </c>
      <c r="C2722" t="str">
        <f>[1]!'2722.TW-SimulatePrice'</f>
        <v>--</v>
      </c>
      <c r="D2722">
        <f>[1]!'2722.TW-PreClose'</f>
        <v>23.75</v>
      </c>
      <c r="E2722" t="str">
        <f>[1]!'2722.TW-SimulateTime'</f>
        <v>--</v>
      </c>
      <c r="F2722">
        <f>[1]!'2722.TW-Price'</f>
        <v>23.6</v>
      </c>
    </row>
    <row r="2723" spans="1:6" x14ac:dyDescent="0.25">
      <c r="A2723" t="str">
        <f>[1]!'2723.TW-ID'</f>
        <v>2723</v>
      </c>
      <c r="B2723" t="str">
        <f>[1]!'2723.TW-Name'</f>
        <v>美食-KY</v>
      </c>
      <c r="C2723">
        <f>[1]!'2723.TW-SimulatePrice'</f>
        <v>96</v>
      </c>
      <c r="D2723">
        <f>[1]!'2723.TW-PreClose'</f>
        <v>96.6</v>
      </c>
      <c r="E2723" t="str">
        <f>[1]!'2723.TW-SimulateTime'</f>
        <v>13:29:56</v>
      </c>
      <c r="F2723">
        <f>[1]!'2723.TW-Price'</f>
        <v>96</v>
      </c>
    </row>
    <row r="2727" spans="1:6" x14ac:dyDescent="0.25">
      <c r="A2727" t="str">
        <f>[1]!'2727.TW-ID'</f>
        <v>2727</v>
      </c>
      <c r="B2727" t="str">
        <f>[1]!'2727.TW-Name'</f>
        <v>王品</v>
      </c>
      <c r="C2727">
        <f>[1]!'2727.TW-SimulatePrice'</f>
        <v>65.599999999999994</v>
      </c>
      <c r="D2727">
        <f>[1]!'2727.TW-PreClose'</f>
        <v>66.5</v>
      </c>
      <c r="E2727" t="str">
        <f>[1]!'2727.TW-SimulateTime'</f>
        <v>13:29:46</v>
      </c>
      <c r="F2727">
        <f>[1]!'2727.TW-Price'</f>
        <v>65.599999999999994</v>
      </c>
    </row>
    <row r="2731" spans="1:6" x14ac:dyDescent="0.25">
      <c r="A2731" t="str">
        <f>[1]!'2731.TW-ID'</f>
        <v>2731</v>
      </c>
      <c r="B2731" t="str">
        <f>[1]!'2731.TW-Name'</f>
        <v>雄獅</v>
      </c>
      <c r="C2731">
        <f>[1]!'2731.TW-SimulatePrice'</f>
        <v>68.7</v>
      </c>
      <c r="D2731">
        <f>[1]!'2731.TW-PreClose'</f>
        <v>69.099999999999994</v>
      </c>
      <c r="E2731" t="str">
        <f>[1]!'2731.TW-SimulateTime'</f>
        <v>13:29:58</v>
      </c>
      <c r="F2731">
        <f>[1]!'2731.TW-Price'</f>
        <v>68.7</v>
      </c>
    </row>
    <row r="2739" spans="1:6" x14ac:dyDescent="0.25">
      <c r="A2739" t="str">
        <f>[1]!'2739.TW-ID'</f>
        <v>2739</v>
      </c>
      <c r="B2739" t="str">
        <f>[1]!'2739.TW-Name'</f>
        <v>寒舍</v>
      </c>
      <c r="C2739">
        <f>[1]!'2739.TW-SimulatePrice'</f>
        <v>22.65</v>
      </c>
      <c r="D2739">
        <f>[1]!'2739.TW-PreClose'</f>
        <v>22.6</v>
      </c>
      <c r="E2739" t="str">
        <f>[1]!'2739.TW-SimulateTime'</f>
        <v>13:28:29</v>
      </c>
      <c r="F2739">
        <f>[1]!'2739.TW-Price'</f>
        <v>22.65</v>
      </c>
    </row>
    <row r="2748" spans="1:6" x14ac:dyDescent="0.25">
      <c r="A2748" t="str">
        <f>[1]!'2748.TW-ID'</f>
        <v>2748</v>
      </c>
      <c r="B2748" t="str">
        <f>[1]!'2748.TW-Name'</f>
        <v>雲品</v>
      </c>
      <c r="C2748">
        <f>[1]!'2748.TW-SimulatePrice'</f>
        <v>42.65</v>
      </c>
      <c r="D2748">
        <f>[1]!'2748.TW-PreClose'</f>
        <v>42.9</v>
      </c>
      <c r="E2748" t="str">
        <f>[1]!'2748.TW-SimulateTime'</f>
        <v>13:28:46</v>
      </c>
      <c r="F2748">
        <f>[1]!'2748.TW-Price'</f>
        <v>42.65</v>
      </c>
    </row>
    <row r="2801" spans="1:6" x14ac:dyDescent="0.25">
      <c r="A2801" t="str">
        <f>[1]!'2801.TW-ID'</f>
        <v>2801</v>
      </c>
      <c r="B2801" t="str">
        <f>[1]!'2801.TW-Name'</f>
        <v>彰銀</v>
      </c>
      <c r="C2801">
        <f>[1]!'2801.TW-SimulatePrice'</f>
        <v>18.8</v>
      </c>
      <c r="D2801">
        <f>[1]!'2801.TW-PreClose'</f>
        <v>18.8</v>
      </c>
      <c r="E2801" t="str">
        <f>[1]!'2801.TW-SimulateTime'</f>
        <v>13:29:55</v>
      </c>
      <c r="F2801">
        <f>[1]!'2801.TW-Price'</f>
        <v>18.8</v>
      </c>
    </row>
    <row r="2809" spans="1:6" x14ac:dyDescent="0.25">
      <c r="A2809" t="str">
        <f>[1]!'2809.TW-ID'</f>
        <v>2809</v>
      </c>
      <c r="B2809" t="str">
        <f>[1]!'2809.TW-Name'</f>
        <v>京城銀</v>
      </c>
      <c r="C2809">
        <f>[1]!'2809.TW-SimulatePrice'</f>
        <v>32.1</v>
      </c>
      <c r="D2809">
        <f>[1]!'2809.TW-PreClose'</f>
        <v>32.35</v>
      </c>
      <c r="E2809" t="str">
        <f>[1]!'2809.TW-SimulateTime'</f>
        <v>13:29:57</v>
      </c>
      <c r="F2809">
        <f>[1]!'2809.TW-Price'</f>
        <v>32.1</v>
      </c>
    </row>
    <row r="2812" spans="1:6" x14ac:dyDescent="0.25">
      <c r="A2812" t="str">
        <f>[1]!'2812.TW-ID'</f>
        <v>2812</v>
      </c>
      <c r="B2812" t="str">
        <f>[1]!'2812.TW-Name'</f>
        <v>台中銀</v>
      </c>
      <c r="C2812">
        <f>[1]!'2812.TW-SimulatePrice'</f>
        <v>11.35</v>
      </c>
      <c r="D2812">
        <f>[1]!'2812.TW-PreClose'</f>
        <v>11.35</v>
      </c>
      <c r="E2812" t="str">
        <f>[1]!'2812.TW-SimulateTime'</f>
        <v>13:29:56</v>
      </c>
      <c r="F2812">
        <f>[1]!'2812.TW-Price'</f>
        <v>11.35</v>
      </c>
    </row>
    <row r="2816" spans="1:6" x14ac:dyDescent="0.25">
      <c r="A2816" t="str">
        <f>[1]!'2816.TW-ID'</f>
        <v>2816</v>
      </c>
      <c r="B2816" t="str">
        <f>[1]!'2816.TW-Name'</f>
        <v>旺旺保</v>
      </c>
      <c r="C2816">
        <f>[1]!'2816.TW-SimulatePrice'</f>
        <v>19.149999999999999</v>
      </c>
      <c r="D2816">
        <f>[1]!'2816.TW-PreClose'</f>
        <v>19.399999999999999</v>
      </c>
      <c r="E2816" t="str">
        <f>[1]!'2816.TW-SimulateTime'</f>
        <v>13:28:49</v>
      </c>
      <c r="F2816">
        <f>[1]!'2816.TW-Price'</f>
        <v>19.149999999999999</v>
      </c>
    </row>
    <row r="2820" spans="1:6" x14ac:dyDescent="0.25">
      <c r="A2820" t="str">
        <f>[1]!'2820.TW-ID'</f>
        <v>2820</v>
      </c>
      <c r="B2820" t="str">
        <f>[1]!'2820.TW-Name'</f>
        <v>華票</v>
      </c>
      <c r="C2820">
        <f>[1]!'2820.TW-SimulatePrice'</f>
        <v>14.5</v>
      </c>
      <c r="D2820">
        <f>[1]!'2820.TW-PreClose'</f>
        <v>14.5</v>
      </c>
      <c r="E2820" t="str">
        <f>[1]!'2820.TW-SimulateTime'</f>
        <v>13:29:20</v>
      </c>
      <c r="F2820">
        <f>[1]!'2820.TW-Price'</f>
        <v>14.5</v>
      </c>
    </row>
    <row r="2823" spans="1:6" x14ac:dyDescent="0.25">
      <c r="A2823" t="str">
        <f>[1]!'2823.TW-ID'</f>
        <v>2823</v>
      </c>
      <c r="B2823" t="str">
        <f>[1]!'2823.TW-Name'</f>
        <v>中壽</v>
      </c>
      <c r="C2823">
        <f>[1]!'2823.TW-SimulatePrice'</f>
        <v>19.75</v>
      </c>
      <c r="D2823">
        <f>[1]!'2823.TW-PreClose'</f>
        <v>20</v>
      </c>
      <c r="E2823" t="str">
        <f>[1]!'2823.TW-SimulateTime'</f>
        <v>13:29:58</v>
      </c>
      <c r="F2823">
        <f>[1]!'2823.TW-Price'</f>
        <v>19.75</v>
      </c>
    </row>
    <row r="2832" spans="1:6" x14ac:dyDescent="0.25">
      <c r="A2832" t="str">
        <f>[1]!'2832.TW-ID'</f>
        <v>2832</v>
      </c>
      <c r="B2832" t="str">
        <f>[1]!'2832.TW-Name'</f>
        <v>台產</v>
      </c>
      <c r="C2832">
        <f>[1]!'2832.TW-SimulatePrice'</f>
        <v>19.600000000000001</v>
      </c>
      <c r="D2832">
        <f>[1]!'2832.TW-PreClose'</f>
        <v>19.5</v>
      </c>
      <c r="E2832" t="str">
        <f>[1]!'2832.TW-SimulateTime'</f>
        <v>13:29:39</v>
      </c>
      <c r="F2832">
        <f>[1]!'2832.TW-Price'</f>
        <v>19.600000000000001</v>
      </c>
    </row>
    <row r="2834" spans="1:6" x14ac:dyDescent="0.25">
      <c r="A2834" t="str">
        <f>[1]!'2834.TW-ID'</f>
        <v>2834</v>
      </c>
      <c r="B2834" t="str">
        <f>[1]!'2834.TW-Name'</f>
        <v>臺企銀</v>
      </c>
      <c r="C2834">
        <f>[1]!'2834.TW-SimulatePrice'</f>
        <v>10.6</v>
      </c>
      <c r="D2834">
        <f>[1]!'2834.TW-PreClose'</f>
        <v>10.7</v>
      </c>
      <c r="E2834" t="str">
        <f>[1]!'2834.TW-SimulateTime'</f>
        <v>13:29:59</v>
      </c>
      <c r="F2834">
        <f>[1]!'2834.TW-Price'</f>
        <v>10.6</v>
      </c>
    </row>
    <row r="2836" spans="1:6" x14ac:dyDescent="0.25">
      <c r="A2836" t="str">
        <f>[1]!'2836.TW-ID'</f>
        <v>2836</v>
      </c>
      <c r="B2836" t="str">
        <f>[1]!'2836.TW-Name'</f>
        <v>高雄銀</v>
      </c>
      <c r="C2836">
        <f>[1]!'2836.TW-SimulatePrice'</f>
        <v>9.43</v>
      </c>
      <c r="D2836">
        <f>[1]!'2836.TW-PreClose'</f>
        <v>9.43</v>
      </c>
      <c r="E2836" t="str">
        <f>[1]!'2836.TW-SimulateTime'</f>
        <v>13:28:53</v>
      </c>
      <c r="F2836">
        <f>[1]!'2836.TW-Price'</f>
        <v>9.43</v>
      </c>
    </row>
    <row r="2838" spans="1:6" x14ac:dyDescent="0.25">
      <c r="A2838" t="str">
        <f>[1]!'2838.TW-ID'</f>
        <v>2838</v>
      </c>
      <c r="B2838" t="str">
        <f>[1]!'2838.TW-Name'</f>
        <v>聯邦銀</v>
      </c>
      <c r="C2838">
        <f>[1]!'2838.TW-SimulatePrice'</f>
        <v>10.7</v>
      </c>
      <c r="D2838">
        <f>[1]!'2838.TW-PreClose'</f>
        <v>10.65</v>
      </c>
      <c r="E2838" t="str">
        <f>[1]!'2838.TW-SimulateTime'</f>
        <v>13:29:58</v>
      </c>
      <c r="F2838">
        <f>[1]!'2838.TW-Price'</f>
        <v>10.7</v>
      </c>
    </row>
    <row r="2841" spans="1:6" x14ac:dyDescent="0.25">
      <c r="A2841" t="str">
        <f>[1]!'2841.TW-ID'</f>
        <v>2841</v>
      </c>
      <c r="B2841" t="str">
        <f>[1]!'2841.TW-Name'</f>
        <v>台開</v>
      </c>
      <c r="C2841">
        <f>[1]!'2841.TW-SimulatePrice'</f>
        <v>6.46</v>
      </c>
      <c r="D2841">
        <f>[1]!'2841.TW-PreClose'</f>
        <v>6.5</v>
      </c>
      <c r="E2841" t="str">
        <f>[1]!'2841.TW-SimulateTime'</f>
        <v>13:29:59</v>
      </c>
      <c r="F2841">
        <f>[1]!'2841.TW-Price'</f>
        <v>6.46</v>
      </c>
    </row>
    <row r="2845" spans="1:6" x14ac:dyDescent="0.25">
      <c r="A2845" t="str">
        <f>[1]!'2845.TW-ID'</f>
        <v>2845</v>
      </c>
      <c r="B2845" t="str">
        <f>[1]!'2845.TW-Name'</f>
        <v>遠東銀</v>
      </c>
      <c r="C2845">
        <f>[1]!'2845.TW-SimulatePrice'</f>
        <v>10.7</v>
      </c>
      <c r="D2845">
        <f>[1]!'2845.TW-PreClose'</f>
        <v>10.7</v>
      </c>
      <c r="E2845" t="str">
        <f>[1]!'2845.TW-SimulateTime'</f>
        <v>13:29:59</v>
      </c>
      <c r="F2845">
        <f>[1]!'2845.TW-Price'</f>
        <v>10.7</v>
      </c>
    </row>
    <row r="2849" spans="1:6" x14ac:dyDescent="0.25">
      <c r="A2849" t="str">
        <f>[1]!'2849.TW-ID'</f>
        <v>2849</v>
      </c>
      <c r="B2849" t="str">
        <f>[1]!'2849.TW-Name'</f>
        <v>安泰銀</v>
      </c>
      <c r="C2849">
        <f>[1]!'2849.TW-SimulatePrice'</f>
        <v>14.3</v>
      </c>
      <c r="D2849">
        <f>[1]!'2849.TW-PreClose'</f>
        <v>14.2</v>
      </c>
      <c r="E2849" t="str">
        <f>[1]!'2849.TW-SimulateTime'</f>
        <v>13:27:37</v>
      </c>
      <c r="F2849">
        <f>[1]!'2849.TW-Price'</f>
        <v>14.3</v>
      </c>
    </row>
    <row r="2850" spans="1:6" x14ac:dyDescent="0.25">
      <c r="A2850" t="str">
        <f>[1]!'2850.TW-ID'</f>
        <v>2850</v>
      </c>
      <c r="B2850" t="str">
        <f>[1]!'2850.TW-Name'</f>
        <v>新產</v>
      </c>
      <c r="C2850">
        <f>[1]!'2850.TW-SimulatePrice'</f>
        <v>35.200000000000003</v>
      </c>
      <c r="D2850">
        <f>[1]!'2850.TW-PreClose'</f>
        <v>35.4</v>
      </c>
      <c r="E2850" t="str">
        <f>[1]!'2850.TW-SimulateTime'</f>
        <v>13:29:50</v>
      </c>
      <c r="F2850">
        <f>[1]!'2850.TW-Price'</f>
        <v>35.200000000000003</v>
      </c>
    </row>
    <row r="2851" spans="1:6" x14ac:dyDescent="0.25">
      <c r="A2851" t="str">
        <f>[1]!'2851.TW-ID'</f>
        <v>2851</v>
      </c>
      <c r="B2851" t="str">
        <f>[1]!'2851.TW-Name'</f>
        <v>中再保</v>
      </c>
      <c r="C2851">
        <f>[1]!'2851.TW-SimulatePrice'</f>
        <v>18.850000000000001</v>
      </c>
      <c r="D2851">
        <f>[1]!'2851.TW-PreClose'</f>
        <v>18.850000000000001</v>
      </c>
      <c r="E2851" t="str">
        <f>[1]!'2851.TW-SimulateTime'</f>
        <v>13:29:51</v>
      </c>
      <c r="F2851">
        <f>[1]!'2851.TW-Price'</f>
        <v>18.850000000000001</v>
      </c>
    </row>
    <row r="2852" spans="1:6" x14ac:dyDescent="0.25">
      <c r="A2852" t="str">
        <f>[1]!'2852.TW-ID'</f>
        <v>2852</v>
      </c>
      <c r="B2852" t="str">
        <f>[1]!'2852.TW-Name'</f>
        <v>第一保</v>
      </c>
      <c r="C2852" t="str">
        <f>[1]!'2852.TW-SimulatePrice'</f>
        <v>--</v>
      </c>
      <c r="D2852">
        <f>[1]!'2852.TW-PreClose'</f>
        <v>13.8</v>
      </c>
      <c r="E2852" t="str">
        <f>[1]!'2852.TW-SimulateTime'</f>
        <v>--</v>
      </c>
      <c r="F2852">
        <f>[1]!'2852.TW-Price'</f>
        <v>13.8</v>
      </c>
    </row>
    <row r="2855" spans="1:6" x14ac:dyDescent="0.25">
      <c r="A2855" t="str">
        <f>[1]!'2855.TW-ID'</f>
        <v>2855</v>
      </c>
      <c r="B2855" t="str">
        <f>[1]!'2855.TW-Name'</f>
        <v>統一證</v>
      </c>
      <c r="C2855">
        <f>[1]!'2855.TW-SimulatePrice'</f>
        <v>13.25</v>
      </c>
      <c r="D2855">
        <f>[1]!'2855.TW-PreClose'</f>
        <v>13.2</v>
      </c>
      <c r="E2855" t="str">
        <f>[1]!'2855.TW-SimulateTime'</f>
        <v>13:29:52</v>
      </c>
      <c r="F2855">
        <f>[1]!'2855.TW-Price'</f>
        <v>13.25</v>
      </c>
    </row>
    <row r="2867" spans="1:6" x14ac:dyDescent="0.25">
      <c r="A2867" t="str">
        <f>[1]!'2867.TW-ID'</f>
        <v>2867</v>
      </c>
      <c r="B2867" t="str">
        <f>[1]!'2867.TW-Name'</f>
        <v>三商壽</v>
      </c>
      <c r="C2867">
        <f>[1]!'2867.TW-SimulatePrice'</f>
        <v>9.49</v>
      </c>
      <c r="D2867">
        <f>[1]!'2867.TW-PreClose'</f>
        <v>9.19</v>
      </c>
      <c r="E2867" t="str">
        <f>[1]!'2867.TW-SimulateTime'</f>
        <v>13:29:55</v>
      </c>
      <c r="F2867">
        <f>[1]!'2867.TW-Price'</f>
        <v>9.49</v>
      </c>
    </row>
    <row r="2880" spans="1:6" x14ac:dyDescent="0.25">
      <c r="A2880" t="str">
        <f>[1]!'2880.TW-ID'</f>
        <v>2880</v>
      </c>
      <c r="B2880" t="str">
        <f>[1]!'2880.TW-Name'</f>
        <v>華南金</v>
      </c>
      <c r="C2880">
        <f>[1]!'2880.TW-SimulatePrice'</f>
        <v>19</v>
      </c>
      <c r="D2880">
        <f>[1]!'2880.TW-PreClose'</f>
        <v>19.05</v>
      </c>
      <c r="E2880" t="str">
        <f>[1]!'2880.TW-SimulateTime'</f>
        <v>13:29:57</v>
      </c>
      <c r="F2880">
        <f>[1]!'2880.TW-Price'</f>
        <v>19</v>
      </c>
    </row>
    <row r="2881" spans="1:6" x14ac:dyDescent="0.25">
      <c r="A2881" t="str">
        <f>[1]!'2881.TW-ID'</f>
        <v>2881</v>
      </c>
      <c r="B2881" t="str">
        <f>[1]!'2881.TW-Name'</f>
        <v>富邦金</v>
      </c>
      <c r="C2881">
        <f>[1]!'2881.TW-SimulatePrice'</f>
        <v>41.15</v>
      </c>
      <c r="D2881">
        <f>[1]!'2881.TW-PreClose'</f>
        <v>40.549999999999997</v>
      </c>
      <c r="E2881" t="str">
        <f>[1]!'2881.TW-SimulateTime'</f>
        <v>13:29:57</v>
      </c>
      <c r="F2881">
        <f>[1]!'2881.TW-Price'</f>
        <v>41.15</v>
      </c>
    </row>
    <row r="2882" spans="1:6" x14ac:dyDescent="0.25">
      <c r="A2882" t="str">
        <f>[1]!'2882.TW-ID'</f>
        <v>2882</v>
      </c>
      <c r="B2882" t="str">
        <f>[1]!'2882.TW-Name'</f>
        <v>國泰金</v>
      </c>
      <c r="C2882">
        <f>[1]!'2882.TW-SimulatePrice'</f>
        <v>39.049999999999997</v>
      </c>
      <c r="D2882">
        <f>[1]!'2882.TW-PreClose'</f>
        <v>39.15</v>
      </c>
      <c r="E2882" t="str">
        <f>[1]!'2882.TW-SimulateTime'</f>
        <v>13:29:57</v>
      </c>
      <c r="F2882">
        <f>[1]!'2882.TW-Price'</f>
        <v>39.049999999999997</v>
      </c>
    </row>
    <row r="2883" spans="1:6" x14ac:dyDescent="0.25">
      <c r="A2883" t="str">
        <f>[1]!'2883.TW-ID'</f>
        <v>2883</v>
      </c>
      <c r="B2883" t="str">
        <f>[1]!'2883.TW-Name'</f>
        <v>開發金</v>
      </c>
      <c r="C2883">
        <f>[1]!'2883.TW-SimulatePrice'</f>
        <v>8.9499999999999993</v>
      </c>
      <c r="D2883">
        <f>[1]!'2883.TW-PreClose'</f>
        <v>8.99</v>
      </c>
      <c r="E2883" t="str">
        <f>[1]!'2883.TW-SimulateTime'</f>
        <v>13:29:57</v>
      </c>
      <c r="F2883">
        <f>[1]!'2883.TW-Price'</f>
        <v>8.9499999999999993</v>
      </c>
    </row>
    <row r="2884" spans="1:6" x14ac:dyDescent="0.25">
      <c r="A2884" t="str">
        <f>[1]!'2884.TW-ID'</f>
        <v>2884</v>
      </c>
      <c r="B2884" t="str">
        <f>[1]!'2884.TW-Name'</f>
        <v>玉山金</v>
      </c>
      <c r="C2884">
        <f>[1]!'2884.TW-SimulatePrice'</f>
        <v>26.95</v>
      </c>
      <c r="D2884">
        <f>[1]!'2884.TW-PreClose'</f>
        <v>26.9</v>
      </c>
      <c r="E2884" t="str">
        <f>[1]!'2884.TW-SimulateTime'</f>
        <v>13:29:59</v>
      </c>
      <c r="F2884">
        <f>[1]!'2884.TW-Price'</f>
        <v>26.95</v>
      </c>
    </row>
    <row r="2885" spans="1:6" x14ac:dyDescent="0.25">
      <c r="A2885" t="str">
        <f>[1]!'2885.TW-ID'</f>
        <v>2885</v>
      </c>
      <c r="B2885" t="str">
        <f>[1]!'2885.TW-Name'</f>
        <v>元大金</v>
      </c>
      <c r="C2885">
        <f>[1]!'2885.TW-SimulatePrice'</f>
        <v>16.25</v>
      </c>
      <c r="D2885">
        <f>[1]!'2885.TW-PreClose'</f>
        <v>16.3</v>
      </c>
      <c r="E2885" t="str">
        <f>[1]!'2885.TW-SimulateTime'</f>
        <v>13:29:58</v>
      </c>
      <c r="F2885">
        <f>[1]!'2885.TW-Price'</f>
        <v>16.25</v>
      </c>
    </row>
    <row r="2886" spans="1:6" x14ac:dyDescent="0.25">
      <c r="A2886" t="str">
        <f>[1]!'2886.TW-ID'</f>
        <v>2886</v>
      </c>
      <c r="B2886" t="str">
        <f>[1]!'2886.TW-Name'</f>
        <v>兆豐金</v>
      </c>
      <c r="C2886">
        <f>[1]!'2886.TW-SimulatePrice'</f>
        <v>30.3</v>
      </c>
      <c r="D2886">
        <f>[1]!'2886.TW-PreClose'</f>
        <v>30.25</v>
      </c>
      <c r="E2886" t="str">
        <f>[1]!'2886.TW-SimulateTime'</f>
        <v>13:29:55</v>
      </c>
      <c r="F2886">
        <f>[1]!'2886.TW-Price'</f>
        <v>30.25</v>
      </c>
    </row>
    <row r="2887" spans="1:6" x14ac:dyDescent="0.25">
      <c r="A2887" t="str">
        <f>[1]!'2887.TW-ID'</f>
        <v>2887</v>
      </c>
      <c r="B2887" t="str">
        <f>[1]!'2887.TW-Name'</f>
        <v>台新金</v>
      </c>
      <c r="C2887">
        <f>[1]!'2887.TW-SimulatePrice'</f>
        <v>12.35</v>
      </c>
      <c r="D2887">
        <f>[1]!'2887.TW-PreClose'</f>
        <v>12.3</v>
      </c>
      <c r="E2887" t="str">
        <f>[1]!'2887.TW-SimulateTime'</f>
        <v>13:29:56</v>
      </c>
      <c r="F2887">
        <f>[1]!'2887.TW-Price'</f>
        <v>12.35</v>
      </c>
    </row>
    <row r="2888" spans="1:6" x14ac:dyDescent="0.25">
      <c r="A2888" t="str">
        <f>[1]!'2888.TW-ID'</f>
        <v>2888</v>
      </c>
      <c r="B2888" t="str">
        <f>[1]!'2888.TW-Name'</f>
        <v>新光金</v>
      </c>
      <c r="C2888">
        <f>[1]!'2888.TW-SimulatePrice'</f>
        <v>8.16</v>
      </c>
      <c r="D2888">
        <f>[1]!'2888.TW-PreClose'</f>
        <v>8.16</v>
      </c>
      <c r="E2888" t="str">
        <f>[1]!'2888.TW-SimulateTime'</f>
        <v>13:29:55</v>
      </c>
      <c r="F2888">
        <f>[1]!'2888.TW-Price'</f>
        <v>8.16</v>
      </c>
    </row>
    <row r="2889" spans="1:6" x14ac:dyDescent="0.25">
      <c r="A2889" t="str">
        <f>[1]!'2889.TW-ID'</f>
        <v>2889</v>
      </c>
      <c r="B2889" t="str">
        <f>[1]!'2889.TW-Name'</f>
        <v>國票金</v>
      </c>
      <c r="C2889">
        <f>[1]!'2889.TW-SimulatePrice'</f>
        <v>11.25</v>
      </c>
      <c r="D2889">
        <f>[1]!'2889.TW-PreClose'</f>
        <v>11.2</v>
      </c>
      <c r="E2889" t="str">
        <f>[1]!'2889.TW-SimulateTime'</f>
        <v>13:29:57</v>
      </c>
      <c r="F2889">
        <f>[1]!'2889.TW-Price'</f>
        <v>11.25</v>
      </c>
    </row>
    <row r="2890" spans="1:6" x14ac:dyDescent="0.25">
      <c r="A2890" t="str">
        <f>[1]!'2890.TW-ID'</f>
        <v>2890</v>
      </c>
      <c r="B2890" t="str">
        <f>[1]!'2890.TW-Name'</f>
        <v>永豐金</v>
      </c>
      <c r="C2890">
        <f>[1]!'2890.TW-SimulatePrice'</f>
        <v>11.65</v>
      </c>
      <c r="D2890">
        <f>[1]!'2890.TW-PreClose'</f>
        <v>11.7</v>
      </c>
      <c r="E2890" t="str">
        <f>[1]!'2890.TW-SimulateTime'</f>
        <v>13:29:59</v>
      </c>
      <c r="F2890">
        <f>[1]!'2890.TW-Price'</f>
        <v>11.65</v>
      </c>
    </row>
    <row r="2891" spans="1:6" x14ac:dyDescent="0.25">
      <c r="A2891" t="str">
        <f>[1]!'2891.TW-ID'</f>
        <v>2891</v>
      </c>
      <c r="B2891" t="str">
        <f>[1]!'2891.TW-Name'</f>
        <v>中信金</v>
      </c>
      <c r="C2891">
        <f>[1]!'2891.TW-SimulatePrice'</f>
        <v>19.600000000000001</v>
      </c>
      <c r="D2891">
        <f>[1]!'2891.TW-PreClose'</f>
        <v>19.55</v>
      </c>
      <c r="E2891" t="str">
        <f>[1]!'2891.TW-SimulateTime'</f>
        <v>13:29:57</v>
      </c>
      <c r="F2891">
        <f>[1]!'2891.TW-Price'</f>
        <v>19.600000000000001</v>
      </c>
    </row>
    <row r="2892" spans="1:6" x14ac:dyDescent="0.25">
      <c r="A2892" t="str">
        <f>[1]!'2892.TW-ID'</f>
        <v>2892</v>
      </c>
      <c r="B2892" t="str">
        <f>[1]!'2892.TW-Name'</f>
        <v>第一金</v>
      </c>
      <c r="C2892">
        <f>[1]!'2892.TW-SimulatePrice'</f>
        <v>21.8</v>
      </c>
      <c r="D2892">
        <f>[1]!'2892.TW-PreClose'</f>
        <v>21.9</v>
      </c>
      <c r="E2892" t="str">
        <f>[1]!'2892.TW-SimulateTime'</f>
        <v>13:29:56</v>
      </c>
      <c r="F2892">
        <f>[1]!'2892.TW-Price'</f>
        <v>21.8</v>
      </c>
    </row>
    <row r="2897" spans="1:6" x14ac:dyDescent="0.25">
      <c r="A2897" t="str">
        <f>[1]!'2897.TW-ID'</f>
        <v>2897</v>
      </c>
      <c r="B2897" t="str">
        <f>[1]!'2897.TW-Name'</f>
        <v>王道銀行</v>
      </c>
      <c r="C2897">
        <f>[1]!'2897.TW-SimulatePrice'</f>
        <v>7.06</v>
      </c>
      <c r="D2897">
        <f>[1]!'2897.TW-PreClose'</f>
        <v>7.04</v>
      </c>
      <c r="E2897" t="str">
        <f>[1]!'2897.TW-SimulateTime'</f>
        <v>13:29:48</v>
      </c>
      <c r="F2897">
        <f>[1]!'2897.TW-Price'</f>
        <v>7.06</v>
      </c>
    </row>
    <row r="2901" spans="1:6" x14ac:dyDescent="0.25">
      <c r="A2901" t="str">
        <f>[1]!'2901.TW-ID'</f>
        <v>2901</v>
      </c>
      <c r="B2901" t="str">
        <f>[1]!'2901.TW-Name'</f>
        <v>欣欣</v>
      </c>
      <c r="C2901">
        <f>[1]!'2901.TW-SimulatePrice'</f>
        <v>22.65</v>
      </c>
      <c r="D2901">
        <f>[1]!'2901.TW-PreClose'</f>
        <v>23</v>
      </c>
      <c r="E2901" t="str">
        <f>[1]!'2901.TW-SimulateTime'</f>
        <v>13:32:55</v>
      </c>
      <c r="F2901">
        <f>[1]!'2901.TW-Price'</f>
        <v>22.65</v>
      </c>
    </row>
    <row r="2903" spans="1:6" x14ac:dyDescent="0.25">
      <c r="A2903" t="str">
        <f>[1]!'2903.TW-ID'</f>
        <v>2903</v>
      </c>
      <c r="B2903" t="str">
        <f>[1]!'2903.TW-Name'</f>
        <v>遠百</v>
      </c>
      <c r="C2903">
        <f>[1]!'2903.TW-SimulatePrice'</f>
        <v>23.75</v>
      </c>
      <c r="D2903">
        <f>[1]!'2903.TW-PreClose'</f>
        <v>22.55</v>
      </c>
      <c r="E2903" t="str">
        <f>[1]!'2903.TW-SimulateTime'</f>
        <v>13:29:54</v>
      </c>
      <c r="F2903">
        <f>[1]!'2903.TW-Price'</f>
        <v>23.75</v>
      </c>
    </row>
    <row r="2904" spans="1:6" x14ac:dyDescent="0.25">
      <c r="A2904" t="str">
        <f>[1]!'2904.TW-ID'</f>
        <v>2904</v>
      </c>
      <c r="B2904" t="str">
        <f>[1]!'2904.TW-Name'</f>
        <v>匯僑</v>
      </c>
      <c r="C2904">
        <f>[1]!'2904.TW-SimulatePrice'</f>
        <v>23.9</v>
      </c>
      <c r="D2904">
        <f>[1]!'2904.TW-PreClose'</f>
        <v>23.75</v>
      </c>
      <c r="E2904" t="str">
        <f>[1]!'2904.TW-SimulateTime'</f>
        <v>13:28:49</v>
      </c>
      <c r="F2904">
        <f>[1]!'2904.TW-Price'</f>
        <v>23.9</v>
      </c>
    </row>
    <row r="2905" spans="1:6" x14ac:dyDescent="0.25">
      <c r="A2905" t="str">
        <f>[1]!'2905.TW-ID'</f>
        <v>2905</v>
      </c>
      <c r="B2905" t="str">
        <f>[1]!'2905.TW-Name'</f>
        <v>三商</v>
      </c>
      <c r="C2905">
        <f>[1]!'2905.TW-SimulatePrice'</f>
        <v>21.2</v>
      </c>
      <c r="D2905">
        <f>[1]!'2905.TW-PreClose'</f>
        <v>21.2</v>
      </c>
      <c r="E2905" t="str">
        <f>[1]!'2905.TW-SimulateTime'</f>
        <v>13:29:50</v>
      </c>
      <c r="F2905">
        <f>[1]!'2905.TW-Price'</f>
        <v>21.2</v>
      </c>
    </row>
    <row r="2906" spans="1:6" x14ac:dyDescent="0.25">
      <c r="A2906" t="str">
        <f>[1]!'2906.TW-ID'</f>
        <v>2906</v>
      </c>
      <c r="B2906" t="str">
        <f>[1]!'2906.TW-Name'</f>
        <v>高林</v>
      </c>
      <c r="C2906">
        <f>[1]!'2906.TW-SimulatePrice'</f>
        <v>10.75</v>
      </c>
      <c r="D2906">
        <f>[1]!'2906.TW-PreClose'</f>
        <v>10.7</v>
      </c>
      <c r="E2906" t="str">
        <f>[1]!'2906.TW-SimulateTime'</f>
        <v>13:29:13</v>
      </c>
      <c r="F2906">
        <f>[1]!'2906.TW-Price'</f>
        <v>10.75</v>
      </c>
    </row>
    <row r="2908" spans="1:6" x14ac:dyDescent="0.25">
      <c r="A2908" t="str">
        <f>[1]!'2908.TW-ID'</f>
        <v>2908</v>
      </c>
      <c r="B2908" t="str">
        <f>[1]!'2908.TW-Name'</f>
        <v>特力</v>
      </c>
      <c r="C2908">
        <f>[1]!'2908.TW-SimulatePrice'</f>
        <v>18.850000000000001</v>
      </c>
      <c r="D2908">
        <f>[1]!'2908.TW-PreClose'</f>
        <v>19.2</v>
      </c>
      <c r="E2908" t="str">
        <f>[1]!'2908.TW-SimulateTime'</f>
        <v>13:29:50</v>
      </c>
      <c r="F2908">
        <f>[1]!'2908.TW-Price'</f>
        <v>18.850000000000001</v>
      </c>
    </row>
    <row r="2910" spans="1:6" x14ac:dyDescent="0.25">
      <c r="A2910" t="str">
        <f>[1]!'2910.TW-ID'</f>
        <v>2910</v>
      </c>
      <c r="B2910" t="str">
        <f>[1]!'2910.TW-Name'</f>
        <v>統領</v>
      </c>
      <c r="C2910">
        <f>[1]!'2910.TW-SimulatePrice'</f>
        <v>31</v>
      </c>
      <c r="D2910">
        <f>[1]!'2910.TW-PreClose'</f>
        <v>31.25</v>
      </c>
      <c r="E2910" t="str">
        <f>[1]!'2910.TW-SimulateTime'</f>
        <v>13:29:59</v>
      </c>
      <c r="F2910">
        <f>[1]!'2910.TW-Price'</f>
        <v>31</v>
      </c>
    </row>
    <row r="2911" spans="1:6" x14ac:dyDescent="0.25">
      <c r="A2911" t="str">
        <f>[1]!'2911.TW-ID'</f>
        <v>2911</v>
      </c>
      <c r="B2911" t="str">
        <f>[1]!'2911.TW-Name'</f>
        <v>麗嬰房</v>
      </c>
      <c r="C2911" t="str">
        <f>[1]!'2911.TW-SimulatePrice'</f>
        <v>--</v>
      </c>
      <c r="D2911">
        <f>[1]!'2911.TW-PreClose'</f>
        <v>5.96</v>
      </c>
      <c r="E2911" t="str">
        <f>[1]!'2911.TW-SimulateTime'</f>
        <v>--</v>
      </c>
      <c r="F2911">
        <f>[1]!'2911.TW-Price'</f>
        <v>5.91</v>
      </c>
    </row>
    <row r="2912" spans="1:6" x14ac:dyDescent="0.25">
      <c r="A2912" t="str">
        <f>[1]!'2912.TW-ID'</f>
        <v>2912</v>
      </c>
      <c r="B2912" t="str">
        <f>[1]!'2912.TW-Name'</f>
        <v>統一超</v>
      </c>
      <c r="C2912">
        <f>[1]!'2912.TW-SimulatePrice'</f>
        <v>300</v>
      </c>
      <c r="D2912">
        <f>[1]!'2912.TW-PreClose'</f>
        <v>302.5</v>
      </c>
      <c r="E2912" t="str">
        <f>[1]!'2912.TW-SimulateTime'</f>
        <v>13:29:55</v>
      </c>
      <c r="F2912">
        <f>[1]!'2912.TW-Price'</f>
        <v>300</v>
      </c>
    </row>
    <row r="2913" spans="1:6" x14ac:dyDescent="0.25">
      <c r="A2913" t="str">
        <f>[1]!'2913.TW-ID'</f>
        <v>2913</v>
      </c>
      <c r="B2913" t="str">
        <f>[1]!'2913.TW-Name'</f>
        <v>農林</v>
      </c>
      <c r="C2913">
        <f>[1]!'2913.TW-SimulatePrice'</f>
        <v>14.15</v>
      </c>
      <c r="D2913">
        <f>[1]!'2913.TW-PreClose'</f>
        <v>14.05</v>
      </c>
      <c r="E2913" t="str">
        <f>[1]!'2913.TW-SimulateTime'</f>
        <v>13:28:48</v>
      </c>
      <c r="F2913">
        <f>[1]!'2913.TW-Price'</f>
        <v>14.15</v>
      </c>
    </row>
    <row r="2915" spans="1:6" x14ac:dyDescent="0.25">
      <c r="A2915" t="str">
        <f>[1]!'2915.TW-ID'</f>
        <v>2915</v>
      </c>
      <c r="B2915" t="str">
        <f>[1]!'2915.TW-Name'</f>
        <v>潤泰全</v>
      </c>
      <c r="C2915">
        <f>[1]!'2915.TW-SimulatePrice'</f>
        <v>67</v>
      </c>
      <c r="D2915">
        <f>[1]!'2915.TW-PreClose'</f>
        <v>66.099999999999994</v>
      </c>
      <c r="E2915" t="str">
        <f>[1]!'2915.TW-SimulateTime'</f>
        <v>13:29:55</v>
      </c>
      <c r="F2915">
        <f>[1]!'2915.TW-Price'</f>
        <v>67</v>
      </c>
    </row>
    <row r="2923" spans="1:6" x14ac:dyDescent="0.25">
      <c r="A2923" t="str">
        <f>[1]!'2923.TW-ID'</f>
        <v>2923</v>
      </c>
      <c r="B2923" t="str">
        <f>[1]!'2923.TW-Name'</f>
        <v>鼎固-KY</v>
      </c>
      <c r="C2923">
        <f>[1]!'2923.TW-SimulatePrice'</f>
        <v>24.5</v>
      </c>
      <c r="D2923">
        <f>[1]!'2923.TW-PreClose'</f>
        <v>24.7</v>
      </c>
      <c r="E2923" t="str">
        <f>[1]!'2923.TW-SimulateTime'</f>
        <v>13:29:52</v>
      </c>
      <c r="F2923">
        <f>[1]!'2923.TW-Price'</f>
        <v>24.5</v>
      </c>
    </row>
    <row r="2929" spans="1:6" x14ac:dyDescent="0.25">
      <c r="A2929" t="str">
        <f>[1]!'2929.TW-ID'</f>
        <v>2929</v>
      </c>
      <c r="B2929" t="str">
        <f>[1]!'2929.TW-Name'</f>
        <v>淘帝-KY</v>
      </c>
      <c r="C2929">
        <f>[1]!'2929.TW-SimulatePrice'</f>
        <v>58.3</v>
      </c>
      <c r="D2929">
        <f>[1]!'2929.TW-PreClose'</f>
        <v>59.1</v>
      </c>
      <c r="E2929" t="str">
        <f>[1]!'2929.TW-SimulateTime'</f>
        <v>13:29:42</v>
      </c>
      <c r="F2929">
        <f>[1]!'2929.TW-Price'</f>
        <v>58.3</v>
      </c>
    </row>
    <row r="2936" spans="1:6" x14ac:dyDescent="0.25">
      <c r="A2936" t="str">
        <f>[1]!'2936.TW-ID'</f>
        <v>2936</v>
      </c>
      <c r="B2936" t="str">
        <f>[1]!'2936.TW-Name'</f>
        <v>客思達-KY</v>
      </c>
      <c r="C2936">
        <f>[1]!'2936.TW-SimulatePrice'</f>
        <v>14.85</v>
      </c>
      <c r="D2936">
        <f>[1]!'2936.TW-PreClose'</f>
        <v>15</v>
      </c>
      <c r="E2936" t="str">
        <f>[1]!'2936.TW-SimulateTime'</f>
        <v>13:28:29</v>
      </c>
      <c r="F2936">
        <f>[1]!'2936.TW-Price'</f>
        <v>14.85</v>
      </c>
    </row>
    <row r="2939" spans="1:6" x14ac:dyDescent="0.25">
      <c r="A2939" t="str">
        <f>[1]!'2939.TW-ID'</f>
        <v>2939</v>
      </c>
      <c r="B2939" t="str">
        <f>[1]!'2939.TW-Name'</f>
        <v>凱羿-KY</v>
      </c>
      <c r="C2939">
        <f>[1]!'2939.TW-SimulatePrice'</f>
        <v>140</v>
      </c>
      <c r="D2939">
        <f>[1]!'2939.TW-PreClose'</f>
        <v>155.5</v>
      </c>
      <c r="E2939" t="str">
        <f>[1]!'2939.TW-SimulateTime'</f>
        <v>13:29:55</v>
      </c>
      <c r="F2939">
        <f>[1]!'2939.TW-Price'</f>
        <v>140</v>
      </c>
    </row>
    <row r="3002" spans="1:6" x14ac:dyDescent="0.25">
      <c r="A3002" t="str">
        <f>[1]!'3002.TW-ID'</f>
        <v>3002</v>
      </c>
      <c r="B3002" t="str">
        <f>[1]!'3002.TW-Name'</f>
        <v>歐格</v>
      </c>
      <c r="C3002">
        <f>[1]!'3002.TW-SimulatePrice'</f>
        <v>10.5</v>
      </c>
      <c r="D3002">
        <f>[1]!'3002.TW-PreClose'</f>
        <v>10.85</v>
      </c>
      <c r="E3002" t="str">
        <f>[1]!'3002.TW-SimulateTime'</f>
        <v>13:29:54</v>
      </c>
      <c r="F3002">
        <f>[1]!'3002.TW-Price'</f>
        <v>10.5</v>
      </c>
    </row>
    <row r="3003" spans="1:6" x14ac:dyDescent="0.25">
      <c r="A3003" t="str">
        <f>[1]!'3003.TW-ID'</f>
        <v>3003</v>
      </c>
      <c r="B3003" t="str">
        <f>[1]!'3003.TW-Name'</f>
        <v>健和興</v>
      </c>
      <c r="C3003">
        <f>[1]!'3003.TW-SimulatePrice'</f>
        <v>38.35</v>
      </c>
      <c r="D3003">
        <f>[1]!'3003.TW-PreClose'</f>
        <v>38.200000000000003</v>
      </c>
      <c r="E3003" t="str">
        <f>[1]!'3003.TW-SimulateTime'</f>
        <v>13:29:54</v>
      </c>
      <c r="F3003">
        <f>[1]!'3003.TW-Price'</f>
        <v>38.35</v>
      </c>
    </row>
    <row r="3004" spans="1:6" x14ac:dyDescent="0.25">
      <c r="A3004" t="str">
        <f>[1]!'3004.TW-ID'</f>
        <v>3004</v>
      </c>
      <c r="B3004" t="str">
        <f>[1]!'3004.TW-Name'</f>
        <v>豐達科</v>
      </c>
      <c r="C3004">
        <f>[1]!'3004.TW-SimulatePrice'</f>
        <v>52.8</v>
      </c>
      <c r="D3004">
        <f>[1]!'3004.TW-PreClose'</f>
        <v>53.3</v>
      </c>
      <c r="E3004" t="str">
        <f>[1]!'3004.TW-SimulateTime'</f>
        <v>13:29:57</v>
      </c>
      <c r="F3004">
        <f>[1]!'3004.TW-Price'</f>
        <v>52.8</v>
      </c>
    </row>
    <row r="3005" spans="1:6" x14ac:dyDescent="0.25">
      <c r="A3005" t="str">
        <f>[1]!'3005.TW-ID'</f>
        <v>3005</v>
      </c>
      <c r="B3005" t="str">
        <f>[1]!'3005.TW-Name'</f>
        <v>神基</v>
      </c>
      <c r="C3005">
        <f>[1]!'3005.TW-SimulatePrice'</f>
        <v>45.15</v>
      </c>
      <c r="D3005">
        <f>[1]!'3005.TW-PreClose'</f>
        <v>46.1</v>
      </c>
      <c r="E3005" t="str">
        <f>[1]!'3005.TW-SimulateTime'</f>
        <v>13:29:59</v>
      </c>
      <c r="F3005">
        <f>[1]!'3005.TW-Price'</f>
        <v>45.15</v>
      </c>
    </row>
    <row r="3006" spans="1:6" x14ac:dyDescent="0.25">
      <c r="A3006" t="str">
        <f>[1]!'3006.TW-ID'</f>
        <v>3006</v>
      </c>
      <c r="B3006" t="str">
        <f>[1]!'3006.TW-Name'</f>
        <v>晶豪科</v>
      </c>
      <c r="C3006">
        <f>[1]!'3006.TW-SimulatePrice'</f>
        <v>42.55</v>
      </c>
      <c r="D3006">
        <f>[1]!'3006.TW-PreClose'</f>
        <v>42</v>
      </c>
      <c r="E3006" t="str">
        <f>[1]!'3006.TW-SimulateTime'</f>
        <v>13:29:58</v>
      </c>
      <c r="F3006">
        <f>[1]!'3006.TW-Price'</f>
        <v>42.6</v>
      </c>
    </row>
    <row r="3008" spans="1:6" x14ac:dyDescent="0.25">
      <c r="A3008" t="str">
        <f>[1]!'3008.TW-ID'</f>
        <v>3008</v>
      </c>
      <c r="B3008" t="str">
        <f>[1]!'3008.TW-Name'</f>
        <v>大立光</v>
      </c>
      <c r="C3008">
        <f>[1]!'3008.TW-SimulatePrice'</f>
        <v>4065</v>
      </c>
      <c r="D3008">
        <f>[1]!'3008.TW-PreClose'</f>
        <v>4110</v>
      </c>
      <c r="E3008" t="str">
        <f>[1]!'3008.TW-SimulateTime'</f>
        <v>13:29:58</v>
      </c>
      <c r="F3008">
        <f>[1]!'3008.TW-Price'</f>
        <v>4065</v>
      </c>
    </row>
    <row r="3010" spans="1:6" x14ac:dyDescent="0.25">
      <c r="A3010" t="str">
        <f>[1]!'3010.TW-ID'</f>
        <v>3010</v>
      </c>
      <c r="B3010" t="str">
        <f>[1]!'3010.TW-Name'</f>
        <v>華立</v>
      </c>
      <c r="C3010">
        <f>[1]!'3010.TW-SimulatePrice'</f>
        <v>54.4</v>
      </c>
      <c r="D3010">
        <f>[1]!'3010.TW-PreClose'</f>
        <v>53.8</v>
      </c>
      <c r="E3010" t="str">
        <f>[1]!'3010.TW-SimulateTime'</f>
        <v>13:29:37</v>
      </c>
      <c r="F3010">
        <f>[1]!'3010.TW-Price'</f>
        <v>54.4</v>
      </c>
    </row>
    <row r="3011" spans="1:6" x14ac:dyDescent="0.25">
      <c r="A3011" t="str">
        <f>[1]!'3011.TW-ID'</f>
        <v>3011</v>
      </c>
      <c r="B3011" t="str">
        <f>[1]!'3011.TW-Name'</f>
        <v>今皓</v>
      </c>
      <c r="C3011">
        <f>[1]!'3011.TW-SimulatePrice'</f>
        <v>5.27</v>
      </c>
      <c r="D3011">
        <f>[1]!'3011.TW-PreClose'</f>
        <v>5.36</v>
      </c>
      <c r="E3011" t="str">
        <f>[1]!'3011.TW-SimulateTime'</f>
        <v>13:29:25</v>
      </c>
      <c r="F3011">
        <f>[1]!'3011.TW-Price'</f>
        <v>5.27</v>
      </c>
    </row>
    <row r="3013" spans="1:6" x14ac:dyDescent="0.25">
      <c r="A3013" t="str">
        <f>[1]!'3013.TW-ID'</f>
        <v>3013</v>
      </c>
      <c r="B3013" t="str">
        <f>[1]!'3013.TW-Name'</f>
        <v>晟銘電</v>
      </c>
      <c r="C3013">
        <f>[1]!'3013.TW-SimulatePrice'</f>
        <v>12.45</v>
      </c>
      <c r="D3013">
        <f>[1]!'3013.TW-PreClose'</f>
        <v>12.55</v>
      </c>
      <c r="E3013" t="str">
        <f>[1]!'3013.TW-SimulateTime'</f>
        <v>13:29:56</v>
      </c>
      <c r="F3013">
        <f>[1]!'3013.TW-Price'</f>
        <v>12.5</v>
      </c>
    </row>
    <row r="3014" spans="1:6" x14ac:dyDescent="0.25">
      <c r="A3014" t="str">
        <f>[1]!'3014.TW-ID'</f>
        <v>3014</v>
      </c>
      <c r="B3014" t="str">
        <f>[1]!'3014.TW-Name'</f>
        <v>聯陽</v>
      </c>
      <c r="C3014">
        <f>[1]!'3014.TW-SimulatePrice'</f>
        <v>54.9</v>
      </c>
      <c r="D3014">
        <f>[1]!'3014.TW-PreClose'</f>
        <v>53.1</v>
      </c>
      <c r="E3014" t="str">
        <f>[1]!'3014.TW-SimulateTime'</f>
        <v>13:29:58</v>
      </c>
      <c r="F3014">
        <f>[1]!'3014.TW-Price'</f>
        <v>54.9</v>
      </c>
    </row>
    <row r="3015" spans="1:6" x14ac:dyDescent="0.25">
      <c r="A3015" t="str">
        <f>[1]!'3015.TW-ID'</f>
        <v>3015</v>
      </c>
      <c r="B3015" t="str">
        <f>[1]!'3015.TW-Name'</f>
        <v>全漢</v>
      </c>
      <c r="C3015">
        <f>[1]!'3015.TW-SimulatePrice'</f>
        <v>21.6</v>
      </c>
      <c r="D3015">
        <f>[1]!'3015.TW-PreClose'</f>
        <v>22.05</v>
      </c>
      <c r="E3015" t="str">
        <f>[1]!'3015.TW-SimulateTime'</f>
        <v>13:29:55</v>
      </c>
      <c r="F3015">
        <f>[1]!'3015.TW-Price'</f>
        <v>21.6</v>
      </c>
    </row>
    <row r="3016" spans="1:6" x14ac:dyDescent="0.25">
      <c r="A3016" t="str">
        <f>[1]!'3016.TW-ID'</f>
        <v>3016</v>
      </c>
      <c r="B3016" t="str">
        <f>[1]!'3016.TW-Name'</f>
        <v>嘉晶</v>
      </c>
      <c r="C3016">
        <f>[1]!'3016.TW-SimulatePrice'</f>
        <v>59</v>
      </c>
      <c r="D3016">
        <f>[1]!'3016.TW-PreClose'</f>
        <v>56.2</v>
      </c>
      <c r="E3016" t="str">
        <f>[1]!'3016.TW-SimulateTime'</f>
        <v>13:29:59</v>
      </c>
      <c r="F3016">
        <f>[1]!'3016.TW-Price'</f>
        <v>59</v>
      </c>
    </row>
    <row r="3017" spans="1:6" x14ac:dyDescent="0.25">
      <c r="A3017" t="str">
        <f>[1]!'3017.TW-ID'</f>
        <v>3017</v>
      </c>
      <c r="B3017" t="str">
        <f>[1]!'3017.TW-Name'</f>
        <v>奇鋐</v>
      </c>
      <c r="C3017">
        <f>[1]!'3017.TW-SimulatePrice'</f>
        <v>38.4</v>
      </c>
      <c r="D3017">
        <f>[1]!'3017.TW-PreClose'</f>
        <v>39.15</v>
      </c>
      <c r="E3017" t="str">
        <f>[1]!'3017.TW-SimulateTime'</f>
        <v>13:29:55</v>
      </c>
      <c r="F3017">
        <f>[1]!'3017.TW-Price'</f>
        <v>38.4</v>
      </c>
    </row>
    <row r="3018" spans="1:6" x14ac:dyDescent="0.25">
      <c r="A3018" t="str">
        <f>[1]!'3018.TW-ID'</f>
        <v>3018</v>
      </c>
      <c r="B3018" t="str">
        <f>[1]!'3018.TW-Name'</f>
        <v>同開</v>
      </c>
      <c r="C3018">
        <f>[1]!'3018.TW-SimulatePrice'</f>
        <v>18.899999999999999</v>
      </c>
      <c r="D3018">
        <f>[1]!'3018.TW-PreClose'</f>
        <v>17.899999999999999</v>
      </c>
      <c r="E3018" t="str">
        <f>[1]!'3018.TW-SimulateTime'</f>
        <v>13:29:18</v>
      </c>
      <c r="F3018">
        <f>[1]!'3018.TW-Price'</f>
        <v>18.899999999999999</v>
      </c>
    </row>
    <row r="3019" spans="1:6" x14ac:dyDescent="0.25">
      <c r="A3019" t="str">
        <f>[1]!'3019.TW-ID'</f>
        <v>3019</v>
      </c>
      <c r="B3019" t="str">
        <f>[1]!'3019.TW-Name'</f>
        <v>亞光</v>
      </c>
      <c r="C3019">
        <f>[1]!'3019.TW-SimulatePrice'</f>
        <v>67.2</v>
      </c>
      <c r="D3019">
        <f>[1]!'3019.TW-PreClose'</f>
        <v>68.8</v>
      </c>
      <c r="E3019" t="str">
        <f>[1]!'3019.TW-SimulateTime'</f>
        <v>13:29:59</v>
      </c>
      <c r="F3019">
        <f>[1]!'3019.TW-Price'</f>
        <v>67.2</v>
      </c>
    </row>
    <row r="3021" spans="1:6" x14ac:dyDescent="0.25">
      <c r="A3021" t="str">
        <f>[1]!'3021.TW-ID'</f>
        <v>3021</v>
      </c>
      <c r="B3021" t="str">
        <f>[1]!'3021.TW-Name'</f>
        <v>鴻名</v>
      </c>
      <c r="C3021">
        <f>[1]!'3021.TW-SimulatePrice'</f>
        <v>12.7</v>
      </c>
      <c r="D3021">
        <f>[1]!'3021.TW-PreClose'</f>
        <v>13</v>
      </c>
      <c r="E3021" t="str">
        <f>[1]!'3021.TW-SimulateTime'</f>
        <v>13:29:19</v>
      </c>
      <c r="F3021">
        <f>[1]!'3021.TW-Price'</f>
        <v>12.7</v>
      </c>
    </row>
    <row r="3022" spans="1:6" x14ac:dyDescent="0.25">
      <c r="A3022" t="str">
        <f>[1]!'3022.TW-ID'</f>
        <v>3022</v>
      </c>
      <c r="B3022" t="str">
        <f>[1]!'3022.TW-Name'</f>
        <v>威強電</v>
      </c>
      <c r="C3022">
        <f>[1]!'3022.TW-SimulatePrice'</f>
        <v>40.1</v>
      </c>
      <c r="D3022">
        <f>[1]!'3022.TW-PreClose'</f>
        <v>40.9</v>
      </c>
      <c r="E3022" t="str">
        <f>[1]!'3022.TW-SimulateTime'</f>
        <v>13:29:59</v>
      </c>
      <c r="F3022">
        <f>[1]!'3022.TW-Price'</f>
        <v>40.1</v>
      </c>
    </row>
    <row r="3023" spans="1:6" x14ac:dyDescent="0.25">
      <c r="A3023" t="str">
        <f>[1]!'3023.TW-ID'</f>
        <v>3023</v>
      </c>
      <c r="B3023" t="str">
        <f>[1]!'3023.TW-Name'</f>
        <v>信邦</v>
      </c>
      <c r="C3023">
        <f>[1]!'3023.TW-SimulatePrice'</f>
        <v>142</v>
      </c>
      <c r="D3023">
        <f>[1]!'3023.TW-PreClose'</f>
        <v>141</v>
      </c>
      <c r="E3023" t="str">
        <f>[1]!'3023.TW-SimulateTime'</f>
        <v>13:29:55</v>
      </c>
      <c r="F3023">
        <f>[1]!'3023.TW-Price'</f>
        <v>142</v>
      </c>
    </row>
    <row r="3024" spans="1:6" x14ac:dyDescent="0.25">
      <c r="A3024" t="str">
        <f>[1]!'3024.TW-ID'</f>
        <v>3024</v>
      </c>
      <c r="B3024" t="str">
        <f>[1]!'3024.TW-Name'</f>
        <v>憶聲</v>
      </c>
      <c r="C3024">
        <f>[1]!'3024.TW-SimulatePrice'</f>
        <v>7.19</v>
      </c>
      <c r="D3024">
        <f>[1]!'3024.TW-PreClose'</f>
        <v>7.12</v>
      </c>
      <c r="E3024" t="str">
        <f>[1]!'3024.TW-SimulateTime'</f>
        <v>13:29:47</v>
      </c>
      <c r="F3024">
        <f>[1]!'3024.TW-Price'</f>
        <v>7.19</v>
      </c>
    </row>
    <row r="3025" spans="1:6" x14ac:dyDescent="0.25">
      <c r="A3025" t="str">
        <f>[1]!'3025.TW-ID'</f>
        <v>3025</v>
      </c>
      <c r="B3025" t="str">
        <f>[1]!'3025.TW-Name'</f>
        <v>星通</v>
      </c>
      <c r="C3025">
        <f>[1]!'3025.TW-SimulatePrice'</f>
        <v>19.45</v>
      </c>
      <c r="D3025">
        <f>[1]!'3025.TW-PreClose'</f>
        <v>19.45</v>
      </c>
      <c r="E3025" t="str">
        <f>[1]!'3025.TW-SimulateTime'</f>
        <v>13:29:12</v>
      </c>
      <c r="F3025">
        <f>[1]!'3025.TW-Price'</f>
        <v>19.45</v>
      </c>
    </row>
    <row r="3026" spans="1:6" x14ac:dyDescent="0.25">
      <c r="A3026" t="str">
        <f>[1]!'3026.TW-ID'</f>
        <v>3026</v>
      </c>
      <c r="B3026" t="str">
        <f>[1]!'3026.TW-Name'</f>
        <v>禾伸堂</v>
      </c>
      <c r="C3026">
        <f>[1]!'3026.TW-SimulatePrice'</f>
        <v>127.5</v>
      </c>
      <c r="D3026">
        <f>[1]!'3026.TW-PreClose'</f>
        <v>125.5</v>
      </c>
      <c r="E3026" t="str">
        <f>[1]!'3026.TW-SimulateTime'</f>
        <v>13:29:59</v>
      </c>
      <c r="F3026">
        <f>[1]!'3026.TW-Price'</f>
        <v>127.5</v>
      </c>
    </row>
    <row r="3027" spans="1:6" x14ac:dyDescent="0.25">
      <c r="A3027" t="str">
        <f>[1]!'3027.TW-ID'</f>
        <v>3027</v>
      </c>
      <c r="B3027" t="str">
        <f>[1]!'3027.TW-Name'</f>
        <v>盛達</v>
      </c>
      <c r="C3027">
        <f>[1]!'3027.TW-SimulatePrice'</f>
        <v>8.0299999999999994</v>
      </c>
      <c r="D3027">
        <f>[1]!'3027.TW-PreClose'</f>
        <v>8.09</v>
      </c>
      <c r="E3027" t="str">
        <f>[1]!'3027.TW-SimulateTime'</f>
        <v>13:29:58</v>
      </c>
      <c r="F3027">
        <f>[1]!'3027.TW-Price'</f>
        <v>8.0299999999999994</v>
      </c>
    </row>
    <row r="3028" spans="1:6" x14ac:dyDescent="0.25">
      <c r="A3028" t="str">
        <f>[1]!'3028.TW-ID'</f>
        <v>3028</v>
      </c>
      <c r="B3028" t="str">
        <f>[1]!'3028.TW-Name'</f>
        <v>增你強</v>
      </c>
      <c r="C3028">
        <f>[1]!'3028.TW-SimulatePrice'</f>
        <v>18.95</v>
      </c>
      <c r="D3028">
        <f>[1]!'3028.TW-PreClose'</f>
        <v>19.2</v>
      </c>
      <c r="E3028" t="str">
        <f>[1]!'3028.TW-SimulateTime'</f>
        <v>13:29:47</v>
      </c>
      <c r="F3028">
        <f>[1]!'3028.TW-Price'</f>
        <v>18.95</v>
      </c>
    </row>
    <row r="3029" spans="1:6" x14ac:dyDescent="0.25">
      <c r="A3029" t="str">
        <f>[1]!'3029.TW-ID'</f>
        <v>3029</v>
      </c>
      <c r="B3029" t="str">
        <f>[1]!'3029.TW-Name'</f>
        <v>零壹</v>
      </c>
      <c r="C3029">
        <f>[1]!'3029.TW-SimulatePrice'</f>
        <v>31.8</v>
      </c>
      <c r="D3029">
        <f>[1]!'3029.TW-PreClose'</f>
        <v>31.8</v>
      </c>
      <c r="E3029" t="str">
        <f>[1]!'3029.TW-SimulateTime'</f>
        <v>13:29:44</v>
      </c>
      <c r="F3029">
        <f>[1]!'3029.TW-Price'</f>
        <v>31.8</v>
      </c>
    </row>
    <row r="3030" spans="1:6" x14ac:dyDescent="0.25">
      <c r="A3030" t="str">
        <f>[1]!'3030.TW-ID'</f>
        <v>3030</v>
      </c>
      <c r="B3030" t="str">
        <f>[1]!'3030.TW-Name'</f>
        <v>德律</v>
      </c>
      <c r="C3030">
        <f>[1]!'3030.TW-SimulatePrice'</f>
        <v>53.6</v>
      </c>
      <c r="D3030">
        <f>[1]!'3030.TW-PreClose'</f>
        <v>54</v>
      </c>
      <c r="E3030" t="str">
        <f>[1]!'3030.TW-SimulateTime'</f>
        <v>13:29:45</v>
      </c>
      <c r="F3030">
        <f>[1]!'3030.TW-Price'</f>
        <v>53.6</v>
      </c>
    </row>
    <row r="3031" spans="1:6" x14ac:dyDescent="0.25">
      <c r="A3031" t="str">
        <f>[1]!'3031.TW-ID'</f>
        <v>3031</v>
      </c>
      <c r="B3031" t="str">
        <f>[1]!'3031.TW-Name'</f>
        <v>佰鴻</v>
      </c>
      <c r="C3031">
        <f>[1]!'3031.TW-SimulatePrice'</f>
        <v>14.5</v>
      </c>
      <c r="D3031">
        <f>[1]!'3031.TW-PreClose'</f>
        <v>14.25</v>
      </c>
      <c r="E3031" t="str">
        <f>[1]!'3031.TW-SimulateTime'</f>
        <v>13:29:55</v>
      </c>
      <c r="F3031">
        <f>[1]!'3031.TW-Price'</f>
        <v>14.5</v>
      </c>
    </row>
    <row r="3032" spans="1:6" x14ac:dyDescent="0.25">
      <c r="A3032" t="str">
        <f>[1]!'3032.TW-ID'</f>
        <v>3032</v>
      </c>
      <c r="B3032" t="str">
        <f>[1]!'3032.TW-Name'</f>
        <v>偉訓</v>
      </c>
      <c r="C3032" t="str">
        <f>[1]!'3032.TW-SimulatePrice'</f>
        <v>--</v>
      </c>
      <c r="D3032">
        <f>[1]!'3032.TW-PreClose'</f>
        <v>28.5</v>
      </c>
      <c r="E3032" t="str">
        <f>[1]!'3032.TW-SimulateTime'</f>
        <v>--</v>
      </c>
      <c r="F3032">
        <f>[1]!'3032.TW-Price'</f>
        <v>28.35</v>
      </c>
    </row>
    <row r="3033" spans="1:6" x14ac:dyDescent="0.25">
      <c r="A3033" t="str">
        <f>[1]!'3033.TW-ID'</f>
        <v>3033</v>
      </c>
      <c r="B3033" t="str">
        <f>[1]!'3033.TW-Name'</f>
        <v>威健</v>
      </c>
      <c r="C3033">
        <f>[1]!'3033.TW-SimulatePrice'</f>
        <v>14.65</v>
      </c>
      <c r="D3033">
        <f>[1]!'3033.TW-PreClose'</f>
        <v>14.75</v>
      </c>
      <c r="E3033" t="str">
        <f>[1]!'3033.TW-SimulateTime'</f>
        <v>13:29:06</v>
      </c>
      <c r="F3033">
        <f>[1]!'3033.TW-Price'</f>
        <v>14.65</v>
      </c>
    </row>
    <row r="3034" spans="1:6" x14ac:dyDescent="0.25">
      <c r="A3034" t="str">
        <f>[1]!'3034.TW-ID'</f>
        <v>3034</v>
      </c>
      <c r="B3034" t="str">
        <f>[1]!'3034.TW-Name'</f>
        <v>聯詠</v>
      </c>
      <c r="C3034">
        <f>[1]!'3034.TW-SimulatePrice'</f>
        <v>204</v>
      </c>
      <c r="D3034">
        <f>[1]!'3034.TW-PreClose'</f>
        <v>203.5</v>
      </c>
      <c r="E3034" t="str">
        <f>[1]!'3034.TW-SimulateTime'</f>
        <v>13:29:56</v>
      </c>
      <c r="F3034">
        <f>[1]!'3034.TW-Price'</f>
        <v>204</v>
      </c>
    </row>
    <row r="3035" spans="1:6" x14ac:dyDescent="0.25">
      <c r="A3035" t="str">
        <f>[1]!'3035.TW-ID'</f>
        <v>3035</v>
      </c>
      <c r="B3035" t="str">
        <f>[1]!'3035.TW-Name'</f>
        <v>智原</v>
      </c>
      <c r="C3035">
        <f>[1]!'3035.TW-SimulatePrice'</f>
        <v>41.35</v>
      </c>
      <c r="D3035">
        <f>[1]!'3035.TW-PreClose'</f>
        <v>42.1</v>
      </c>
      <c r="E3035" t="str">
        <f>[1]!'3035.TW-SimulateTime'</f>
        <v>13:29:55</v>
      </c>
      <c r="F3035">
        <f>[1]!'3035.TW-Price'</f>
        <v>41.35</v>
      </c>
    </row>
    <row r="3036" spans="1:6" x14ac:dyDescent="0.25">
      <c r="A3036" t="str">
        <f>[1]!'3036.TW-ID'</f>
        <v>3036</v>
      </c>
      <c r="B3036" t="str">
        <f>[1]!'3036.TW-Name'</f>
        <v>文曄</v>
      </c>
      <c r="C3036">
        <f>[1]!'3036.TW-SimulatePrice'</f>
        <v>38.75</v>
      </c>
      <c r="D3036">
        <f>[1]!'3036.TW-PreClose'</f>
        <v>38.799999999999997</v>
      </c>
      <c r="E3036" t="str">
        <f>[1]!'3036.TW-SimulateTime'</f>
        <v>13:29:58</v>
      </c>
      <c r="F3036">
        <f>[1]!'3036.TW-Price'</f>
        <v>38.75</v>
      </c>
    </row>
    <row r="3037" spans="1:6" x14ac:dyDescent="0.25">
      <c r="A3037" t="str">
        <f>[1]!'3037.TW-ID'</f>
        <v>3037</v>
      </c>
      <c r="B3037" t="str">
        <f>[1]!'3037.TW-Name'</f>
        <v>欣興</v>
      </c>
      <c r="C3037">
        <f>[1]!'3037.TW-SimulatePrice'</f>
        <v>43.9</v>
      </c>
      <c r="D3037">
        <f>[1]!'3037.TW-PreClose'</f>
        <v>42.8</v>
      </c>
      <c r="E3037" t="str">
        <f>[1]!'3037.TW-SimulateTime'</f>
        <v>13:29:58</v>
      </c>
      <c r="F3037">
        <f>[1]!'3037.TW-Price'</f>
        <v>43.9</v>
      </c>
    </row>
    <row r="3038" spans="1:6" x14ac:dyDescent="0.25">
      <c r="A3038" t="str">
        <f>[1]!'3038.TW-ID'</f>
        <v>3038</v>
      </c>
      <c r="B3038" t="str">
        <f>[1]!'3038.TW-Name'</f>
        <v>全台</v>
      </c>
      <c r="C3038">
        <f>[1]!'3038.TW-SimulatePrice'</f>
        <v>19</v>
      </c>
      <c r="D3038">
        <f>[1]!'3038.TW-PreClose'</f>
        <v>18.95</v>
      </c>
      <c r="E3038" t="str">
        <f>[1]!'3038.TW-SimulateTime'</f>
        <v>13:29:57</v>
      </c>
      <c r="F3038">
        <f>[1]!'3038.TW-Price'</f>
        <v>19</v>
      </c>
    </row>
    <row r="3040" spans="1:6" x14ac:dyDescent="0.25">
      <c r="A3040" t="str">
        <f>[1]!'3040.TW-ID'</f>
        <v>3040</v>
      </c>
      <c r="B3040" t="str">
        <f>[1]!'3040.TW-Name'</f>
        <v>遠見</v>
      </c>
      <c r="C3040" t="str">
        <f>[1]!'3040.TW-SimulatePrice'</f>
        <v>--</v>
      </c>
      <c r="D3040">
        <f>[1]!'3040.TW-PreClose'</f>
        <v>33.200000000000003</v>
      </c>
      <c r="E3040" t="str">
        <f>[1]!'3040.TW-SimulateTime'</f>
        <v>--</v>
      </c>
      <c r="F3040">
        <f>[1]!'3040.TW-Price'</f>
        <v>33.15</v>
      </c>
    </row>
    <row r="3041" spans="1:6" x14ac:dyDescent="0.25">
      <c r="A3041" t="str">
        <f>[1]!'3041.TW-ID'</f>
        <v>3041</v>
      </c>
      <c r="B3041" t="str">
        <f>[1]!'3041.TW-Name'</f>
        <v>揚智</v>
      </c>
      <c r="C3041">
        <f>[1]!'3041.TW-SimulatePrice'</f>
        <v>17.05</v>
      </c>
      <c r="D3041">
        <f>[1]!'3041.TW-PreClose'</f>
        <v>16.5</v>
      </c>
      <c r="E3041" t="str">
        <f>[1]!'3041.TW-SimulateTime'</f>
        <v>13:29:57</v>
      </c>
      <c r="F3041">
        <f>[1]!'3041.TW-Price'</f>
        <v>17.05</v>
      </c>
    </row>
    <row r="3042" spans="1:6" x14ac:dyDescent="0.25">
      <c r="A3042" t="str">
        <f>[1]!'3042.TW-ID'</f>
        <v>3042</v>
      </c>
      <c r="B3042" t="str">
        <f>[1]!'3042.TW-Name'</f>
        <v>晶技</v>
      </c>
      <c r="C3042">
        <f>[1]!'3042.TW-SimulatePrice'</f>
        <v>56.7</v>
      </c>
      <c r="D3042">
        <f>[1]!'3042.TW-PreClose'</f>
        <v>55.9</v>
      </c>
      <c r="E3042" t="str">
        <f>[1]!'3042.TW-SimulateTime'</f>
        <v>13:29:55</v>
      </c>
      <c r="F3042">
        <f>[1]!'3042.TW-Price'</f>
        <v>57</v>
      </c>
    </row>
    <row r="3043" spans="1:6" x14ac:dyDescent="0.25">
      <c r="A3043" t="str">
        <f>[1]!'3043.TW-ID'</f>
        <v>3043</v>
      </c>
      <c r="B3043" t="str">
        <f>[1]!'3043.TW-Name'</f>
        <v>科風</v>
      </c>
      <c r="C3043" t="str">
        <f>[1]!'3043.TW-SimulatePrice'</f>
        <v>--</v>
      </c>
      <c r="D3043">
        <f>[1]!'3043.TW-PreClose'</f>
        <v>1.37</v>
      </c>
      <c r="E3043" t="str">
        <f>[1]!'3043.TW-SimulateTime'</f>
        <v>--</v>
      </c>
      <c r="F3043">
        <f>[1]!'3043.TW-Price'</f>
        <v>1.44</v>
      </c>
    </row>
    <row r="3044" spans="1:6" x14ac:dyDescent="0.25">
      <c r="A3044" t="str">
        <f>[1]!'3044.TW-ID'</f>
        <v>3044</v>
      </c>
      <c r="B3044" t="str">
        <f>[1]!'3044.TW-Name'</f>
        <v>健鼎</v>
      </c>
      <c r="C3044">
        <f>[1]!'3044.TW-SimulatePrice'</f>
        <v>109.5</v>
      </c>
      <c r="D3044">
        <f>[1]!'3044.TW-PreClose'</f>
        <v>110.5</v>
      </c>
      <c r="E3044" t="str">
        <f>[1]!'3044.TW-SimulateTime'</f>
        <v>13:29:58</v>
      </c>
      <c r="F3044">
        <f>[1]!'3044.TW-Price'</f>
        <v>109.5</v>
      </c>
    </row>
    <row r="3045" spans="1:6" x14ac:dyDescent="0.25">
      <c r="A3045" t="str">
        <f>[1]!'3045.TW-ID'</f>
        <v>3045</v>
      </c>
      <c r="B3045" t="str">
        <f>[1]!'3045.TW-Name'</f>
        <v>台灣大</v>
      </c>
      <c r="C3045">
        <f>[1]!'3045.TW-SimulatePrice'</f>
        <v>107.5</v>
      </c>
      <c r="D3045">
        <f>[1]!'3045.TW-PreClose'</f>
        <v>107</v>
      </c>
      <c r="E3045" t="str">
        <f>[1]!'3045.TW-SimulateTime'</f>
        <v>13:29:54</v>
      </c>
      <c r="F3045">
        <f>[1]!'3045.TW-Price'</f>
        <v>107.5</v>
      </c>
    </row>
    <row r="3046" spans="1:6" x14ac:dyDescent="0.25">
      <c r="A3046" t="str">
        <f>[1]!'3046.TW-ID'</f>
        <v>3046</v>
      </c>
      <c r="B3046" t="str">
        <f>[1]!'3046.TW-Name'</f>
        <v>建碁</v>
      </c>
      <c r="C3046">
        <f>[1]!'3046.TW-SimulatePrice'</f>
        <v>12</v>
      </c>
      <c r="D3046">
        <f>[1]!'3046.TW-PreClose'</f>
        <v>12</v>
      </c>
      <c r="E3046" t="str">
        <f>[1]!'3046.TW-SimulateTime'</f>
        <v>13:29:03</v>
      </c>
      <c r="F3046">
        <f>[1]!'3046.TW-Price'</f>
        <v>12</v>
      </c>
    </row>
    <row r="3047" spans="1:6" x14ac:dyDescent="0.25">
      <c r="A3047" t="str">
        <f>[1]!'3047.TW-ID'</f>
        <v>3047</v>
      </c>
      <c r="B3047" t="str">
        <f>[1]!'3047.TW-Name'</f>
        <v>訊舟</v>
      </c>
      <c r="C3047">
        <f>[1]!'3047.TW-SimulatePrice'</f>
        <v>7.92</v>
      </c>
      <c r="D3047">
        <f>[1]!'3047.TW-PreClose'</f>
        <v>8.1199999999999992</v>
      </c>
      <c r="E3047" t="str">
        <f>[1]!'3047.TW-SimulateTime'</f>
        <v>13:29:52</v>
      </c>
      <c r="F3047">
        <f>[1]!'3047.TW-Price'</f>
        <v>7.92</v>
      </c>
    </row>
    <row r="3048" spans="1:6" x14ac:dyDescent="0.25">
      <c r="A3048" t="str">
        <f>[1]!'3048.TW-ID'</f>
        <v>3048</v>
      </c>
      <c r="B3048" t="str">
        <f>[1]!'3048.TW-Name'</f>
        <v>益登</v>
      </c>
      <c r="C3048">
        <f>[1]!'3048.TW-SimulatePrice'</f>
        <v>17.149999999999999</v>
      </c>
      <c r="D3048">
        <f>[1]!'3048.TW-PreClose'</f>
        <v>17.350000000000001</v>
      </c>
      <c r="E3048" t="str">
        <f>[1]!'3048.TW-SimulateTime'</f>
        <v>13:29:38</v>
      </c>
      <c r="F3048">
        <f>[1]!'3048.TW-Price'</f>
        <v>17.149999999999999</v>
      </c>
    </row>
    <row r="3049" spans="1:6" x14ac:dyDescent="0.25">
      <c r="A3049" t="str">
        <f>[1]!'3049.TW-ID'</f>
        <v>3049</v>
      </c>
      <c r="B3049" t="str">
        <f>[1]!'3049.TW-Name'</f>
        <v>和鑫</v>
      </c>
      <c r="C3049">
        <f>[1]!'3049.TW-SimulatePrice'</f>
        <v>10</v>
      </c>
      <c r="D3049">
        <f>[1]!'3049.TW-PreClose'</f>
        <v>10.050000000000001</v>
      </c>
      <c r="E3049" t="str">
        <f>[1]!'3049.TW-SimulateTime'</f>
        <v>13:29:58</v>
      </c>
      <c r="F3049">
        <f>[1]!'3049.TW-Price'</f>
        <v>10</v>
      </c>
    </row>
    <row r="3050" spans="1:6" x14ac:dyDescent="0.25">
      <c r="A3050" t="str">
        <f>[1]!'3050.TW-ID'</f>
        <v>3050</v>
      </c>
      <c r="B3050" t="str">
        <f>[1]!'3050.TW-Name'</f>
        <v>鈺德</v>
      </c>
      <c r="C3050">
        <f>[1]!'3050.TW-SimulatePrice'</f>
        <v>9.7799999999999994</v>
      </c>
      <c r="D3050">
        <f>[1]!'3050.TW-PreClose'</f>
        <v>10.199999999999999</v>
      </c>
      <c r="E3050" t="str">
        <f>[1]!'3050.TW-SimulateTime'</f>
        <v>13:29:47</v>
      </c>
      <c r="F3050">
        <f>[1]!'3050.TW-Price'</f>
        <v>9.7799999999999994</v>
      </c>
    </row>
    <row r="3051" spans="1:6" x14ac:dyDescent="0.25">
      <c r="A3051" t="str">
        <f>[1]!'3051.TW-ID'</f>
        <v>3051</v>
      </c>
      <c r="B3051" t="str">
        <f>[1]!'3051.TW-Name'</f>
        <v>力特</v>
      </c>
      <c r="C3051">
        <f>[1]!'3051.TW-SimulatePrice'</f>
        <v>3.16</v>
      </c>
      <c r="D3051">
        <f>[1]!'3051.TW-PreClose'</f>
        <v>3.11</v>
      </c>
      <c r="E3051" t="str">
        <f>[1]!'3051.TW-SimulateTime'</f>
        <v>13:29:49</v>
      </c>
      <c r="F3051">
        <f>[1]!'3051.TW-Price'</f>
        <v>3.16</v>
      </c>
    </row>
    <row r="3052" spans="1:6" x14ac:dyDescent="0.25">
      <c r="A3052" t="str">
        <f>[1]!'3052.TW-ID'</f>
        <v>3052</v>
      </c>
      <c r="B3052" t="str">
        <f>[1]!'3052.TW-Name'</f>
        <v>夆典</v>
      </c>
      <c r="C3052">
        <f>[1]!'3052.TW-SimulatePrice'</f>
        <v>10.4</v>
      </c>
      <c r="D3052">
        <f>[1]!'3052.TW-PreClose'</f>
        <v>10.5</v>
      </c>
      <c r="E3052" t="str">
        <f>[1]!'3052.TW-SimulateTime'</f>
        <v>13:29:59</v>
      </c>
      <c r="F3052">
        <f>[1]!'3052.TW-Price'</f>
        <v>10.4</v>
      </c>
    </row>
    <row r="3054" spans="1:6" x14ac:dyDescent="0.25">
      <c r="A3054" t="str">
        <f>[1]!'3054.TW-ID'</f>
        <v>3054</v>
      </c>
      <c r="B3054" t="str">
        <f>[1]!'3054.TW-Name'</f>
        <v>立萬利</v>
      </c>
      <c r="C3054" t="str">
        <f>[1]!'3054.TW-SimulatePrice'</f>
        <v>--</v>
      </c>
      <c r="D3054">
        <f>[1]!'3054.TW-PreClose'</f>
        <v>23.75</v>
      </c>
      <c r="E3054" t="str">
        <f>[1]!'3054.TW-SimulateTime'</f>
        <v>--</v>
      </c>
      <c r="F3054">
        <f>[1]!'3054.TW-Price'</f>
        <v>23.85</v>
      </c>
    </row>
    <row r="3055" spans="1:6" x14ac:dyDescent="0.25">
      <c r="A3055" t="str">
        <f>[1]!'3055.TW-ID'</f>
        <v>3055</v>
      </c>
      <c r="B3055" t="str">
        <f>[1]!'3055.TW-Name'</f>
        <v>蔚華科</v>
      </c>
      <c r="C3055">
        <f>[1]!'3055.TW-SimulatePrice'</f>
        <v>27.5</v>
      </c>
      <c r="D3055">
        <f>[1]!'3055.TW-PreClose'</f>
        <v>27.65</v>
      </c>
      <c r="E3055" t="str">
        <f>[1]!'3055.TW-SimulateTime'</f>
        <v>13:29:26</v>
      </c>
      <c r="F3055">
        <f>[1]!'3055.TW-Price'</f>
        <v>27.5</v>
      </c>
    </row>
    <row r="3056" spans="1:6" x14ac:dyDescent="0.25">
      <c r="A3056" t="str">
        <f>[1]!'3056.TW-ID'</f>
        <v>3056</v>
      </c>
      <c r="B3056" t="str">
        <f>[1]!'3056.TW-Name'</f>
        <v>總太</v>
      </c>
      <c r="C3056">
        <f>[1]!'3056.TW-SimulatePrice'</f>
        <v>31.45</v>
      </c>
      <c r="D3056">
        <f>[1]!'3056.TW-PreClose'</f>
        <v>31.45</v>
      </c>
      <c r="E3056" t="str">
        <f>[1]!'3056.TW-SimulateTime'</f>
        <v>13:29:57</v>
      </c>
      <c r="F3056">
        <f>[1]!'3056.TW-Price'</f>
        <v>31.45</v>
      </c>
    </row>
    <row r="3057" spans="1:6" x14ac:dyDescent="0.25">
      <c r="A3057" t="str">
        <f>[1]!'3057.TW-ID'</f>
        <v>3057</v>
      </c>
      <c r="B3057" t="str">
        <f>[1]!'3057.TW-Name'</f>
        <v>喬鼎</v>
      </c>
      <c r="C3057">
        <f>[1]!'3057.TW-SimulatePrice'</f>
        <v>4.55</v>
      </c>
      <c r="D3057">
        <f>[1]!'3057.TW-PreClose'</f>
        <v>4.51</v>
      </c>
      <c r="E3057" t="str">
        <f>[1]!'3057.TW-SimulateTime'</f>
        <v>13:29:50</v>
      </c>
      <c r="F3057">
        <f>[1]!'3057.TW-Price'</f>
        <v>4.55</v>
      </c>
    </row>
    <row r="3058" spans="1:6" x14ac:dyDescent="0.25">
      <c r="A3058" t="str">
        <f>[1]!'3058.TW-ID'</f>
        <v>3058</v>
      </c>
      <c r="B3058" t="str">
        <f>[1]!'3058.TW-Name'</f>
        <v>立德</v>
      </c>
      <c r="C3058">
        <f>[1]!'3058.TW-SimulatePrice'</f>
        <v>6.7</v>
      </c>
      <c r="D3058">
        <f>[1]!'3058.TW-PreClose'</f>
        <v>6.88</v>
      </c>
      <c r="E3058" t="str">
        <f>[1]!'3058.TW-SimulateTime'</f>
        <v>13:29:59</v>
      </c>
      <c r="F3058">
        <f>[1]!'3058.TW-Price'</f>
        <v>6.7</v>
      </c>
    </row>
    <row r="3059" spans="1:6" x14ac:dyDescent="0.25">
      <c r="A3059" t="str">
        <f>[1]!'3059.TW-ID'</f>
        <v>3059</v>
      </c>
      <c r="B3059" t="str">
        <f>[1]!'3059.TW-Name'</f>
        <v>華晶科</v>
      </c>
      <c r="C3059">
        <f>[1]!'3059.TW-SimulatePrice'</f>
        <v>21.55</v>
      </c>
      <c r="D3059">
        <f>[1]!'3059.TW-PreClose'</f>
        <v>21.8</v>
      </c>
      <c r="E3059" t="str">
        <f>[1]!'3059.TW-SimulateTime'</f>
        <v>13:29:49</v>
      </c>
      <c r="F3059">
        <f>[1]!'3059.TW-Price'</f>
        <v>21.55</v>
      </c>
    </row>
    <row r="3060" spans="1:6" x14ac:dyDescent="0.25">
      <c r="A3060" t="str">
        <f>[1]!'3060.TW-ID'</f>
        <v>3060</v>
      </c>
      <c r="B3060" t="str">
        <f>[1]!'3060.TW-Name'</f>
        <v>銘異</v>
      </c>
      <c r="C3060">
        <f>[1]!'3060.TW-SimulatePrice'</f>
        <v>12.9</v>
      </c>
      <c r="D3060">
        <f>[1]!'3060.TW-PreClose'</f>
        <v>13.1</v>
      </c>
      <c r="E3060" t="str">
        <f>[1]!'3060.TW-SimulateTime'</f>
        <v>13:29:53</v>
      </c>
      <c r="F3060">
        <f>[1]!'3060.TW-Price'</f>
        <v>12.9</v>
      </c>
    </row>
    <row r="3062" spans="1:6" x14ac:dyDescent="0.25">
      <c r="A3062" t="str">
        <f>[1]!'3062.TW-ID'</f>
        <v>3062</v>
      </c>
      <c r="B3062" t="str">
        <f>[1]!'3062.TW-Name'</f>
        <v>建漢</v>
      </c>
      <c r="C3062">
        <f>[1]!'3062.TW-SimulatePrice'</f>
        <v>14.6</v>
      </c>
      <c r="D3062">
        <f>[1]!'3062.TW-PreClose'</f>
        <v>14.8</v>
      </c>
      <c r="E3062" t="str">
        <f>[1]!'3062.TW-SimulateTime'</f>
        <v>13:29:50</v>
      </c>
      <c r="F3062">
        <f>[1]!'3062.TW-Price'</f>
        <v>14.6</v>
      </c>
    </row>
    <row r="3090" spans="1:6" x14ac:dyDescent="0.25">
      <c r="A3090" t="str">
        <f>[1]!'3090.TW-ID'</f>
        <v>3090</v>
      </c>
      <c r="B3090" t="str">
        <f>[1]!'3090.TW-Name'</f>
        <v>日電貿</v>
      </c>
      <c r="C3090">
        <f>[1]!'3090.TW-SimulatePrice'</f>
        <v>52.9</v>
      </c>
      <c r="D3090">
        <f>[1]!'3090.TW-PreClose'</f>
        <v>51.9</v>
      </c>
      <c r="E3090" t="str">
        <f>[1]!'3090.TW-SimulateTime'</f>
        <v>13:29:59</v>
      </c>
      <c r="F3090">
        <f>[1]!'3090.TW-Price'</f>
        <v>52.9</v>
      </c>
    </row>
    <row r="3094" spans="1:6" x14ac:dyDescent="0.25">
      <c r="A3094" t="str">
        <f>[1]!'3094.TW-ID'</f>
        <v>3094</v>
      </c>
      <c r="B3094" t="str">
        <f>[1]!'3094.TW-Name'</f>
        <v>聯傑</v>
      </c>
      <c r="C3094">
        <f>[1]!'3094.TW-SimulatePrice'</f>
        <v>17.7</v>
      </c>
      <c r="D3094">
        <f>[1]!'3094.TW-PreClose'</f>
        <v>17.600000000000001</v>
      </c>
      <c r="E3094" t="str">
        <f>[1]!'3094.TW-SimulateTime'</f>
        <v>13:29:59</v>
      </c>
      <c r="F3094">
        <f>[1]!'3094.TW-Price'</f>
        <v>17.7</v>
      </c>
    </row>
    <row r="3130" spans="1:6" x14ac:dyDescent="0.25">
      <c r="A3130" t="str">
        <f>[1]!'3130.TW-ID'</f>
        <v>3130</v>
      </c>
      <c r="B3130" t="str">
        <f>[1]!'3130.TW-Name'</f>
        <v>一零四</v>
      </c>
      <c r="C3130" t="str">
        <f>[1]!'3130.TW-SimulatePrice'</f>
        <v>--</v>
      </c>
      <c r="D3130">
        <f>[1]!'3130.TW-PreClose'</f>
        <v>152</v>
      </c>
      <c r="E3130" t="str">
        <f>[1]!'3130.TW-SimulateTime'</f>
        <v>--</v>
      </c>
      <c r="F3130">
        <f>[1]!'3130.TW-Price'</f>
        <v>152.5</v>
      </c>
    </row>
    <row r="3149" spans="1:6" x14ac:dyDescent="0.25">
      <c r="A3149" t="str">
        <f>[1]!'3149.TW-ID'</f>
        <v>3149</v>
      </c>
      <c r="B3149" t="str">
        <f>[1]!'3149.TW-Name'</f>
        <v>正達</v>
      </c>
      <c r="C3149">
        <f>[1]!'3149.TW-SimulatePrice'</f>
        <v>7.11</v>
      </c>
      <c r="D3149">
        <f>[1]!'3149.TW-PreClose'</f>
        <v>7.64</v>
      </c>
      <c r="E3149" t="str">
        <f>[1]!'3149.TW-SimulateTime'</f>
        <v>13:29:58</v>
      </c>
      <c r="F3149">
        <f>[1]!'3149.TW-Price'</f>
        <v>7.11</v>
      </c>
    </row>
    <row r="3164" spans="1:6" x14ac:dyDescent="0.25">
      <c r="A3164" t="str">
        <f>[1]!'3164.TW-ID'</f>
        <v>3164</v>
      </c>
      <c r="B3164" t="str">
        <f>[1]!'3164.TW-Name'</f>
        <v>景岳</v>
      </c>
      <c r="C3164" t="str">
        <f>[1]!'3164.TW-SimulatePrice'</f>
        <v>--</v>
      </c>
      <c r="D3164">
        <f>[1]!'3164.TW-PreClose'</f>
        <v>23.8</v>
      </c>
      <c r="E3164" t="str">
        <f>[1]!'3164.TW-SimulateTime'</f>
        <v>--</v>
      </c>
      <c r="F3164">
        <f>[1]!'3164.TW-Price'</f>
        <v>23.95</v>
      </c>
    </row>
    <row r="3167" spans="1:6" x14ac:dyDescent="0.25">
      <c r="A3167" t="str">
        <f>[1]!'3167.TW-ID'</f>
        <v>3167</v>
      </c>
      <c r="B3167" t="str">
        <f>[1]!'3167.TW-Name'</f>
        <v>大量</v>
      </c>
      <c r="C3167">
        <f>[1]!'3167.TW-SimulatePrice'</f>
        <v>43.05</v>
      </c>
      <c r="D3167">
        <f>[1]!'3167.TW-PreClose'</f>
        <v>42.55</v>
      </c>
      <c r="E3167" t="str">
        <f>[1]!'3167.TW-SimulateTime'</f>
        <v>13:27:54</v>
      </c>
      <c r="F3167">
        <f>[1]!'3167.TW-Price'</f>
        <v>43.05</v>
      </c>
    </row>
    <row r="3189" spans="1:6" x14ac:dyDescent="0.25">
      <c r="A3189" t="str">
        <f>[1]!'3189.TW-ID'</f>
        <v>3189</v>
      </c>
      <c r="B3189" t="str">
        <f>[1]!'3189.TW-Name'</f>
        <v>景碩</v>
      </c>
      <c r="C3189">
        <f>[1]!'3189.TW-SimulatePrice'</f>
        <v>50.7</v>
      </c>
      <c r="D3189">
        <f>[1]!'3189.TW-PreClose'</f>
        <v>51</v>
      </c>
      <c r="E3189" t="str">
        <f>[1]!'3189.TW-SimulateTime'</f>
        <v>13:29:55</v>
      </c>
      <c r="F3189">
        <f>[1]!'3189.TW-Price'</f>
        <v>50.7</v>
      </c>
    </row>
    <row r="3209" spans="1:6" x14ac:dyDescent="0.25">
      <c r="A3209" t="str">
        <f>[1]!'3209.TW-ID'</f>
        <v>3209</v>
      </c>
      <c r="B3209" t="str">
        <f>[1]!'3209.TW-Name'</f>
        <v>全科</v>
      </c>
      <c r="C3209">
        <f>[1]!'3209.TW-SimulatePrice'</f>
        <v>20.05</v>
      </c>
      <c r="D3209">
        <f>[1]!'3209.TW-PreClose'</f>
        <v>19.75</v>
      </c>
      <c r="E3209" t="str">
        <f>[1]!'3209.TW-SimulateTime'</f>
        <v>13:29:59</v>
      </c>
      <c r="F3209">
        <f>[1]!'3209.TW-Price'</f>
        <v>20.05</v>
      </c>
    </row>
    <row r="3229" spans="1:6" x14ac:dyDescent="0.25">
      <c r="A3229" t="str">
        <f>[1]!'3229.TW-ID'</f>
        <v>3229</v>
      </c>
      <c r="B3229" t="str">
        <f>[1]!'3229.TW-Name'</f>
        <v>晟鈦</v>
      </c>
      <c r="C3229" t="str">
        <f>[1]!'3229.TW-SimulatePrice'</f>
        <v>--</v>
      </c>
      <c r="D3229">
        <f>[1]!'3229.TW-PreClose'</f>
        <v>9.1</v>
      </c>
      <c r="E3229" t="str">
        <f>[1]!'3229.TW-SimulateTime'</f>
        <v>--</v>
      </c>
      <c r="F3229">
        <f>[1]!'3229.TW-Price'</f>
        <v>9.3000000000000007</v>
      </c>
    </row>
    <row r="3231" spans="1:6" x14ac:dyDescent="0.25">
      <c r="A3231" t="str">
        <f>[1]!'3231.TW-ID'</f>
        <v>3231</v>
      </c>
      <c r="B3231" t="str">
        <f>[1]!'3231.TW-Name'</f>
        <v>緯創</v>
      </c>
      <c r="C3231">
        <f>[1]!'3231.TW-SimulatePrice'</f>
        <v>28.15</v>
      </c>
      <c r="D3231">
        <f>[1]!'3231.TW-PreClose'</f>
        <v>27.95</v>
      </c>
      <c r="E3231" t="str">
        <f>[1]!'3231.TW-SimulateTime'</f>
        <v>13:29:55</v>
      </c>
      <c r="F3231">
        <f>[1]!'3231.TW-Price'</f>
        <v>28.1</v>
      </c>
    </row>
    <row r="3257" spans="1:6" x14ac:dyDescent="0.25">
      <c r="A3257" t="str">
        <f>[1]!'3257.TW-ID'</f>
        <v>3257</v>
      </c>
      <c r="B3257" t="str">
        <f>[1]!'3257.TW-Name'</f>
        <v>虹冠電</v>
      </c>
      <c r="C3257">
        <f>[1]!'3257.TW-SimulatePrice'</f>
        <v>60.9</v>
      </c>
      <c r="D3257">
        <f>[1]!'3257.TW-PreClose'</f>
        <v>60.3</v>
      </c>
      <c r="E3257" t="str">
        <f>[1]!'3257.TW-SimulateTime'</f>
        <v>13:29:57</v>
      </c>
      <c r="F3257">
        <f>[1]!'3257.TW-Price'</f>
        <v>60.9</v>
      </c>
    </row>
    <row r="3266" spans="1:6" x14ac:dyDescent="0.25">
      <c r="A3266" t="str">
        <f>[1]!'3266.TW-ID'</f>
        <v>3266</v>
      </c>
      <c r="B3266" t="str">
        <f>[1]!'3266.TW-Name'</f>
        <v>昇陽</v>
      </c>
      <c r="C3266">
        <f>[1]!'3266.TW-SimulatePrice'</f>
        <v>14.15</v>
      </c>
      <c r="D3266">
        <f>[1]!'3266.TW-PreClose'</f>
        <v>12.9</v>
      </c>
      <c r="E3266" t="str">
        <f>[1]!'3266.TW-SimulateTime'</f>
        <v>13:28:43</v>
      </c>
      <c r="F3266">
        <f>[1]!'3266.TW-Price'</f>
        <v>14.15</v>
      </c>
    </row>
    <row r="3296" spans="1:6" x14ac:dyDescent="0.25">
      <c r="A3296" t="str">
        <f>[1]!'3296.TW-ID'</f>
        <v>3296</v>
      </c>
      <c r="B3296" t="str">
        <f>[1]!'3296.TW-Name'</f>
        <v>勝德</v>
      </c>
      <c r="C3296">
        <f>[1]!'3296.TW-SimulatePrice'</f>
        <v>13.1</v>
      </c>
      <c r="D3296">
        <f>[1]!'3296.TW-PreClose'</f>
        <v>13.1</v>
      </c>
      <c r="E3296" t="str">
        <f>[1]!'3296.TW-SimulateTime'</f>
        <v>13:28:29</v>
      </c>
      <c r="F3296">
        <f>[1]!'3296.TW-Price'</f>
        <v>13.1</v>
      </c>
    </row>
    <row r="3305" spans="1:6" x14ac:dyDescent="0.25">
      <c r="A3305" t="str">
        <f>[1]!'3305.TW-ID'</f>
        <v>3305</v>
      </c>
      <c r="B3305" t="str">
        <f>[1]!'3305.TW-Name'</f>
        <v>昇貿</v>
      </c>
      <c r="C3305">
        <f>[1]!'3305.TW-SimulatePrice'</f>
        <v>19.5</v>
      </c>
      <c r="D3305">
        <f>[1]!'3305.TW-PreClose'</f>
        <v>19.45</v>
      </c>
      <c r="E3305" t="str">
        <f>[1]!'3305.TW-SimulateTime'</f>
        <v>13:29:59</v>
      </c>
      <c r="F3305">
        <f>[1]!'3305.TW-Price'</f>
        <v>19.5</v>
      </c>
    </row>
    <row r="3308" spans="1:6" x14ac:dyDescent="0.25">
      <c r="A3308" t="str">
        <f>[1]!'3308.TW-ID'</f>
        <v>3308</v>
      </c>
      <c r="B3308" t="str">
        <f>[1]!'3308.TW-Name'</f>
        <v>聯德</v>
      </c>
      <c r="C3308">
        <f>[1]!'3308.TW-SimulatePrice'</f>
        <v>5.48</v>
      </c>
      <c r="D3308">
        <f>[1]!'3308.TW-PreClose'</f>
        <v>4.99</v>
      </c>
      <c r="E3308" t="str">
        <f>[1]!'3308.TW-SimulateTime'</f>
        <v>13:29:49</v>
      </c>
      <c r="F3308">
        <f>[1]!'3308.TW-Price'</f>
        <v>5.48</v>
      </c>
    </row>
    <row r="3311" spans="1:6" x14ac:dyDescent="0.25">
      <c r="A3311" t="str">
        <f>[1]!'3311.TW-ID'</f>
        <v>3311</v>
      </c>
      <c r="B3311" t="str">
        <f>[1]!'3311.TW-Name'</f>
        <v>閎暉</v>
      </c>
      <c r="C3311">
        <f>[1]!'3311.TW-SimulatePrice'</f>
        <v>27.5</v>
      </c>
      <c r="D3311">
        <f>[1]!'3311.TW-PreClose'</f>
        <v>27.5</v>
      </c>
      <c r="E3311" t="str">
        <f>[1]!'3311.TW-SimulateTime'</f>
        <v>13:29:23</v>
      </c>
      <c r="F3311">
        <f>[1]!'3311.TW-Price'</f>
        <v>27.5</v>
      </c>
    </row>
    <row r="3312" spans="1:6" x14ac:dyDescent="0.25">
      <c r="A3312" t="str">
        <f>[1]!'3312.TW-ID'</f>
        <v>3312</v>
      </c>
      <c r="B3312" t="str">
        <f>[1]!'3312.TW-Name'</f>
        <v>弘憶股</v>
      </c>
      <c r="C3312">
        <f>[1]!'3312.TW-SimulatePrice'</f>
        <v>15.15</v>
      </c>
      <c r="D3312">
        <f>[1]!'3312.TW-PreClose'</f>
        <v>15</v>
      </c>
      <c r="E3312" t="str">
        <f>[1]!'3312.TW-SimulateTime'</f>
        <v>13:29:56</v>
      </c>
      <c r="F3312">
        <f>[1]!'3312.TW-Price'</f>
        <v>15.15</v>
      </c>
    </row>
    <row r="3321" spans="1:6" x14ac:dyDescent="0.25">
      <c r="A3321" t="str">
        <f>[1]!'3321.TW-ID'</f>
        <v>3321</v>
      </c>
      <c r="B3321" t="str">
        <f>[1]!'3321.TW-Name'</f>
        <v>同泰</v>
      </c>
      <c r="C3321">
        <f>[1]!'3321.TW-SimulatePrice'</f>
        <v>10.6</v>
      </c>
      <c r="D3321">
        <f>[1]!'3321.TW-PreClose'</f>
        <v>11.75</v>
      </c>
      <c r="E3321" t="str">
        <f>[1]!'3321.TW-SimulateTime'</f>
        <v>13:29:49</v>
      </c>
      <c r="F3321">
        <f>[1]!'3321.TW-Price'</f>
        <v>10.6</v>
      </c>
    </row>
    <row r="3338" spans="1:6" x14ac:dyDescent="0.25">
      <c r="A3338" t="str">
        <f>[1]!'3338.TW-ID'</f>
        <v>3338</v>
      </c>
      <c r="B3338" t="str">
        <f>[1]!'3338.TW-Name'</f>
        <v>泰碩</v>
      </c>
      <c r="C3338">
        <f>[1]!'3338.TW-SimulatePrice'</f>
        <v>90.3</v>
      </c>
      <c r="D3338">
        <f>[1]!'3338.TW-PreClose'</f>
        <v>92.6</v>
      </c>
      <c r="E3338" t="str">
        <f>[1]!'3338.TW-SimulateTime'</f>
        <v>13:29:57</v>
      </c>
      <c r="F3338">
        <f>[1]!'3338.TW-Price'</f>
        <v>90.3</v>
      </c>
    </row>
    <row r="3346" spans="1:6" x14ac:dyDescent="0.25">
      <c r="A3346" t="str">
        <f>[1]!'3346.TW-ID'</f>
        <v>3346</v>
      </c>
      <c r="B3346" t="str">
        <f>[1]!'3346.TW-Name'</f>
        <v>麗清</v>
      </c>
      <c r="C3346">
        <f>[1]!'3346.TW-SimulatePrice'</f>
        <v>25.3</v>
      </c>
      <c r="D3346">
        <f>[1]!'3346.TW-PreClose'</f>
        <v>26.35</v>
      </c>
      <c r="E3346" t="str">
        <f>[1]!'3346.TW-SimulateTime'</f>
        <v>13:29:46</v>
      </c>
      <c r="F3346">
        <f>[1]!'3346.TW-Price'</f>
        <v>25.3</v>
      </c>
    </row>
    <row r="3356" spans="1:6" x14ac:dyDescent="0.25">
      <c r="A3356" t="str">
        <f>[1]!'3356.TW-ID'</f>
        <v>3356</v>
      </c>
      <c r="B3356" t="str">
        <f>[1]!'3356.TW-Name'</f>
        <v>奇偶</v>
      </c>
      <c r="C3356">
        <f>[1]!'3356.TW-SimulatePrice'</f>
        <v>22.5</v>
      </c>
      <c r="D3356">
        <f>[1]!'3356.TW-PreClose'</f>
        <v>22.95</v>
      </c>
      <c r="E3356" t="str">
        <f>[1]!'3356.TW-SimulateTime'</f>
        <v>13:29:54</v>
      </c>
      <c r="F3356">
        <f>[1]!'3356.TW-Price'</f>
        <v>22.5</v>
      </c>
    </row>
    <row r="3376" spans="1:6" x14ac:dyDescent="0.25">
      <c r="A3376" t="str">
        <f>[1]!'3376.TW-ID'</f>
        <v>3376</v>
      </c>
      <c r="B3376" t="str">
        <f>[1]!'3376.TW-Name'</f>
        <v>新日興</v>
      </c>
      <c r="C3376">
        <f>[1]!'3376.TW-SimulatePrice'</f>
        <v>127.5</v>
      </c>
      <c r="D3376">
        <f>[1]!'3376.TW-PreClose'</f>
        <v>127.5</v>
      </c>
      <c r="E3376" t="str">
        <f>[1]!'3376.TW-SimulateTime'</f>
        <v>13:29:56</v>
      </c>
      <c r="F3376">
        <f>[1]!'3376.TW-Price'</f>
        <v>127.5</v>
      </c>
    </row>
    <row r="3380" spans="1:6" x14ac:dyDescent="0.25">
      <c r="A3380" t="str">
        <f>[1]!'3380.TW-ID'</f>
        <v>3380</v>
      </c>
      <c r="B3380" t="str">
        <f>[1]!'3380.TW-Name'</f>
        <v>明泰</v>
      </c>
      <c r="C3380">
        <f>[1]!'3380.TW-SimulatePrice'</f>
        <v>26</v>
      </c>
      <c r="D3380">
        <f>[1]!'3380.TW-PreClose'</f>
        <v>26</v>
      </c>
      <c r="E3380" t="str">
        <f>[1]!'3380.TW-SimulateTime'</f>
        <v>13:29:53</v>
      </c>
      <c r="F3380">
        <f>[1]!'3380.TW-Price'</f>
        <v>26</v>
      </c>
    </row>
    <row r="3383" spans="1:6" x14ac:dyDescent="0.25">
      <c r="A3383" t="str">
        <f>[1]!'3383.TW-ID'</f>
        <v>3383</v>
      </c>
      <c r="B3383" t="str">
        <f>[1]!'3383.TW-Name'</f>
        <v>新世紀</v>
      </c>
      <c r="C3383" t="str">
        <f>[1]!'3383.TW-SimulatePrice'</f>
        <v>--</v>
      </c>
      <c r="D3383">
        <f>[1]!'3383.TW-PreClose'</f>
        <v>4.54</v>
      </c>
      <c r="E3383" t="str">
        <f>[1]!'3383.TW-SimulateTime'</f>
        <v>--</v>
      </c>
      <c r="F3383">
        <f>[1]!'3383.TW-Price'</f>
        <v>4.5599999999999996</v>
      </c>
    </row>
    <row r="3406" spans="1:6" x14ac:dyDescent="0.25">
      <c r="A3406" t="str">
        <f>[1]!'3406.TW-ID'</f>
        <v>3406</v>
      </c>
      <c r="B3406" t="str">
        <f>[1]!'3406.TW-Name'</f>
        <v>玉晶光</v>
      </c>
      <c r="C3406">
        <f>[1]!'3406.TW-SimulatePrice'</f>
        <v>493</v>
      </c>
      <c r="D3406">
        <f>[1]!'3406.TW-PreClose'</f>
        <v>498.5</v>
      </c>
      <c r="E3406" t="str">
        <f>[1]!'3406.TW-SimulateTime'</f>
        <v>13:29:59</v>
      </c>
      <c r="F3406">
        <f>[1]!'3406.TW-Price'</f>
        <v>493</v>
      </c>
    </row>
    <row r="3413" spans="1:6" x14ac:dyDescent="0.25">
      <c r="A3413" t="str">
        <f>[1]!'3413.TW-ID'</f>
        <v>3413</v>
      </c>
      <c r="B3413" t="str">
        <f>[1]!'3413.TW-Name'</f>
        <v>京鼎</v>
      </c>
      <c r="C3413">
        <f>[1]!'3413.TW-SimulatePrice'</f>
        <v>166</v>
      </c>
      <c r="D3413">
        <f>[1]!'3413.TW-PreClose'</f>
        <v>167</v>
      </c>
      <c r="E3413" t="str">
        <f>[1]!'3413.TW-SimulateTime'</f>
        <v>13:29:57</v>
      </c>
      <c r="F3413">
        <f>[1]!'3413.TW-Price'</f>
        <v>166</v>
      </c>
    </row>
    <row r="3416" spans="1:6" x14ac:dyDescent="0.25">
      <c r="A3416" t="str">
        <f>[1]!'3416.TW-ID'</f>
        <v>3416</v>
      </c>
      <c r="B3416" t="str">
        <f>[1]!'3416.TW-Name'</f>
        <v>融程電</v>
      </c>
      <c r="C3416">
        <f>[1]!'3416.TW-SimulatePrice'</f>
        <v>53.6</v>
      </c>
      <c r="D3416">
        <f>[1]!'3416.TW-PreClose'</f>
        <v>52.9</v>
      </c>
      <c r="E3416" t="str">
        <f>[1]!'3416.TW-SimulateTime'</f>
        <v>13:29:55</v>
      </c>
      <c r="F3416">
        <f>[1]!'3416.TW-Price'</f>
        <v>53.7</v>
      </c>
    </row>
    <row r="3419" spans="1:6" x14ac:dyDescent="0.25">
      <c r="A3419" t="str">
        <f>[1]!'3419.TW-ID'</f>
        <v>3419</v>
      </c>
      <c r="B3419" t="str">
        <f>[1]!'3419.TW-Name'</f>
        <v>譁裕</v>
      </c>
      <c r="C3419">
        <f>[1]!'3419.TW-SimulatePrice'</f>
        <v>14</v>
      </c>
      <c r="D3419">
        <f>[1]!'3419.TW-PreClose'</f>
        <v>14.1</v>
      </c>
      <c r="E3419" t="str">
        <f>[1]!'3419.TW-SimulateTime'</f>
        <v>13:29:14</v>
      </c>
      <c r="F3419">
        <f>[1]!'3419.TW-Price'</f>
        <v>14</v>
      </c>
    </row>
    <row r="3432" spans="1:6" x14ac:dyDescent="0.25">
      <c r="A3432" t="str">
        <f>[1]!'3432.TW-ID'</f>
        <v>3432</v>
      </c>
      <c r="B3432" t="str">
        <f>[1]!'3432.TW-Name'</f>
        <v>台端</v>
      </c>
      <c r="C3432" t="str">
        <f>[1]!'3432.TW-SimulatePrice'</f>
        <v>--</v>
      </c>
      <c r="D3432">
        <f>[1]!'3432.TW-PreClose'</f>
        <v>11.1</v>
      </c>
      <c r="E3432" t="str">
        <f>[1]!'3432.TW-SimulateTime'</f>
        <v>--</v>
      </c>
      <c r="F3432">
        <f>[1]!'3432.TW-Price'</f>
        <v>11.1</v>
      </c>
    </row>
    <row r="3437" spans="1:6" x14ac:dyDescent="0.25">
      <c r="A3437" t="str">
        <f>[1]!'3437.TW-ID'</f>
        <v>3437</v>
      </c>
      <c r="B3437" t="str">
        <f>[1]!'3437.TW-Name'</f>
        <v>榮創</v>
      </c>
      <c r="C3437">
        <f>[1]!'3437.TW-SimulatePrice'</f>
        <v>18.149999999999999</v>
      </c>
      <c r="D3437">
        <f>[1]!'3437.TW-PreClose'</f>
        <v>17.95</v>
      </c>
      <c r="E3437" t="str">
        <f>[1]!'3437.TW-SimulateTime'</f>
        <v>13:29:57</v>
      </c>
      <c r="F3437">
        <f>[1]!'3437.TW-Price'</f>
        <v>18.149999999999999</v>
      </c>
    </row>
    <row r="3443" spans="1:6" x14ac:dyDescent="0.25">
      <c r="A3443" t="str">
        <f>[1]!'3443.TW-ID'</f>
        <v>3443</v>
      </c>
      <c r="B3443" t="str">
        <f>[1]!'3443.TW-Name'</f>
        <v>創意</v>
      </c>
      <c r="C3443">
        <f>[1]!'3443.TW-SimulatePrice'</f>
        <v>216</v>
      </c>
      <c r="D3443">
        <f>[1]!'3443.TW-PreClose'</f>
        <v>217.5</v>
      </c>
      <c r="E3443" t="str">
        <f>[1]!'3443.TW-SimulateTime'</f>
        <v>13:29:58</v>
      </c>
      <c r="F3443">
        <f>[1]!'3443.TW-Price'</f>
        <v>216</v>
      </c>
    </row>
    <row r="3450" spans="1:6" x14ac:dyDescent="0.25">
      <c r="A3450" t="str">
        <f>[1]!'3450.TW-ID'</f>
        <v>3450</v>
      </c>
      <c r="B3450" t="str">
        <f>[1]!'3450.TW-Name'</f>
        <v>聯鈞</v>
      </c>
      <c r="C3450">
        <f>[1]!'3450.TW-SimulatePrice'</f>
        <v>65.2</v>
      </c>
      <c r="D3450">
        <f>[1]!'3450.TW-PreClose'</f>
        <v>67.7</v>
      </c>
      <c r="E3450" t="str">
        <f>[1]!'3450.TW-SimulateTime'</f>
        <v>13:29:57</v>
      </c>
      <c r="F3450">
        <f>[1]!'3450.TW-Price'</f>
        <v>65.2</v>
      </c>
    </row>
    <row r="3454" spans="1:6" x14ac:dyDescent="0.25">
      <c r="A3454" t="str">
        <f>[1]!'3454.TW-ID'</f>
        <v>3454</v>
      </c>
      <c r="B3454" t="str">
        <f>[1]!'3454.TW-Name'</f>
        <v>晶睿</v>
      </c>
      <c r="C3454">
        <f>[1]!'3454.TW-SimulatePrice'</f>
        <v>67.599999999999994</v>
      </c>
      <c r="D3454">
        <f>[1]!'3454.TW-PreClose'</f>
        <v>68.2</v>
      </c>
      <c r="E3454" t="str">
        <f>[1]!'3454.TW-SimulateTime'</f>
        <v>13:29:55</v>
      </c>
      <c r="F3454">
        <f>[1]!'3454.TW-Price'</f>
        <v>67.5</v>
      </c>
    </row>
    <row r="3481" spans="1:6" x14ac:dyDescent="0.25">
      <c r="A3481" t="str">
        <f>[1]!'3481.TW-ID'</f>
        <v>3481</v>
      </c>
      <c r="B3481" t="str">
        <f>[1]!'3481.TW-Name'</f>
        <v>群創</v>
      </c>
      <c r="C3481">
        <f>[1]!'3481.TW-SimulatePrice'</f>
        <v>6.22</v>
      </c>
      <c r="D3481">
        <f>[1]!'3481.TW-PreClose'</f>
        <v>6.22</v>
      </c>
      <c r="E3481" t="str">
        <f>[1]!'3481.TW-SimulateTime'</f>
        <v>13:29:55</v>
      </c>
      <c r="F3481">
        <f>[1]!'3481.TW-Price'</f>
        <v>6.22</v>
      </c>
    </row>
    <row r="3494" spans="1:6" x14ac:dyDescent="0.25">
      <c r="A3494" t="str">
        <f>[1]!'3494.TW-ID'</f>
        <v>3494</v>
      </c>
      <c r="B3494" t="str">
        <f>[1]!'3494.TW-Name'</f>
        <v>誠研</v>
      </c>
      <c r="C3494">
        <f>[1]!'3494.TW-SimulatePrice'</f>
        <v>3.46</v>
      </c>
      <c r="D3494">
        <f>[1]!'3494.TW-PreClose'</f>
        <v>3.56</v>
      </c>
      <c r="E3494" t="str">
        <f>[1]!'3494.TW-SimulateTime'</f>
        <v>13:29:26</v>
      </c>
      <c r="F3494">
        <f>[1]!'3494.TW-Price'</f>
        <v>3.46</v>
      </c>
    </row>
    <row r="3501" spans="1:6" x14ac:dyDescent="0.25">
      <c r="A3501" t="str">
        <f>[1]!'3501.TW-ID'</f>
        <v>3501</v>
      </c>
      <c r="B3501" t="str">
        <f>[1]!'3501.TW-Name'</f>
        <v>維熹</v>
      </c>
      <c r="C3501">
        <f>[1]!'3501.TW-SimulatePrice'</f>
        <v>44.7</v>
      </c>
      <c r="D3501">
        <f>[1]!'3501.TW-PreClose'</f>
        <v>44.65</v>
      </c>
      <c r="E3501" t="str">
        <f>[1]!'3501.TW-SimulateTime'</f>
        <v>13:29:43</v>
      </c>
      <c r="F3501">
        <f>[1]!'3501.TW-Price'</f>
        <v>44.7</v>
      </c>
    </row>
    <row r="3504" spans="1:6" x14ac:dyDescent="0.25">
      <c r="A3504" t="str">
        <f>[1]!'3504.TW-ID'</f>
        <v>3504</v>
      </c>
      <c r="B3504" t="str">
        <f>[1]!'3504.TW-Name'</f>
        <v>揚明光</v>
      </c>
      <c r="C3504">
        <f>[1]!'3504.TW-SimulatePrice'</f>
        <v>59</v>
      </c>
      <c r="D3504">
        <f>[1]!'3504.TW-PreClose'</f>
        <v>59.3</v>
      </c>
      <c r="E3504" t="str">
        <f>[1]!'3504.TW-SimulateTime'</f>
        <v>13:29:42</v>
      </c>
      <c r="F3504">
        <f>[1]!'3504.TW-Price'</f>
        <v>59</v>
      </c>
    </row>
    <row r="3515" spans="1:6" x14ac:dyDescent="0.25">
      <c r="A3515" t="str">
        <f>[1]!'3515.TW-ID'</f>
        <v>3515</v>
      </c>
      <c r="B3515" t="str">
        <f>[1]!'3515.TW-Name'</f>
        <v>華擎</v>
      </c>
      <c r="C3515">
        <f>[1]!'3515.TW-SimulatePrice'</f>
        <v>128.5</v>
      </c>
      <c r="D3515">
        <f>[1]!'3515.TW-PreClose'</f>
        <v>128</v>
      </c>
      <c r="E3515" t="str">
        <f>[1]!'3515.TW-SimulateTime'</f>
        <v>13:29:59</v>
      </c>
      <c r="F3515">
        <f>[1]!'3515.TW-Price'</f>
        <v>128.5</v>
      </c>
    </row>
    <row r="3518" spans="1:6" x14ac:dyDescent="0.25">
      <c r="A3518" t="str">
        <f>[1]!'3518.TW-ID'</f>
        <v>3518</v>
      </c>
      <c r="B3518" t="str">
        <f>[1]!'3518.TW-Name'</f>
        <v>柏騰</v>
      </c>
      <c r="C3518">
        <f>[1]!'3518.TW-SimulatePrice'</f>
        <v>34.299999999999997</v>
      </c>
      <c r="D3518">
        <f>[1]!'3518.TW-PreClose'</f>
        <v>34.15</v>
      </c>
      <c r="E3518" t="str">
        <f>[1]!'3518.TW-SimulateTime'</f>
        <v>13:29:58</v>
      </c>
      <c r="F3518">
        <f>[1]!'3518.TW-Price'</f>
        <v>34.299999999999997</v>
      </c>
    </row>
    <row r="3528" spans="1:6" x14ac:dyDescent="0.25">
      <c r="A3528" t="str">
        <f>[1]!'3528.TW-ID'</f>
        <v>3528</v>
      </c>
      <c r="B3528" t="str">
        <f>[1]!'3528.TW-Name'</f>
        <v>安馳</v>
      </c>
      <c r="C3528">
        <f>[1]!'3528.TW-SimulatePrice'</f>
        <v>38.25</v>
      </c>
      <c r="D3528">
        <f>[1]!'3528.TW-PreClose'</f>
        <v>38.299999999999997</v>
      </c>
      <c r="E3528" t="str">
        <f>[1]!'3528.TW-SimulateTime'</f>
        <v>13:29:12</v>
      </c>
      <c r="F3528">
        <f>[1]!'3528.TW-Price'</f>
        <v>38.25</v>
      </c>
    </row>
    <row r="3530" spans="1:6" x14ac:dyDescent="0.25">
      <c r="A3530" t="str">
        <f>[1]!'3530.TW-ID'</f>
        <v>3530</v>
      </c>
      <c r="B3530" t="str">
        <f>[1]!'3530.TW-Name'</f>
        <v>晶相光</v>
      </c>
      <c r="C3530">
        <f>[1]!'3530.TW-SimulatePrice'</f>
        <v>80</v>
      </c>
      <c r="D3530">
        <f>[1]!'3530.TW-PreClose'</f>
        <v>81.2</v>
      </c>
      <c r="E3530" t="str">
        <f>[1]!'3530.TW-SimulateTime'</f>
        <v>13:29:45</v>
      </c>
      <c r="F3530">
        <f>[1]!'3530.TW-Price'</f>
        <v>80</v>
      </c>
    </row>
    <row r="3532" spans="1:6" x14ac:dyDescent="0.25">
      <c r="A3532" t="str">
        <f>[1]!'3532.TW-ID'</f>
        <v>3532</v>
      </c>
      <c r="B3532" t="str">
        <f>[1]!'3532.TW-Name'</f>
        <v>台勝科</v>
      </c>
      <c r="C3532">
        <f>[1]!'3532.TW-SimulatePrice'</f>
        <v>152</v>
      </c>
      <c r="D3532">
        <f>[1]!'3532.TW-PreClose'</f>
        <v>156</v>
      </c>
      <c r="E3532" t="str">
        <f>[1]!'3532.TW-SimulateTime'</f>
        <v>13:29:58</v>
      </c>
      <c r="F3532">
        <f>[1]!'3532.TW-Price'</f>
        <v>152</v>
      </c>
    </row>
    <row r="3533" spans="1:6" x14ac:dyDescent="0.25">
      <c r="A3533" t="str">
        <f>[1]!'3533.TW-ID'</f>
        <v>3533</v>
      </c>
      <c r="B3533" t="str">
        <f>[1]!'3533.TW-Name'</f>
        <v>嘉澤</v>
      </c>
      <c r="C3533">
        <f>[1]!'3533.TW-SimulatePrice'</f>
        <v>394.5</v>
      </c>
      <c r="D3533">
        <f>[1]!'3533.TW-PreClose'</f>
        <v>387</v>
      </c>
      <c r="E3533" t="str">
        <f>[1]!'3533.TW-SimulateTime'</f>
        <v>13:29:58</v>
      </c>
      <c r="F3533">
        <f>[1]!'3533.TW-Price'</f>
        <v>394.5</v>
      </c>
    </row>
    <row r="3535" spans="1:6" x14ac:dyDescent="0.25">
      <c r="A3535" t="str">
        <f>[1]!'3535.TW-ID'</f>
        <v>3535</v>
      </c>
      <c r="B3535" t="str">
        <f>[1]!'3535.TW-Name'</f>
        <v>晶彩科</v>
      </c>
      <c r="C3535">
        <f>[1]!'3535.TW-SimulatePrice'</f>
        <v>15.2</v>
      </c>
      <c r="D3535">
        <f>[1]!'3535.TW-PreClose'</f>
        <v>15.4</v>
      </c>
      <c r="E3535" t="str">
        <f>[1]!'3535.TW-SimulateTime'</f>
        <v>13:29:33</v>
      </c>
      <c r="F3535">
        <f>[1]!'3535.TW-Price'</f>
        <v>15.2</v>
      </c>
    </row>
    <row r="3536" spans="1:6" x14ac:dyDescent="0.25">
      <c r="A3536" t="str">
        <f>[1]!'3536.TW-ID'</f>
        <v>3536</v>
      </c>
      <c r="B3536" t="str">
        <f>[1]!'3536.TW-Name'</f>
        <v>誠創</v>
      </c>
      <c r="C3536" t="str">
        <f>[1]!'3536.TW-SimulatePrice'</f>
        <v>--</v>
      </c>
      <c r="D3536">
        <f>[1]!'3536.TW-PreClose'</f>
        <v>2.91</v>
      </c>
      <c r="E3536" t="str">
        <f>[1]!'3536.TW-SimulateTime'</f>
        <v>--</v>
      </c>
      <c r="F3536">
        <f>[1]!'3536.TW-Price'</f>
        <v>2.94</v>
      </c>
    </row>
    <row r="3543" spans="1:6" x14ac:dyDescent="0.25">
      <c r="A3543" t="str">
        <f>[1]!'3543.TW-ID'</f>
        <v>3543</v>
      </c>
      <c r="B3543" t="str">
        <f>[1]!'3543.TW-Name'</f>
        <v>州巧</v>
      </c>
      <c r="C3543">
        <f>[1]!'3543.TW-SimulatePrice'</f>
        <v>17.25</v>
      </c>
      <c r="D3543">
        <f>[1]!'3543.TW-PreClose'</f>
        <v>17.25</v>
      </c>
      <c r="E3543" t="str">
        <f>[1]!'3543.TW-SimulateTime'</f>
        <v>13:29:55</v>
      </c>
      <c r="F3543">
        <f>[1]!'3543.TW-Price'</f>
        <v>17.25</v>
      </c>
    </row>
    <row r="3545" spans="1:6" x14ac:dyDescent="0.25">
      <c r="A3545" t="str">
        <f>[1]!'3545.TW-ID'</f>
        <v>3545</v>
      </c>
      <c r="B3545" t="str">
        <f>[1]!'3545.TW-Name'</f>
        <v>敦泰</v>
      </c>
      <c r="C3545">
        <f>[1]!'3545.TW-SimulatePrice'</f>
        <v>31.2</v>
      </c>
      <c r="D3545">
        <f>[1]!'3545.TW-PreClose'</f>
        <v>31.15</v>
      </c>
      <c r="E3545" t="str">
        <f>[1]!'3545.TW-SimulateTime'</f>
        <v>13:29:59</v>
      </c>
      <c r="F3545">
        <f>[1]!'3545.TW-Price'</f>
        <v>31.2</v>
      </c>
    </row>
    <row r="3550" spans="1:6" x14ac:dyDescent="0.25">
      <c r="A3550" t="str">
        <f>[1]!'3550.TW-ID'</f>
        <v>3550</v>
      </c>
      <c r="B3550" t="str">
        <f>[1]!'3550.TW-Name'</f>
        <v>聯穎</v>
      </c>
      <c r="C3550">
        <f>[1]!'3550.TW-SimulatePrice'</f>
        <v>12.2</v>
      </c>
      <c r="D3550">
        <f>[1]!'3550.TW-PreClose'</f>
        <v>12.35</v>
      </c>
      <c r="E3550" t="str">
        <f>[1]!'3550.TW-SimulateTime'</f>
        <v>13:29:11</v>
      </c>
      <c r="F3550">
        <f>[1]!'3550.TW-Price'</f>
        <v>12.2</v>
      </c>
    </row>
    <row r="3557" spans="1:6" x14ac:dyDescent="0.25">
      <c r="A3557" t="str">
        <f>[1]!'3557.TW-ID'</f>
        <v>3557</v>
      </c>
      <c r="B3557" t="str">
        <f>[1]!'3557.TW-Name'</f>
        <v>嘉威</v>
      </c>
      <c r="C3557">
        <f>[1]!'3557.TW-SimulatePrice'</f>
        <v>67.900000000000006</v>
      </c>
      <c r="D3557">
        <f>[1]!'3557.TW-PreClose'</f>
        <v>69.7</v>
      </c>
      <c r="E3557" t="str">
        <f>[1]!'3557.TW-SimulateTime'</f>
        <v>13:29:55</v>
      </c>
      <c r="F3557">
        <f>[1]!'3557.TW-Price'</f>
        <v>68</v>
      </c>
    </row>
    <row r="3563" spans="1:6" x14ac:dyDescent="0.25">
      <c r="A3563" t="str">
        <f>[1]!'3563.TW-ID'</f>
        <v>3563</v>
      </c>
      <c r="B3563" t="str">
        <f>[1]!'3563.TW-Name'</f>
        <v>牧德</v>
      </c>
      <c r="C3563">
        <f>[1]!'3563.TW-SimulatePrice'</f>
        <v>330.5</v>
      </c>
      <c r="D3563">
        <f>[1]!'3563.TW-PreClose'</f>
        <v>330</v>
      </c>
      <c r="E3563" t="str">
        <f>[1]!'3563.TW-SimulateTime'</f>
        <v>13:29:57</v>
      </c>
      <c r="F3563">
        <f>[1]!'3563.TW-Price'</f>
        <v>330.5</v>
      </c>
    </row>
    <row r="3576" spans="1:6" x14ac:dyDescent="0.25">
      <c r="A3576" t="str">
        <f>[1]!'3576.TW-ID'</f>
        <v>3576</v>
      </c>
      <c r="B3576" t="str">
        <f>[1]!'3576.TW-Name'</f>
        <v>聯合再生</v>
      </c>
      <c r="C3576">
        <f>[1]!'3576.TW-SimulatePrice'</f>
        <v>5.95</v>
      </c>
      <c r="D3576">
        <f>[1]!'3576.TW-PreClose'</f>
        <v>6.04</v>
      </c>
      <c r="E3576" t="str">
        <f>[1]!'3576.TW-SimulateTime'</f>
        <v>13:29:51</v>
      </c>
      <c r="F3576">
        <f>[1]!'3576.TW-Price'</f>
        <v>5.95</v>
      </c>
    </row>
    <row r="3583" spans="1:6" x14ac:dyDescent="0.25">
      <c r="A3583" t="str">
        <f>[1]!'3583.TW-ID'</f>
        <v>3583</v>
      </c>
      <c r="B3583" t="str">
        <f>[1]!'3583.TW-Name'</f>
        <v>辛耘</v>
      </c>
      <c r="C3583">
        <f>[1]!'3583.TW-SimulatePrice'</f>
        <v>46.05</v>
      </c>
      <c r="D3583">
        <f>[1]!'3583.TW-PreClose'</f>
        <v>47.1</v>
      </c>
      <c r="E3583" t="str">
        <f>[1]!'3583.TW-SimulateTime'</f>
        <v>13:29:25</v>
      </c>
      <c r="F3583">
        <f>[1]!'3583.TW-Price'</f>
        <v>46.05</v>
      </c>
    </row>
    <row r="3588" spans="1:6" x14ac:dyDescent="0.25">
      <c r="A3588" t="str">
        <f>[1]!'3588.TW-ID'</f>
        <v>3588</v>
      </c>
      <c r="B3588" t="str">
        <f>[1]!'3588.TW-Name'</f>
        <v>通嘉</v>
      </c>
      <c r="C3588">
        <f>[1]!'3588.TW-SimulatePrice'</f>
        <v>29.55</v>
      </c>
      <c r="D3588">
        <f>[1]!'3588.TW-PreClose'</f>
        <v>29.45</v>
      </c>
      <c r="E3588" t="str">
        <f>[1]!'3588.TW-SimulateTime'</f>
        <v>13:29:47</v>
      </c>
      <c r="F3588">
        <f>[1]!'3588.TW-Price'</f>
        <v>29.55</v>
      </c>
    </row>
    <row r="3591" spans="1:6" x14ac:dyDescent="0.25">
      <c r="A3591" t="str">
        <f>[1]!'3591.TW-ID'</f>
        <v>3591</v>
      </c>
      <c r="B3591" t="str">
        <f>[1]!'3591.TW-Name'</f>
        <v>艾笛森</v>
      </c>
      <c r="C3591">
        <f>[1]!'3591.TW-SimulatePrice'</f>
        <v>12.1</v>
      </c>
      <c r="D3591">
        <f>[1]!'3591.TW-PreClose'</f>
        <v>12.4</v>
      </c>
      <c r="E3591" t="str">
        <f>[1]!'3591.TW-SimulateTime'</f>
        <v>13:29:09</v>
      </c>
      <c r="F3591">
        <f>[1]!'3591.TW-Price'</f>
        <v>12.1</v>
      </c>
    </row>
    <row r="3593" spans="1:6" x14ac:dyDescent="0.25">
      <c r="A3593" t="str">
        <f>[1]!'3593.TW-ID'</f>
        <v>3593</v>
      </c>
      <c r="B3593" t="str">
        <f>[1]!'3593.TW-Name'</f>
        <v>力銘</v>
      </c>
      <c r="C3593">
        <f>[1]!'3593.TW-SimulatePrice'</f>
        <v>8.7899999999999991</v>
      </c>
      <c r="D3593">
        <f>[1]!'3593.TW-PreClose'</f>
        <v>8.67</v>
      </c>
      <c r="E3593" t="str">
        <f>[1]!'3593.TW-SimulateTime'</f>
        <v>13:29:40</v>
      </c>
      <c r="F3593">
        <f>[1]!'3593.TW-Price'</f>
        <v>8.7899999999999991</v>
      </c>
    </row>
    <row r="3596" spans="1:6" x14ac:dyDescent="0.25">
      <c r="A3596" t="str">
        <f>[1]!'3596.TW-ID'</f>
        <v>3596</v>
      </c>
      <c r="B3596" t="str">
        <f>[1]!'3596.TW-Name'</f>
        <v>智易</v>
      </c>
      <c r="C3596">
        <f>[1]!'3596.TW-SimulatePrice'</f>
        <v>84.7</v>
      </c>
      <c r="D3596">
        <f>[1]!'3596.TW-PreClose'</f>
        <v>85.2</v>
      </c>
      <c r="E3596" t="str">
        <f>[1]!'3596.TW-SimulateTime'</f>
        <v>13:29:52</v>
      </c>
      <c r="F3596">
        <f>[1]!'3596.TW-Price'</f>
        <v>84.7</v>
      </c>
    </row>
    <row r="3605" spans="1:6" x14ac:dyDescent="0.25">
      <c r="A3605" t="str">
        <f>[1]!'3605.TW-ID'</f>
        <v>3605</v>
      </c>
      <c r="B3605" t="str">
        <f>[1]!'3605.TW-Name'</f>
        <v>宏致</v>
      </c>
      <c r="C3605">
        <f>[1]!'3605.TW-SimulatePrice'</f>
        <v>24.05</v>
      </c>
      <c r="D3605">
        <f>[1]!'3605.TW-PreClose'</f>
        <v>23.85</v>
      </c>
      <c r="E3605" t="str">
        <f>[1]!'3605.TW-SimulateTime'</f>
        <v>13:29:58</v>
      </c>
      <c r="F3605">
        <f>[1]!'3605.TW-Price'</f>
        <v>24.05</v>
      </c>
    </row>
    <row r="3607" spans="1:6" x14ac:dyDescent="0.25">
      <c r="A3607" t="str">
        <f>[1]!'3607.TW-ID'</f>
        <v>3607</v>
      </c>
      <c r="B3607" t="str">
        <f>[1]!'3607.TW-Name'</f>
        <v>谷崧</v>
      </c>
      <c r="C3607">
        <f>[1]!'3607.TW-SimulatePrice'</f>
        <v>12.25</v>
      </c>
      <c r="D3607">
        <f>[1]!'3607.TW-PreClose'</f>
        <v>12.1</v>
      </c>
      <c r="E3607" t="str">
        <f>[1]!'3607.TW-SimulateTime'</f>
        <v>13:29:14</v>
      </c>
      <c r="F3607">
        <f>[1]!'3607.TW-Price'</f>
        <v>12.25</v>
      </c>
    </row>
    <row r="3617" spans="1:6" x14ac:dyDescent="0.25">
      <c r="A3617" t="str">
        <f>[1]!'3617.TW-ID'</f>
        <v>3617</v>
      </c>
      <c r="B3617" t="str">
        <f>[1]!'3617.TW-Name'</f>
        <v>碩天</v>
      </c>
      <c r="C3617">
        <f>[1]!'3617.TW-SimulatePrice'</f>
        <v>79.599999999999994</v>
      </c>
      <c r="D3617">
        <f>[1]!'3617.TW-PreClose'</f>
        <v>80.3</v>
      </c>
      <c r="E3617" t="str">
        <f>[1]!'3617.TW-SimulateTime'</f>
        <v>13:29:37</v>
      </c>
      <c r="F3617">
        <f>[1]!'3617.TW-Price'</f>
        <v>79.599999999999994</v>
      </c>
    </row>
    <row r="3622" spans="1:6" x14ac:dyDescent="0.25">
      <c r="A3622" t="str">
        <f>[1]!'3622.TW-ID'</f>
        <v>3622</v>
      </c>
      <c r="B3622" t="str">
        <f>[1]!'3622.TW-Name'</f>
        <v>洋華</v>
      </c>
      <c r="C3622">
        <f>[1]!'3622.TW-SimulatePrice'</f>
        <v>18.350000000000001</v>
      </c>
      <c r="D3622">
        <f>[1]!'3622.TW-PreClose'</f>
        <v>18.399999999999999</v>
      </c>
      <c r="E3622" t="str">
        <f>[1]!'3622.TW-SimulateTime'</f>
        <v>13:28:45</v>
      </c>
      <c r="F3622">
        <f>[1]!'3622.TW-Price'</f>
        <v>18.350000000000001</v>
      </c>
    </row>
    <row r="3645" spans="1:6" x14ac:dyDescent="0.25">
      <c r="A3645" t="str">
        <f>[1]!'3645.TW-ID'</f>
        <v>3645</v>
      </c>
      <c r="B3645" t="str">
        <f>[1]!'3645.TW-Name'</f>
        <v>達邁</v>
      </c>
      <c r="C3645">
        <f>[1]!'3645.TW-SimulatePrice'</f>
        <v>39.799999999999997</v>
      </c>
      <c r="D3645">
        <f>[1]!'3645.TW-PreClose'</f>
        <v>39.4</v>
      </c>
      <c r="E3645" t="str">
        <f>[1]!'3645.TW-SimulateTime'</f>
        <v>13:29:59</v>
      </c>
      <c r="F3645">
        <f>[1]!'3645.TW-Price'</f>
        <v>39.799999999999997</v>
      </c>
    </row>
    <row r="3653" spans="1:6" x14ac:dyDescent="0.25">
      <c r="A3653" t="str">
        <f>[1]!'3653.TW-ID'</f>
        <v>3653</v>
      </c>
      <c r="B3653" t="str">
        <f>[1]!'3653.TW-Name'</f>
        <v>健策</v>
      </c>
      <c r="C3653">
        <f>[1]!'3653.TW-SimulatePrice'</f>
        <v>212</v>
      </c>
      <c r="D3653">
        <f>[1]!'3653.TW-PreClose'</f>
        <v>208</v>
      </c>
      <c r="E3653" t="str">
        <f>[1]!'3653.TW-SimulateTime'</f>
        <v>13:29:56</v>
      </c>
      <c r="F3653">
        <f>[1]!'3653.TW-Price'</f>
        <v>212</v>
      </c>
    </row>
    <row r="3661" spans="1:6" x14ac:dyDescent="0.25">
      <c r="A3661" t="str">
        <f>[1]!'3661.TW-ID'</f>
        <v>3661</v>
      </c>
      <c r="B3661" t="str">
        <f>[1]!'3661.TW-Name'</f>
        <v>世芯-KY</v>
      </c>
      <c r="C3661">
        <f>[1]!'3661.TW-SimulatePrice'</f>
        <v>297.5</v>
      </c>
      <c r="D3661">
        <f>[1]!'3661.TW-PreClose'</f>
        <v>274</v>
      </c>
      <c r="E3661" t="str">
        <f>[1]!'3661.TW-SimulateTime'</f>
        <v>13:29:59</v>
      </c>
      <c r="F3661">
        <f>[1]!'3661.TW-Price'</f>
        <v>297.5</v>
      </c>
    </row>
    <row r="3665" spans="1:6" x14ac:dyDescent="0.25">
      <c r="A3665" t="str">
        <f>[1]!'3665.TW-ID'</f>
        <v>3665</v>
      </c>
      <c r="B3665" t="str">
        <f>[1]!'3665.TW-Name'</f>
        <v>貿聯-KY</v>
      </c>
      <c r="C3665">
        <f>[1]!'3665.TW-SimulatePrice'</f>
        <v>181</v>
      </c>
      <c r="D3665">
        <f>[1]!'3665.TW-PreClose'</f>
        <v>181.5</v>
      </c>
      <c r="E3665" t="str">
        <f>[1]!'3665.TW-SimulateTime'</f>
        <v>13:29:59</v>
      </c>
      <c r="F3665">
        <f>[1]!'3665.TW-Price'</f>
        <v>181</v>
      </c>
    </row>
    <row r="3669" spans="1:6" x14ac:dyDescent="0.25">
      <c r="A3669" t="str">
        <f>[1]!'3669.TW-ID'</f>
        <v>3669</v>
      </c>
      <c r="B3669" t="str">
        <f>[1]!'3669.TW-Name'</f>
        <v>圓展</v>
      </c>
      <c r="C3669">
        <f>[1]!'3669.TW-SimulatePrice'</f>
        <v>30.5</v>
      </c>
      <c r="D3669">
        <f>[1]!'3669.TW-PreClose'</f>
        <v>31.85</v>
      </c>
      <c r="E3669" t="str">
        <f>[1]!'3669.TW-SimulateTime'</f>
        <v>13:29:59</v>
      </c>
      <c r="F3669">
        <f>[1]!'3669.TW-Price'</f>
        <v>30.5</v>
      </c>
    </row>
    <row r="3673" spans="1:6" x14ac:dyDescent="0.25">
      <c r="A3673" t="str">
        <f>[1]!'3673.TW-ID'</f>
        <v>3673</v>
      </c>
      <c r="B3673" t="str">
        <f>[1]!'3673.TW-Name'</f>
        <v>TPK-KY</v>
      </c>
      <c r="C3673">
        <f>[1]!'3673.TW-SimulatePrice'</f>
        <v>40</v>
      </c>
      <c r="D3673">
        <f>[1]!'3673.TW-PreClose'</f>
        <v>40.6</v>
      </c>
      <c r="E3673" t="str">
        <f>[1]!'3673.TW-SimulateTime'</f>
        <v>13:29:59</v>
      </c>
      <c r="F3673">
        <f>[1]!'3673.TW-Price'</f>
        <v>40</v>
      </c>
    </row>
    <row r="3679" spans="1:6" x14ac:dyDescent="0.25">
      <c r="A3679" t="str">
        <f>[1]!'3679.TW-ID'</f>
        <v>3679</v>
      </c>
      <c r="B3679" t="str">
        <f>[1]!'3679.TW-Name'</f>
        <v>新至陞</v>
      </c>
      <c r="C3679">
        <f>[1]!'3679.TW-SimulatePrice'</f>
        <v>61.6</v>
      </c>
      <c r="D3679">
        <f>[1]!'3679.TW-PreClose'</f>
        <v>62.3</v>
      </c>
      <c r="E3679" t="str">
        <f>[1]!'3679.TW-SimulateTime'</f>
        <v>13:29:54</v>
      </c>
      <c r="F3679">
        <f>[1]!'3679.TW-Price'</f>
        <v>61.6</v>
      </c>
    </row>
    <row r="3682" spans="1:6" x14ac:dyDescent="0.25">
      <c r="A3682" t="str">
        <f>[1]!'3682.TW-ID'</f>
        <v>3682</v>
      </c>
      <c r="B3682" t="str">
        <f>[1]!'3682.TW-Name'</f>
        <v>亞太電</v>
      </c>
      <c r="C3682">
        <f>[1]!'3682.TW-SimulatePrice'</f>
        <v>6.56</v>
      </c>
      <c r="D3682">
        <f>[1]!'3682.TW-PreClose'</f>
        <v>6.61</v>
      </c>
      <c r="E3682" t="str">
        <f>[1]!'3682.TW-SimulateTime'</f>
        <v>13:29:55</v>
      </c>
      <c r="F3682">
        <f>[1]!'3682.TW-Price'</f>
        <v>6.56</v>
      </c>
    </row>
    <row r="3686" spans="1:6" x14ac:dyDescent="0.25">
      <c r="A3686" t="str">
        <f>[1]!'3686.TW-ID'</f>
        <v>3686</v>
      </c>
      <c r="B3686" t="str">
        <f>[1]!'3686.TW-Name'</f>
        <v>達能</v>
      </c>
      <c r="C3686">
        <f>[1]!'3686.TW-SimulatePrice'</f>
        <v>3.94</v>
      </c>
      <c r="D3686">
        <f>[1]!'3686.TW-PreClose'</f>
        <v>3.95</v>
      </c>
      <c r="E3686" t="str">
        <f>[1]!'3686.TW-SimulateTime'</f>
        <v>13:28:05</v>
      </c>
      <c r="F3686">
        <f>[1]!'3686.TW-Price'</f>
        <v>3.94</v>
      </c>
    </row>
    <row r="3694" spans="1:6" x14ac:dyDescent="0.25">
      <c r="A3694" t="str">
        <f>[1]!'3694.TW-ID'</f>
        <v>3694</v>
      </c>
      <c r="B3694" t="str">
        <f>[1]!'3694.TW-Name'</f>
        <v>海華</v>
      </c>
      <c r="C3694">
        <f>[1]!'3694.TW-SimulatePrice'</f>
        <v>17.100000000000001</v>
      </c>
      <c r="D3694">
        <f>[1]!'3694.TW-PreClose'</f>
        <v>17.3</v>
      </c>
      <c r="E3694" t="str">
        <f>[1]!'3694.TW-SimulateTime'</f>
        <v>13:29:03</v>
      </c>
      <c r="F3694">
        <f>[1]!'3694.TW-Price'</f>
        <v>17.100000000000001</v>
      </c>
    </row>
    <row r="3698" spans="1:6" x14ac:dyDescent="0.25">
      <c r="A3698" t="str">
        <f>[1]!'3698.TW-ID'</f>
        <v>3698</v>
      </c>
      <c r="B3698" t="str">
        <f>[1]!'3698.TW-Name'</f>
        <v>隆達</v>
      </c>
      <c r="C3698">
        <f>[1]!'3698.TW-SimulatePrice'</f>
        <v>18</v>
      </c>
      <c r="D3698">
        <f>[1]!'3698.TW-PreClose'</f>
        <v>17.95</v>
      </c>
      <c r="E3698" t="str">
        <f>[1]!'3698.TW-SimulateTime'</f>
        <v>13:29:57</v>
      </c>
      <c r="F3698">
        <f>[1]!'3698.TW-Price'</f>
        <v>18</v>
      </c>
    </row>
    <row r="3701" spans="1:6" x14ac:dyDescent="0.25">
      <c r="A3701" t="str">
        <f>[1]!'3701.TW-ID'</f>
        <v>3701</v>
      </c>
      <c r="B3701" t="str">
        <f>[1]!'3701.TW-Name'</f>
        <v>大眾控</v>
      </c>
      <c r="C3701" t="str">
        <f>[1]!'3701.TW-SimulatePrice'</f>
        <v>--</v>
      </c>
      <c r="D3701">
        <f>[1]!'3701.TW-PreClose'</f>
        <v>13.75</v>
      </c>
      <c r="E3701" t="str">
        <f>[1]!'3701.TW-SimulateTime'</f>
        <v>--</v>
      </c>
      <c r="F3701">
        <f>[1]!'3701.TW-Price'</f>
        <v>13.55</v>
      </c>
    </row>
    <row r="3702" spans="1:6" x14ac:dyDescent="0.25">
      <c r="A3702" t="str">
        <f>[1]!'3702.TW-ID'</f>
        <v>3702</v>
      </c>
      <c r="B3702" t="str">
        <f>[1]!'3702.TW-Name'</f>
        <v>大聯大</v>
      </c>
      <c r="C3702">
        <f>[1]!'3702.TW-SimulatePrice'</f>
        <v>38.950000000000003</v>
      </c>
      <c r="D3702">
        <f>[1]!'3702.TW-PreClose'</f>
        <v>39.049999999999997</v>
      </c>
      <c r="E3702" t="str">
        <f>[1]!'3702.TW-SimulateTime'</f>
        <v>13:29:58</v>
      </c>
      <c r="F3702">
        <f>[1]!'3702.TW-Price'</f>
        <v>38.950000000000003</v>
      </c>
    </row>
    <row r="3703" spans="1:6" x14ac:dyDescent="0.25">
      <c r="A3703" t="str">
        <f>[1]!'3703.TW-ID'</f>
        <v>3703</v>
      </c>
      <c r="B3703" t="str">
        <f>[1]!'3703.TW-Name'</f>
        <v>欣陸</v>
      </c>
      <c r="C3703">
        <f>[1]!'3703.TW-SimulatePrice'</f>
        <v>11.55</v>
      </c>
      <c r="D3703">
        <f>[1]!'3703.TW-PreClose'</f>
        <v>11.35</v>
      </c>
      <c r="E3703" t="str">
        <f>[1]!'3703.TW-SimulateTime'</f>
        <v>13:29:41</v>
      </c>
      <c r="F3703">
        <f>[1]!'3703.TW-Price'</f>
        <v>11.55</v>
      </c>
    </row>
    <row r="3704" spans="1:6" x14ac:dyDescent="0.25">
      <c r="A3704" t="str">
        <f>[1]!'3704.TW-ID'</f>
        <v>3704</v>
      </c>
      <c r="B3704" t="str">
        <f>[1]!'3704.TW-Name'</f>
        <v>合勤控</v>
      </c>
      <c r="C3704">
        <f>[1]!'3704.TW-SimulatePrice'</f>
        <v>14.85</v>
      </c>
      <c r="D3704">
        <f>[1]!'3704.TW-PreClose'</f>
        <v>15.1</v>
      </c>
      <c r="E3704" t="str">
        <f>[1]!'3704.TW-SimulateTime'</f>
        <v>13:29:47</v>
      </c>
      <c r="F3704">
        <f>[1]!'3704.TW-Price'</f>
        <v>14.85</v>
      </c>
    </row>
    <row r="3705" spans="1:6" x14ac:dyDescent="0.25">
      <c r="A3705" t="str">
        <f>[1]!'3705.TW-ID'</f>
        <v>3705</v>
      </c>
      <c r="B3705" t="str">
        <f>[1]!'3705.TW-Name'</f>
        <v>永信</v>
      </c>
      <c r="C3705">
        <f>[1]!'3705.TW-SimulatePrice'</f>
        <v>47.5</v>
      </c>
      <c r="D3705">
        <f>[1]!'3705.TW-PreClose'</f>
        <v>47.5</v>
      </c>
      <c r="E3705" t="str">
        <f>[1]!'3705.TW-SimulateTime'</f>
        <v>13:29:44</v>
      </c>
      <c r="F3705">
        <f>[1]!'3705.TW-Price'</f>
        <v>47.5</v>
      </c>
    </row>
    <row r="3706" spans="1:6" x14ac:dyDescent="0.25">
      <c r="A3706" t="str">
        <f>[1]!'3706.TW-ID'</f>
        <v>3706</v>
      </c>
      <c r="B3706" t="str">
        <f>[1]!'3706.TW-Name'</f>
        <v>神達</v>
      </c>
      <c r="C3706">
        <f>[1]!'3706.TW-SimulatePrice'</f>
        <v>29.8</v>
      </c>
      <c r="D3706">
        <f>[1]!'3706.TW-PreClose'</f>
        <v>30.1</v>
      </c>
      <c r="E3706" t="str">
        <f>[1]!'3706.TW-SimulateTime'</f>
        <v>13:29:56</v>
      </c>
      <c r="F3706">
        <f>[1]!'3706.TW-Price'</f>
        <v>29.75</v>
      </c>
    </row>
    <row r="3708" spans="1:6" x14ac:dyDescent="0.25">
      <c r="A3708" t="str">
        <f>[1]!'3708.TW-ID'</f>
        <v>3708</v>
      </c>
      <c r="B3708" t="str">
        <f>[1]!'3708.TW-Name'</f>
        <v>上緯投控</v>
      </c>
      <c r="C3708">
        <f>[1]!'3708.TW-SimulatePrice'</f>
        <v>84</v>
      </c>
      <c r="D3708">
        <f>[1]!'3708.TW-PreClose'</f>
        <v>81.3</v>
      </c>
      <c r="E3708" t="str">
        <f>[1]!'3708.TW-SimulateTime'</f>
        <v>13:29:55</v>
      </c>
      <c r="F3708">
        <f>[1]!'3708.TW-Price'</f>
        <v>84</v>
      </c>
    </row>
    <row r="3711" spans="1:6" x14ac:dyDescent="0.25">
      <c r="A3711" t="str">
        <f>[1]!'3711.TW-ID'</f>
        <v>3711</v>
      </c>
      <c r="B3711" t="str">
        <f>[1]!'3711.TW-Name'</f>
        <v>日月光投控</v>
      </c>
      <c r="C3711">
        <f>[1]!'3711.TW-SimulatePrice'</f>
        <v>66.400000000000006</v>
      </c>
      <c r="D3711">
        <f>[1]!'3711.TW-PreClose'</f>
        <v>66.5</v>
      </c>
      <c r="E3711" t="str">
        <f>[1]!'3711.TW-SimulateTime'</f>
        <v>13:29:59</v>
      </c>
      <c r="F3711">
        <f>[1]!'3711.TW-Price'</f>
        <v>66.400000000000006</v>
      </c>
    </row>
    <row r="3712" spans="1:6" x14ac:dyDescent="0.25">
      <c r="A3712" t="str">
        <f>[1]!'3712.TW-ID'</f>
        <v>3712</v>
      </c>
      <c r="B3712" t="str">
        <f>[1]!'3712.TW-Name'</f>
        <v>永崴投控</v>
      </c>
      <c r="C3712">
        <f>[1]!'3712.TW-SimulatePrice'</f>
        <v>13.7</v>
      </c>
      <c r="D3712">
        <f>[1]!'3712.TW-PreClose'</f>
        <v>13.6</v>
      </c>
      <c r="E3712" t="str">
        <f>[1]!'3712.TW-SimulateTime'</f>
        <v>13:28:36</v>
      </c>
      <c r="F3712">
        <f>[1]!'3712.TW-Price'</f>
        <v>13.65</v>
      </c>
    </row>
    <row r="4104" spans="1:6" x14ac:dyDescent="0.25">
      <c r="A4104" t="str">
        <f>[1]!'4104.TW-ID'</f>
        <v>4104</v>
      </c>
      <c r="B4104" t="str">
        <f>[1]!'4104.TW-Name'</f>
        <v>佳醫</v>
      </c>
      <c r="C4104">
        <f>[1]!'4104.TW-SimulatePrice'</f>
        <v>54.9</v>
      </c>
      <c r="D4104">
        <f>[1]!'4104.TW-PreClose'</f>
        <v>54.9</v>
      </c>
      <c r="E4104" t="str">
        <f>[1]!'4104.TW-SimulateTime'</f>
        <v>13:29:56</v>
      </c>
      <c r="F4104">
        <f>[1]!'4104.TW-Price'</f>
        <v>54.9</v>
      </c>
    </row>
    <row r="4106" spans="1:6" x14ac:dyDescent="0.25">
      <c r="A4106" t="str">
        <f>[1]!'4106.TW-ID'</f>
        <v>4106</v>
      </c>
      <c r="B4106" t="str">
        <f>[1]!'4106.TW-Name'</f>
        <v>雃博</v>
      </c>
      <c r="C4106">
        <f>[1]!'4106.TW-SimulatePrice'</f>
        <v>31.95</v>
      </c>
      <c r="D4106">
        <f>[1]!'4106.TW-PreClose'</f>
        <v>29.05</v>
      </c>
      <c r="E4106" t="str">
        <f>[1]!'4106.TW-SimulateTime'</f>
        <v>13:29:56</v>
      </c>
      <c r="F4106">
        <f>[1]!'4106.TW-Price'</f>
        <v>31.95</v>
      </c>
    </row>
    <row r="4108" spans="1:6" x14ac:dyDescent="0.25">
      <c r="A4108" t="str">
        <f>[1]!'4108.TW-ID'</f>
        <v>4108</v>
      </c>
      <c r="B4108" t="str">
        <f>[1]!'4108.TW-Name'</f>
        <v>懷特</v>
      </c>
      <c r="C4108">
        <f>[1]!'4108.TW-SimulatePrice'</f>
        <v>18.850000000000001</v>
      </c>
      <c r="D4108">
        <f>[1]!'4108.TW-PreClose'</f>
        <v>18.850000000000001</v>
      </c>
      <c r="E4108" t="str">
        <f>[1]!'4108.TW-SimulateTime'</f>
        <v>13:29:59</v>
      </c>
      <c r="F4108">
        <f>[1]!'4108.TW-Price'</f>
        <v>18.850000000000001</v>
      </c>
    </row>
    <row r="4119" spans="1:6" x14ac:dyDescent="0.25">
      <c r="A4119" t="str">
        <f>[1]!'4119.TW-ID'</f>
        <v>4119</v>
      </c>
      <c r="B4119" t="str">
        <f>[1]!'4119.TW-Name'</f>
        <v>旭富</v>
      </c>
      <c r="C4119">
        <f>[1]!'4119.TW-SimulatePrice'</f>
        <v>139</v>
      </c>
      <c r="D4119">
        <f>[1]!'4119.TW-PreClose'</f>
        <v>135</v>
      </c>
      <c r="E4119" t="str">
        <f>[1]!'4119.TW-SimulateTime'</f>
        <v>13:29:55</v>
      </c>
      <c r="F4119">
        <f>[1]!'4119.TW-Price'</f>
        <v>139</v>
      </c>
    </row>
    <row r="4133" spans="1:6" x14ac:dyDescent="0.25">
      <c r="A4133" t="str">
        <f>[1]!'4133.TW-ID'</f>
        <v>4133</v>
      </c>
      <c r="B4133" t="str">
        <f>[1]!'4133.TW-Name'</f>
        <v>亞諾法</v>
      </c>
      <c r="C4133">
        <f>[1]!'4133.TW-SimulatePrice'</f>
        <v>53.6</v>
      </c>
      <c r="D4133">
        <f>[1]!'4133.TW-PreClose'</f>
        <v>56.5</v>
      </c>
      <c r="E4133" t="str">
        <f>[1]!'4133.TW-SimulateTime'</f>
        <v>13:29:57</v>
      </c>
      <c r="F4133">
        <f>[1]!'4133.TW-Price'</f>
        <v>53.7</v>
      </c>
    </row>
    <row r="4137" spans="1:6" x14ac:dyDescent="0.25">
      <c r="A4137" t="str">
        <f>[1]!'4137.TW-ID'</f>
        <v>4137</v>
      </c>
      <c r="B4137" t="str">
        <f>[1]!'4137.TW-Name'</f>
        <v>麗豐-KY</v>
      </c>
      <c r="C4137">
        <f>[1]!'4137.TW-SimulatePrice'</f>
        <v>186</v>
      </c>
      <c r="D4137">
        <f>[1]!'4137.TW-PreClose'</f>
        <v>188</v>
      </c>
      <c r="E4137" t="str">
        <f>[1]!'4137.TW-SimulateTime'</f>
        <v>13:29:51</v>
      </c>
      <c r="F4137">
        <f>[1]!'4137.TW-Price'</f>
        <v>186</v>
      </c>
    </row>
    <row r="4141" spans="1:6" x14ac:dyDescent="0.25">
      <c r="A4141" t="str">
        <f>[1]!'4141.TW-ID'</f>
        <v>4141</v>
      </c>
      <c r="B4141" t="str">
        <f>[1]!'4141.TW-Name'</f>
        <v>龍燈-KY</v>
      </c>
      <c r="C4141">
        <f>[1]!'4141.TW-SimulatePrice'</f>
        <v>14.1</v>
      </c>
      <c r="D4141">
        <f>[1]!'4141.TW-PreClose'</f>
        <v>14.1</v>
      </c>
      <c r="E4141" t="str">
        <f>[1]!'4141.TW-SimulateTime'</f>
        <v>13:28:40</v>
      </c>
      <c r="F4141">
        <f>[1]!'4141.TW-Price'</f>
        <v>14.1</v>
      </c>
    </row>
    <row r="4142" spans="1:6" x14ac:dyDescent="0.25">
      <c r="A4142" t="str">
        <f>[1]!'4142.TW-ID'</f>
        <v>4142</v>
      </c>
      <c r="B4142" t="str">
        <f>[1]!'4142.TW-Name'</f>
        <v>國光生</v>
      </c>
      <c r="C4142">
        <f>[1]!'4142.TW-SimulatePrice'</f>
        <v>43.3</v>
      </c>
      <c r="D4142">
        <f>[1]!'4142.TW-PreClose'</f>
        <v>42.05</v>
      </c>
      <c r="E4142" t="str">
        <f>[1]!'4142.TW-SimulateTime'</f>
        <v>13:29:56</v>
      </c>
      <c r="F4142">
        <f>[1]!'4142.TW-Price'</f>
        <v>43.35</v>
      </c>
    </row>
    <row r="4144" spans="1:6" x14ac:dyDescent="0.25">
      <c r="A4144" t="str">
        <f>[1]!'4144.TW-ID'</f>
        <v>4144</v>
      </c>
      <c r="B4144" t="str">
        <f>[1]!'4144.TW-Name'</f>
        <v>康聯-KY</v>
      </c>
      <c r="C4144">
        <f>[1]!'4144.TW-SimulatePrice'</f>
        <v>20.95</v>
      </c>
      <c r="D4144">
        <f>[1]!'4144.TW-PreClose'</f>
        <v>21.5</v>
      </c>
      <c r="E4144" t="str">
        <f>[1]!'4144.TW-SimulateTime'</f>
        <v>13:29:56</v>
      </c>
      <c r="F4144">
        <f>[1]!'4144.TW-Price'</f>
        <v>20.95</v>
      </c>
    </row>
    <row r="4148" spans="1:6" x14ac:dyDescent="0.25">
      <c r="A4148" t="str">
        <f>[1]!'4148.TW-ID'</f>
        <v>4148</v>
      </c>
      <c r="B4148" t="str">
        <f>[1]!'4148.TW-Name'</f>
        <v>全宇生技-KY</v>
      </c>
      <c r="C4148" t="str">
        <f>[1]!'4148.TW-SimulatePrice'</f>
        <v>--</v>
      </c>
      <c r="D4148">
        <f>[1]!'4148.TW-PreClose'</f>
        <v>36.5</v>
      </c>
      <c r="E4148" t="str">
        <f>[1]!'4148.TW-SimulateTime'</f>
        <v>--</v>
      </c>
      <c r="F4148">
        <f>[1]!'4148.TW-Price'</f>
        <v>35.5</v>
      </c>
    </row>
    <row r="4155" spans="1:6" x14ac:dyDescent="0.25">
      <c r="A4155" t="str">
        <f>[1]!'4155.TW-ID'</f>
        <v>4155</v>
      </c>
      <c r="B4155" t="str">
        <f>[1]!'4155.TW-Name'</f>
        <v>訊映</v>
      </c>
      <c r="C4155">
        <f>[1]!'4155.TW-SimulatePrice'</f>
        <v>29.6</v>
      </c>
      <c r="D4155">
        <f>[1]!'4155.TW-PreClose'</f>
        <v>29.7</v>
      </c>
      <c r="E4155" t="str">
        <f>[1]!'4155.TW-SimulateTime'</f>
        <v>13:29:58</v>
      </c>
      <c r="F4155">
        <f>[1]!'4155.TW-Price'</f>
        <v>29.6</v>
      </c>
    </row>
    <row r="4164" spans="1:6" x14ac:dyDescent="0.25">
      <c r="A4164" t="str">
        <f>[1]!'4164.TW-ID'</f>
        <v>4164</v>
      </c>
      <c r="B4164" t="str">
        <f>[1]!'4164.TW-Name'</f>
        <v>承業醫</v>
      </c>
      <c r="C4164">
        <f>[1]!'4164.TW-SimulatePrice'</f>
        <v>37.799999999999997</v>
      </c>
      <c r="D4164">
        <f>[1]!'4164.TW-PreClose'</f>
        <v>37.85</v>
      </c>
      <c r="E4164" t="str">
        <f>[1]!'4164.TW-SimulateTime'</f>
        <v>13:28:56</v>
      </c>
      <c r="F4164">
        <f>[1]!'4164.TW-Price'</f>
        <v>37.799999999999997</v>
      </c>
    </row>
    <row r="4190" spans="1:6" x14ac:dyDescent="0.25">
      <c r="A4190" t="str">
        <f>[1]!'4190.TW-ID'</f>
        <v>4190</v>
      </c>
      <c r="B4190" t="str">
        <f>[1]!'4190.TW-Name'</f>
        <v>佐登-KY</v>
      </c>
      <c r="C4190">
        <f>[1]!'4190.TW-SimulatePrice'</f>
        <v>81.099999999999994</v>
      </c>
      <c r="D4190">
        <f>[1]!'4190.TW-PreClose'</f>
        <v>82.5</v>
      </c>
      <c r="E4190" t="str">
        <f>[1]!'4190.TW-SimulateTime'</f>
        <v>13:29:59</v>
      </c>
      <c r="F4190">
        <f>[1]!'4190.TW-Price'</f>
        <v>81.099999999999994</v>
      </c>
    </row>
    <row r="4306" spans="1:6" x14ac:dyDescent="0.25">
      <c r="A4306" t="str">
        <f>[1]!'4306.TW-ID'</f>
        <v>4306</v>
      </c>
      <c r="B4306" t="str">
        <f>[1]!'4306.TW-Name'</f>
        <v>炎洲</v>
      </c>
      <c r="C4306">
        <f>[1]!'4306.TW-SimulatePrice'</f>
        <v>10.65</v>
      </c>
      <c r="D4306">
        <f>[1]!'4306.TW-PreClose'</f>
        <v>10.65</v>
      </c>
      <c r="E4306" t="str">
        <f>[1]!'4306.TW-SimulateTime'</f>
        <v>13:29:57</v>
      </c>
      <c r="F4306">
        <f>[1]!'4306.TW-Price'</f>
        <v>10.65</v>
      </c>
    </row>
    <row r="4414" spans="1:6" x14ac:dyDescent="0.25">
      <c r="A4414" t="str">
        <f>[1]!'4414.TW-ID'</f>
        <v>4414</v>
      </c>
      <c r="B4414" t="str">
        <f>[1]!'4414.TW-Name'</f>
        <v>如興</v>
      </c>
      <c r="C4414">
        <f>[1]!'4414.TW-SimulatePrice'</f>
        <v>8.51</v>
      </c>
      <c r="D4414">
        <f>[1]!'4414.TW-PreClose'</f>
        <v>8.51</v>
      </c>
      <c r="E4414" t="str">
        <f>[1]!'4414.TW-SimulateTime'</f>
        <v>13:29:37</v>
      </c>
      <c r="F4414">
        <f>[1]!'4414.TW-Price'</f>
        <v>8.51</v>
      </c>
    </row>
    <row r="4426" spans="1:6" x14ac:dyDescent="0.25">
      <c r="A4426" t="str">
        <f>[1]!'4426.TW-ID'</f>
        <v>4426</v>
      </c>
      <c r="B4426" t="str">
        <f>[1]!'4426.TW-Name'</f>
        <v>利勤</v>
      </c>
      <c r="C4426">
        <f>[1]!'4426.TW-SimulatePrice'</f>
        <v>29.6</v>
      </c>
      <c r="D4426">
        <f>[1]!'4426.TW-PreClose'</f>
        <v>30.15</v>
      </c>
      <c r="E4426" t="str">
        <f>[1]!'4426.TW-SimulateTime'</f>
        <v>13:29:50</v>
      </c>
      <c r="F4426">
        <f>[1]!'4426.TW-Price'</f>
        <v>29.55</v>
      </c>
    </row>
    <row r="4438" spans="1:6" x14ac:dyDescent="0.25">
      <c r="A4438" t="str">
        <f>[1]!'4438.TW-ID'</f>
        <v>4438</v>
      </c>
      <c r="B4438" t="str">
        <f>[1]!'4438.TW-Name'</f>
        <v>廣越</v>
      </c>
      <c r="C4438">
        <f>[1]!'4438.TW-SimulatePrice'</f>
        <v>116.5</v>
      </c>
      <c r="D4438">
        <f>[1]!'4438.TW-PreClose'</f>
        <v>116</v>
      </c>
      <c r="E4438" t="str">
        <f>[1]!'4438.TW-SimulateTime'</f>
        <v>13:29:58</v>
      </c>
      <c r="F4438">
        <f>[1]!'4438.TW-Price'</f>
        <v>116.5</v>
      </c>
    </row>
    <row r="4439" spans="1:6" x14ac:dyDescent="0.25">
      <c r="A4439" t="str">
        <f>[1]!'4439.TW-ID'</f>
        <v>4439</v>
      </c>
      <c r="B4439" t="str">
        <f>[1]!'4439.TW-Name'</f>
        <v>冠星-KY</v>
      </c>
      <c r="C4439">
        <f>[1]!'4439.TW-SimulatePrice'</f>
        <v>139</v>
      </c>
      <c r="D4439">
        <f>[1]!'4439.TW-PreClose'</f>
        <v>135.5</v>
      </c>
      <c r="E4439" t="str">
        <f>[1]!'4439.TW-SimulateTime'</f>
        <v>13:29:53</v>
      </c>
      <c r="F4439">
        <f>[1]!'4439.TW-Price'</f>
        <v>139</v>
      </c>
    </row>
    <row r="4526" spans="1:6" x14ac:dyDescent="0.25">
      <c r="A4526" t="str">
        <f>[1]!'4526.TW-ID'</f>
        <v>4526</v>
      </c>
      <c r="B4526" t="str">
        <f>[1]!'4526.TW-Name'</f>
        <v>東台</v>
      </c>
      <c r="C4526">
        <f>[1]!'4526.TW-SimulatePrice'</f>
        <v>12.65</v>
      </c>
      <c r="D4526">
        <f>[1]!'4526.TW-PreClose'</f>
        <v>12.65</v>
      </c>
      <c r="E4526" t="str">
        <f>[1]!'4526.TW-SimulateTime'</f>
        <v>13:28:38</v>
      </c>
      <c r="F4526">
        <f>[1]!'4526.TW-Price'</f>
        <v>12.65</v>
      </c>
    </row>
    <row r="4532" spans="1:6" x14ac:dyDescent="0.25">
      <c r="A4532" t="str">
        <f>[1]!'4532.TW-ID'</f>
        <v>4532</v>
      </c>
      <c r="B4532" t="str">
        <f>[1]!'4532.TW-Name'</f>
        <v>瑞智</v>
      </c>
      <c r="C4532">
        <f>[1]!'4532.TW-SimulatePrice'</f>
        <v>17.05</v>
      </c>
      <c r="D4532">
        <f>[1]!'4532.TW-PreClose'</f>
        <v>17.149999999999999</v>
      </c>
      <c r="E4532" t="str">
        <f>[1]!'4532.TW-SimulateTime'</f>
        <v>13:29:13</v>
      </c>
      <c r="F4532">
        <f>[1]!'4532.TW-Price'</f>
        <v>17.05</v>
      </c>
    </row>
    <row r="4536" spans="1:6" x14ac:dyDescent="0.25">
      <c r="A4536" t="str">
        <f>[1]!'4536.TW-ID'</f>
        <v>4536</v>
      </c>
      <c r="B4536" t="str">
        <f>[1]!'4536.TW-Name'</f>
        <v>拓凱</v>
      </c>
      <c r="C4536">
        <f>[1]!'4536.TW-SimulatePrice'</f>
        <v>106</v>
      </c>
      <c r="D4536">
        <f>[1]!'4536.TW-PreClose'</f>
        <v>110</v>
      </c>
      <c r="E4536" t="str">
        <f>[1]!'4536.TW-SimulateTime'</f>
        <v>13:29:59</v>
      </c>
      <c r="F4536">
        <f>[1]!'4536.TW-Price'</f>
        <v>106</v>
      </c>
    </row>
    <row r="4540" spans="1:6" x14ac:dyDescent="0.25">
      <c r="A4540" t="str">
        <f>[1]!'4540.TW-ID'</f>
        <v>4540</v>
      </c>
      <c r="B4540" t="str">
        <f>[1]!'4540.TW-Name'</f>
        <v>全球傳動</v>
      </c>
      <c r="C4540">
        <f>[1]!'4540.TW-SimulatePrice'</f>
        <v>50.9</v>
      </c>
      <c r="D4540">
        <f>[1]!'4540.TW-PreClose'</f>
        <v>50.6</v>
      </c>
      <c r="E4540" t="str">
        <f>[1]!'4540.TW-SimulateTime'</f>
        <v>13:29:47</v>
      </c>
      <c r="F4540">
        <f>[1]!'4540.TW-Price'</f>
        <v>50.9</v>
      </c>
    </row>
    <row r="4545" spans="1:6" x14ac:dyDescent="0.25">
      <c r="A4545" t="str">
        <f>[1]!'4545.TW-ID'</f>
        <v>4545</v>
      </c>
      <c r="B4545" t="str">
        <f>[1]!'4545.TW-Name'</f>
        <v>銘鈺</v>
      </c>
      <c r="C4545">
        <f>[1]!'4545.TW-SimulatePrice'</f>
        <v>27.8</v>
      </c>
      <c r="D4545">
        <f>[1]!'4545.TW-PreClose'</f>
        <v>27.35</v>
      </c>
      <c r="E4545" t="str">
        <f>[1]!'4545.TW-SimulateTime'</f>
        <v>13:29:31</v>
      </c>
      <c r="F4545">
        <f>[1]!'4545.TW-Price'</f>
        <v>27.8</v>
      </c>
    </row>
    <row r="4551" spans="1:6" x14ac:dyDescent="0.25">
      <c r="A4551" t="str">
        <f>[1]!'4551.TW-ID'</f>
        <v>4551</v>
      </c>
      <c r="B4551" t="str">
        <f>[1]!'4551.TW-Name'</f>
        <v>智伸科</v>
      </c>
      <c r="C4551">
        <f>[1]!'4551.TW-SimulatePrice'</f>
        <v>120.5</v>
      </c>
      <c r="D4551">
        <f>[1]!'4551.TW-PreClose'</f>
        <v>122.5</v>
      </c>
      <c r="E4551" t="str">
        <f>[1]!'4551.TW-SimulateTime'</f>
        <v>13:29:50</v>
      </c>
      <c r="F4551">
        <f>[1]!'4551.TW-Price'</f>
        <v>120.5</v>
      </c>
    </row>
    <row r="4552" spans="1:6" x14ac:dyDescent="0.25">
      <c r="A4552" t="str">
        <f>[1]!'4552.TW-ID'</f>
        <v>4552</v>
      </c>
      <c r="B4552" t="str">
        <f>[1]!'4552.TW-Name'</f>
        <v>力達-KY</v>
      </c>
      <c r="C4552">
        <f>[1]!'4552.TW-SimulatePrice'</f>
        <v>29.65</v>
      </c>
      <c r="D4552">
        <f>[1]!'4552.TW-PreClose'</f>
        <v>29.55</v>
      </c>
      <c r="E4552" t="str">
        <f>[1]!'4552.TW-SimulateTime'</f>
        <v>13:29:58</v>
      </c>
      <c r="F4552">
        <f>[1]!'4552.TW-Price'</f>
        <v>29.65</v>
      </c>
    </row>
    <row r="4555" spans="1:6" x14ac:dyDescent="0.25">
      <c r="A4555" t="str">
        <f>[1]!'4555.TW-ID'</f>
        <v>4555</v>
      </c>
      <c r="B4555" t="str">
        <f>[1]!'4555.TW-Name'</f>
        <v>氣立</v>
      </c>
      <c r="C4555">
        <f>[1]!'4555.TW-SimulatePrice'</f>
        <v>51.5</v>
      </c>
      <c r="D4555">
        <f>[1]!'4555.TW-PreClose'</f>
        <v>51.9</v>
      </c>
      <c r="E4555" t="str">
        <f>[1]!'4555.TW-SimulateTime'</f>
        <v>13:29:48</v>
      </c>
      <c r="F4555">
        <f>[1]!'4555.TW-Price'</f>
        <v>51.5</v>
      </c>
    </row>
    <row r="4557" spans="1:6" x14ac:dyDescent="0.25">
      <c r="A4557" t="str">
        <f>[1]!'4557.TW-ID'</f>
        <v>4557</v>
      </c>
      <c r="B4557" t="str">
        <f>[1]!'4557.TW-Name'</f>
        <v>永新-KY</v>
      </c>
      <c r="C4557">
        <f>[1]!'4557.TW-SimulatePrice'</f>
        <v>67.7</v>
      </c>
      <c r="D4557">
        <f>[1]!'4557.TW-PreClose'</f>
        <v>67.599999999999994</v>
      </c>
      <c r="E4557" t="str">
        <f>[1]!'4557.TW-SimulateTime'</f>
        <v>13:28:22</v>
      </c>
      <c r="F4557">
        <f>[1]!'4557.TW-Price'</f>
        <v>67.7</v>
      </c>
    </row>
    <row r="4560" spans="1:6" x14ac:dyDescent="0.25">
      <c r="A4560" t="str">
        <f>[1]!'4560.TW-ID'</f>
        <v>4560</v>
      </c>
      <c r="B4560" t="str">
        <f>[1]!'4560.TW-Name'</f>
        <v>強信-KY</v>
      </c>
      <c r="C4560">
        <f>[1]!'4560.TW-SimulatePrice'</f>
        <v>47.8</v>
      </c>
      <c r="D4560">
        <f>[1]!'4560.TW-PreClose'</f>
        <v>47.6</v>
      </c>
      <c r="E4560" t="str">
        <f>[1]!'4560.TW-SimulateTime'</f>
        <v>13:29:58</v>
      </c>
      <c r="F4560">
        <f>[1]!'4560.TW-Price'</f>
        <v>47.8</v>
      </c>
    </row>
    <row r="4562" spans="1:6" x14ac:dyDescent="0.25">
      <c r="A4562" t="str">
        <f>[1]!'4562.TW-ID'</f>
        <v>4562</v>
      </c>
      <c r="B4562" t="str">
        <f>[1]!'4562.TW-Name'</f>
        <v>穎漢</v>
      </c>
      <c r="C4562" t="str">
        <f>[1]!'4562.TW-SimulatePrice'</f>
        <v>--</v>
      </c>
      <c r="D4562">
        <f>[1]!'4562.TW-PreClose'</f>
        <v>17.05</v>
      </c>
      <c r="E4562" t="str">
        <f>[1]!'4562.TW-SimulateTime'</f>
        <v>--</v>
      </c>
      <c r="F4562">
        <f>[1]!'4562.TW-Price'</f>
        <v>17.100000000000001</v>
      </c>
    </row>
    <row r="4564" spans="1:6" x14ac:dyDescent="0.25">
      <c r="A4564" t="str">
        <f>[1]!'4564.TW-ID'</f>
        <v>4564</v>
      </c>
      <c r="B4564" t="str">
        <f>[1]!'4564.TW-Name'</f>
        <v>元翎</v>
      </c>
      <c r="C4564">
        <f>[1]!'4564.TW-SimulatePrice'</f>
        <v>30.05</v>
      </c>
      <c r="D4564">
        <f>[1]!'4564.TW-PreClose'</f>
        <v>30.4</v>
      </c>
      <c r="E4564" t="str">
        <f>[1]!'4564.TW-SimulateTime'</f>
        <v>13:29:25</v>
      </c>
      <c r="F4564">
        <f>[1]!'4564.TW-Price'</f>
        <v>30.05</v>
      </c>
    </row>
    <row r="4566" spans="1:6" x14ac:dyDescent="0.25">
      <c r="A4566" t="str">
        <f>[1]!'4566.TW-ID'</f>
        <v>4566</v>
      </c>
      <c r="B4566" t="str">
        <f>[1]!'4566.TW-Name'</f>
        <v>時碩工業</v>
      </c>
      <c r="C4566">
        <f>[1]!'4566.TW-SimulatePrice'</f>
        <v>37</v>
      </c>
      <c r="D4566">
        <f>[1]!'4566.TW-PreClose'</f>
        <v>36</v>
      </c>
      <c r="E4566" t="str">
        <f>[1]!'4566.TW-SimulateTime'</f>
        <v>13:29:46</v>
      </c>
      <c r="F4566">
        <f>[1]!'4566.TW-Price'</f>
        <v>37</v>
      </c>
    </row>
    <row r="4571" spans="1:6" x14ac:dyDescent="0.25">
      <c r="A4571" t="str">
        <f>[1]!'4571.TW-ID'</f>
        <v>4571</v>
      </c>
      <c r="B4571" t="str">
        <f>[1]!'4571.TW-Name'</f>
        <v>鈞興-KY</v>
      </c>
      <c r="C4571">
        <f>[1]!'4571.TW-SimulatePrice'</f>
        <v>60.6</v>
      </c>
      <c r="D4571">
        <f>[1]!'4571.TW-PreClose'</f>
        <v>62.3</v>
      </c>
      <c r="E4571" t="str">
        <f>[1]!'4571.TW-SimulateTime'</f>
        <v>13:29:40</v>
      </c>
      <c r="F4571">
        <f>[1]!'4571.TW-Price'</f>
        <v>60.6</v>
      </c>
    </row>
    <row r="4572" spans="1:6" x14ac:dyDescent="0.25">
      <c r="A4572" t="str">
        <f>[1]!'4572.TW-ID'</f>
        <v>4572</v>
      </c>
      <c r="B4572" t="str">
        <f>[1]!'4572.TW-Name'</f>
        <v>駐龍</v>
      </c>
      <c r="C4572">
        <f>[1]!'4572.TW-SimulatePrice'</f>
        <v>79.599999999999994</v>
      </c>
      <c r="D4572">
        <f>[1]!'4572.TW-PreClose'</f>
        <v>80.400000000000006</v>
      </c>
      <c r="E4572" t="str">
        <f>[1]!'4572.TW-SimulateTime'</f>
        <v>13:28:07</v>
      </c>
      <c r="F4572">
        <f>[1]!'4572.TW-Price'</f>
        <v>79.599999999999994</v>
      </c>
    </row>
    <row r="4576" spans="1:6" x14ac:dyDescent="0.25">
      <c r="A4576" t="str">
        <f>[1]!'4576.TW-ID'</f>
        <v>4576</v>
      </c>
      <c r="B4576" t="str">
        <f>[1]!'4576.TW-Name'</f>
        <v>大銀微系統</v>
      </c>
      <c r="C4576">
        <f>[1]!'4576.TW-SimulatePrice'</f>
        <v>70.2</v>
      </c>
      <c r="D4576">
        <f>[1]!'4576.TW-PreClose'</f>
        <v>69</v>
      </c>
      <c r="E4576" t="str">
        <f>[1]!'4576.TW-SimulateTime'</f>
        <v>13:29:58</v>
      </c>
      <c r="F4576">
        <f>[1]!'4576.TW-Price'</f>
        <v>70.2</v>
      </c>
    </row>
    <row r="4581" spans="1:6" x14ac:dyDescent="0.25">
      <c r="A4581" t="str">
        <f>[1]!'4581.TW-ID'</f>
        <v>4581</v>
      </c>
      <c r="B4581" t="str">
        <f>[1]!'4581.TW-Name'</f>
        <v>光隆精密-KY</v>
      </c>
      <c r="C4581">
        <f>[1]!'4581.TW-SimulatePrice'</f>
        <v>38.85</v>
      </c>
      <c r="D4581">
        <f>[1]!'4581.TW-PreClose'</f>
        <v>38.5</v>
      </c>
      <c r="E4581" t="str">
        <f>[1]!'4581.TW-SimulateTime'</f>
        <v>13:29:52</v>
      </c>
      <c r="F4581">
        <f>[1]!'4581.TW-Price'</f>
        <v>38.85</v>
      </c>
    </row>
    <row r="4720" spans="1:6" x14ac:dyDescent="0.25">
      <c r="A4720" t="str">
        <f>[1]!'4720.TW-ID'</f>
        <v>4720</v>
      </c>
      <c r="B4720" t="str">
        <f>[1]!'4720.TW-Name'</f>
        <v>德淵</v>
      </c>
      <c r="C4720">
        <f>[1]!'4720.TW-SimulatePrice'</f>
        <v>16.2</v>
      </c>
      <c r="D4720">
        <f>[1]!'4720.TW-PreClose'</f>
        <v>16.7</v>
      </c>
      <c r="E4720" t="str">
        <f>[1]!'4720.TW-SimulateTime'</f>
        <v>13:29:55</v>
      </c>
      <c r="F4720">
        <f>[1]!'4720.TW-Price'</f>
        <v>16.25</v>
      </c>
    </row>
    <row r="4722" spans="1:6" x14ac:dyDescent="0.25">
      <c r="A4722" t="str">
        <f>[1]!'4722.TW-ID'</f>
        <v>4722</v>
      </c>
      <c r="B4722" t="str">
        <f>[1]!'4722.TW-Name'</f>
        <v>國精化</v>
      </c>
      <c r="C4722">
        <f>[1]!'4722.TW-SimulatePrice'</f>
        <v>27.15</v>
      </c>
      <c r="D4722">
        <f>[1]!'4722.TW-PreClose'</f>
        <v>26.95</v>
      </c>
      <c r="E4722" t="str">
        <f>[1]!'4722.TW-SimulateTime'</f>
        <v>13:28:51</v>
      </c>
      <c r="F4722">
        <f>[1]!'4722.TW-Price'</f>
        <v>27.15</v>
      </c>
    </row>
    <row r="4725" spans="1:6" x14ac:dyDescent="0.25">
      <c r="A4725" t="str">
        <f>[1]!'4725.TW-ID'</f>
        <v>4725</v>
      </c>
      <c r="B4725" t="str">
        <f>[1]!'4725.TW-Name'</f>
        <v>信昌化</v>
      </c>
      <c r="C4725">
        <f>[1]!'4725.TW-SimulatePrice'</f>
        <v>8.49</v>
      </c>
      <c r="D4725">
        <f>[1]!'4725.TW-PreClose'</f>
        <v>8.77</v>
      </c>
      <c r="E4725" t="str">
        <f>[1]!'4725.TW-SimulateTime'</f>
        <v>13:29:31</v>
      </c>
      <c r="F4725">
        <f>[1]!'4725.TW-Price'</f>
        <v>8.49</v>
      </c>
    </row>
    <row r="4737" spans="1:6" x14ac:dyDescent="0.25">
      <c r="A4737" t="str">
        <f>[1]!'4737.TW-ID'</f>
        <v>4737</v>
      </c>
      <c r="B4737" t="str">
        <f>[1]!'4737.TW-Name'</f>
        <v>華廣</v>
      </c>
      <c r="C4737">
        <f>[1]!'4737.TW-SimulatePrice'</f>
        <v>65.599999999999994</v>
      </c>
      <c r="D4737">
        <f>[1]!'4737.TW-PreClose'</f>
        <v>65.599999999999994</v>
      </c>
      <c r="E4737" t="str">
        <f>[1]!'4737.TW-SimulateTime'</f>
        <v>13:28:08</v>
      </c>
      <c r="F4737">
        <f>[1]!'4737.TW-Price'</f>
        <v>65.599999999999994</v>
      </c>
    </row>
    <row r="4739" spans="1:6" x14ac:dyDescent="0.25">
      <c r="A4739" t="str">
        <f>[1]!'4739.TW-ID'</f>
        <v>4739</v>
      </c>
      <c r="B4739" t="str">
        <f>[1]!'4739.TW-Name'</f>
        <v>康普</v>
      </c>
      <c r="C4739">
        <f>[1]!'4739.TW-SimulatePrice'</f>
        <v>58.3</v>
      </c>
      <c r="D4739">
        <f>[1]!'4739.TW-PreClose'</f>
        <v>60.8</v>
      </c>
      <c r="E4739" t="str">
        <f>[1]!'4739.TW-SimulateTime'</f>
        <v>13:29:53</v>
      </c>
      <c r="F4739">
        <f>[1]!'4739.TW-Price'</f>
        <v>58.3</v>
      </c>
    </row>
    <row r="4746" spans="1:6" x14ac:dyDescent="0.25">
      <c r="A4746" t="str">
        <f>[1]!'4746.TW-ID'</f>
        <v>4746</v>
      </c>
      <c r="B4746" t="str">
        <f>[1]!'4746.TW-Name'</f>
        <v>台耀</v>
      </c>
      <c r="C4746">
        <f>[1]!'4746.TW-SimulatePrice'</f>
        <v>51.2</v>
      </c>
      <c r="D4746">
        <f>[1]!'4746.TW-PreClose'</f>
        <v>52.6</v>
      </c>
      <c r="E4746" t="str">
        <f>[1]!'4746.TW-SimulateTime'</f>
        <v>13:29:58</v>
      </c>
      <c r="F4746">
        <f>[1]!'4746.TW-Price'</f>
        <v>51.2</v>
      </c>
    </row>
    <row r="4755" spans="1:6" x14ac:dyDescent="0.25">
      <c r="A4755" t="str">
        <f>[1]!'4755.TW-ID'</f>
        <v>4755</v>
      </c>
      <c r="B4755" t="str">
        <f>[1]!'4755.TW-Name'</f>
        <v>三福化</v>
      </c>
      <c r="C4755">
        <f>[1]!'4755.TW-SimulatePrice'</f>
        <v>45.4</v>
      </c>
      <c r="D4755">
        <f>[1]!'4755.TW-PreClose'</f>
        <v>45.45</v>
      </c>
      <c r="E4755" t="str">
        <f>[1]!'4755.TW-SimulateTime'</f>
        <v>13:26:14</v>
      </c>
      <c r="F4755">
        <f>[1]!'4755.TW-Price'</f>
        <v>45.4</v>
      </c>
    </row>
    <row r="4763" spans="1:6" x14ac:dyDescent="0.25">
      <c r="A4763" t="str">
        <f>[1]!'4763.TW-ID'</f>
        <v>4763</v>
      </c>
      <c r="B4763" t="str">
        <f>[1]!'4763.TW-Name'</f>
        <v>材料-KY</v>
      </c>
      <c r="C4763">
        <f>[1]!'4763.TW-SimulatePrice'</f>
        <v>124.5</v>
      </c>
      <c r="D4763">
        <f>[1]!'4763.TW-PreClose'</f>
        <v>123.5</v>
      </c>
      <c r="E4763" t="str">
        <f>[1]!'4763.TW-SimulateTime'</f>
        <v>13:29:55</v>
      </c>
      <c r="F4763">
        <f>[1]!'4763.TW-Price'</f>
        <v>124.5</v>
      </c>
    </row>
    <row r="4764" spans="1:6" x14ac:dyDescent="0.25">
      <c r="A4764" t="str">
        <f>[1]!'4764.TW-ID'</f>
        <v>4764</v>
      </c>
      <c r="B4764" t="str">
        <f>[1]!'4764.TW-Name'</f>
        <v>雙鍵</v>
      </c>
      <c r="C4764">
        <f>[1]!'4764.TW-SimulatePrice'</f>
        <v>66.599999999999994</v>
      </c>
      <c r="D4764">
        <f>[1]!'4764.TW-PreClose'</f>
        <v>65.900000000000006</v>
      </c>
      <c r="E4764" t="str">
        <f>[1]!'4764.TW-SimulateTime'</f>
        <v>13:28:28</v>
      </c>
      <c r="F4764">
        <f>[1]!'4764.TW-Price'</f>
        <v>66.599999999999994</v>
      </c>
    </row>
    <row r="4766" spans="1:6" x14ac:dyDescent="0.25">
      <c r="A4766" t="str">
        <f>[1]!'4766.TW-ID'</f>
        <v>4766</v>
      </c>
      <c r="B4766" t="str">
        <f>[1]!'4766.TW-Name'</f>
        <v>南寶</v>
      </c>
      <c r="C4766">
        <f>[1]!'4766.TW-SimulatePrice'</f>
        <v>120.5</v>
      </c>
      <c r="D4766">
        <f>[1]!'4766.TW-PreClose'</f>
        <v>121.5</v>
      </c>
      <c r="E4766" t="str">
        <f>[1]!'4766.TW-SimulateTime'</f>
        <v>13:29:58</v>
      </c>
      <c r="F4766">
        <f>[1]!'4766.TW-Price'</f>
        <v>120.5</v>
      </c>
    </row>
    <row r="4807" spans="1:6" x14ac:dyDescent="0.25">
      <c r="A4807" t="str">
        <f>[1]!'4807.TW-ID'</f>
        <v>4807</v>
      </c>
      <c r="B4807" t="str">
        <f>[1]!'4807.TW-Name'</f>
        <v>日成-KY</v>
      </c>
      <c r="C4807">
        <f>[1]!'4807.TW-SimulatePrice'</f>
        <v>32.450000000000003</v>
      </c>
      <c r="D4807">
        <f>[1]!'4807.TW-PreClose'</f>
        <v>29.5</v>
      </c>
      <c r="E4807" t="str">
        <f>[1]!'4807.TW-SimulateTime'</f>
        <v>13:29:58</v>
      </c>
      <c r="F4807">
        <f>[1]!'4807.TW-Price'</f>
        <v>32.450000000000003</v>
      </c>
    </row>
    <row r="4904" spans="1:6" x14ac:dyDescent="0.25">
      <c r="A4904" t="str">
        <f>[1]!'4904.TW-ID'</f>
        <v>4904</v>
      </c>
      <c r="B4904" t="str">
        <f>[1]!'4904.TW-Name'</f>
        <v>遠傳</v>
      </c>
      <c r="C4904">
        <f>[1]!'4904.TW-SimulatePrice'</f>
        <v>65.8</v>
      </c>
      <c r="D4904">
        <f>[1]!'4904.TW-PreClose'</f>
        <v>65.900000000000006</v>
      </c>
      <c r="E4904" t="str">
        <f>[1]!'4904.TW-SimulateTime'</f>
        <v>13:29:57</v>
      </c>
      <c r="F4904">
        <f>[1]!'4904.TW-Price'</f>
        <v>65.8</v>
      </c>
    </row>
    <row r="4906" spans="1:6" x14ac:dyDescent="0.25">
      <c r="A4906" t="str">
        <f>[1]!'4906.TW-ID'</f>
        <v>4906</v>
      </c>
      <c r="B4906" t="str">
        <f>[1]!'4906.TW-Name'</f>
        <v>正文</v>
      </c>
      <c r="C4906">
        <f>[1]!'4906.TW-SimulatePrice'</f>
        <v>21.05</v>
      </c>
      <c r="D4906">
        <f>[1]!'4906.TW-PreClose'</f>
        <v>21.65</v>
      </c>
      <c r="E4906" t="str">
        <f>[1]!'4906.TW-SimulateTime'</f>
        <v>13:29:50</v>
      </c>
      <c r="F4906">
        <f>[1]!'4906.TW-Price'</f>
        <v>21.1</v>
      </c>
    </row>
    <row r="4912" spans="1:6" x14ac:dyDescent="0.25">
      <c r="A4912" t="str">
        <f>[1]!'4912.TW-ID'</f>
        <v>4912</v>
      </c>
      <c r="B4912" t="str">
        <f>[1]!'4912.TW-Name'</f>
        <v>聯德控股-KY</v>
      </c>
      <c r="C4912">
        <f>[1]!'4912.TW-SimulatePrice'</f>
        <v>79.3</v>
      </c>
      <c r="D4912">
        <f>[1]!'4912.TW-PreClose'</f>
        <v>80.5</v>
      </c>
      <c r="E4912" t="str">
        <f>[1]!'4912.TW-SimulateTime'</f>
        <v>13:29:08</v>
      </c>
      <c r="F4912">
        <f>[1]!'4912.TW-Price'</f>
        <v>79.3</v>
      </c>
    </row>
    <row r="4915" spans="1:6" x14ac:dyDescent="0.25">
      <c r="A4915" t="str">
        <f>[1]!'4915.TW-ID'</f>
        <v>4915</v>
      </c>
      <c r="B4915" t="str">
        <f>[1]!'4915.TW-Name'</f>
        <v>致伸</v>
      </c>
      <c r="C4915">
        <f>[1]!'4915.TW-SimulatePrice'</f>
        <v>47.9</v>
      </c>
      <c r="D4915">
        <f>[1]!'4915.TW-PreClose'</f>
        <v>47.8</v>
      </c>
      <c r="E4915" t="str">
        <f>[1]!'4915.TW-SimulateTime'</f>
        <v>13:29:55</v>
      </c>
      <c r="F4915">
        <f>[1]!'4915.TW-Price'</f>
        <v>47.95</v>
      </c>
    </row>
    <row r="4916" spans="1:6" x14ac:dyDescent="0.25">
      <c r="A4916" t="str">
        <f>[1]!'4916.TW-ID'</f>
        <v>4916</v>
      </c>
      <c r="B4916" t="str">
        <f>[1]!'4916.TW-Name'</f>
        <v>事欣科</v>
      </c>
      <c r="C4916">
        <f>[1]!'4916.TW-SimulatePrice'</f>
        <v>26.3</v>
      </c>
      <c r="D4916">
        <f>[1]!'4916.TW-PreClose'</f>
        <v>26.5</v>
      </c>
      <c r="E4916" t="str">
        <f>[1]!'4916.TW-SimulateTime'</f>
        <v>13:29:37</v>
      </c>
      <c r="F4916">
        <f>[1]!'4916.TW-Price'</f>
        <v>26.3</v>
      </c>
    </row>
    <row r="4919" spans="1:6" x14ac:dyDescent="0.25">
      <c r="A4919" t="str">
        <f>[1]!'4919.TW-ID'</f>
        <v>4919</v>
      </c>
      <c r="B4919" t="str">
        <f>[1]!'4919.TW-Name'</f>
        <v>新唐</v>
      </c>
      <c r="C4919">
        <f>[1]!'4919.TW-SimulatePrice'</f>
        <v>36</v>
      </c>
      <c r="D4919">
        <f>[1]!'4919.TW-PreClose'</f>
        <v>36.85</v>
      </c>
      <c r="E4919" t="str">
        <f>[1]!'4919.TW-SimulateTime'</f>
        <v>13:29:46</v>
      </c>
      <c r="F4919">
        <f>[1]!'4919.TW-Price'</f>
        <v>36</v>
      </c>
    </row>
    <row r="4927" spans="1:6" x14ac:dyDescent="0.25">
      <c r="A4927" t="str">
        <f>[1]!'4927.TW-ID'</f>
        <v>4927</v>
      </c>
      <c r="B4927" t="str">
        <f>[1]!'4927.TW-Name'</f>
        <v>泰鼎-KY</v>
      </c>
      <c r="C4927">
        <f>[1]!'4927.TW-SimulatePrice'</f>
        <v>60.9</v>
      </c>
      <c r="D4927">
        <f>[1]!'4927.TW-PreClose'</f>
        <v>60.6</v>
      </c>
      <c r="E4927" t="str">
        <f>[1]!'4927.TW-SimulateTime'</f>
        <v>13:29:58</v>
      </c>
      <c r="F4927">
        <f>[1]!'4927.TW-Price'</f>
        <v>60.8</v>
      </c>
    </row>
    <row r="4930" spans="1:6" x14ac:dyDescent="0.25">
      <c r="A4930" t="str">
        <f>[1]!'4930.TW-ID'</f>
        <v>4930</v>
      </c>
      <c r="B4930" t="str">
        <f>[1]!'4930.TW-Name'</f>
        <v>燦星網</v>
      </c>
      <c r="C4930">
        <f>[1]!'4930.TW-SimulatePrice'</f>
        <v>9.56</v>
      </c>
      <c r="D4930">
        <f>[1]!'4930.TW-PreClose'</f>
        <v>9.56</v>
      </c>
      <c r="E4930" t="str">
        <f>[1]!'4930.TW-SimulateTime'</f>
        <v>13:27:41</v>
      </c>
      <c r="F4930">
        <f>[1]!'4930.TW-Price'</f>
        <v>9.5399999999999991</v>
      </c>
    </row>
    <row r="4934" spans="1:6" x14ac:dyDescent="0.25">
      <c r="A4934" t="str">
        <f>[1]!'4934.TW-ID'</f>
        <v>4934</v>
      </c>
      <c r="B4934" t="str">
        <f>[1]!'4934.TW-Name'</f>
        <v>太極</v>
      </c>
      <c r="C4934">
        <f>[1]!'4934.TW-SimulatePrice'</f>
        <v>16.45</v>
      </c>
      <c r="D4934">
        <f>[1]!'4934.TW-PreClose'</f>
        <v>16.55</v>
      </c>
      <c r="E4934" t="str">
        <f>[1]!'4934.TW-SimulateTime'</f>
        <v>13:29:54</v>
      </c>
      <c r="F4934">
        <f>[1]!'4934.TW-Price'</f>
        <v>16.45</v>
      </c>
    </row>
    <row r="4935" spans="1:6" x14ac:dyDescent="0.25">
      <c r="A4935" t="str">
        <f>[1]!'4935.TW-ID'</f>
        <v>4935</v>
      </c>
      <c r="B4935" t="str">
        <f>[1]!'4935.TW-Name'</f>
        <v>茂林-KY</v>
      </c>
      <c r="C4935">
        <f>[1]!'4935.TW-SimulatePrice'</f>
        <v>128.5</v>
      </c>
      <c r="D4935">
        <f>[1]!'4935.TW-PreClose'</f>
        <v>125.5</v>
      </c>
      <c r="E4935" t="str">
        <f>[1]!'4935.TW-SimulateTime'</f>
        <v>13:29:57</v>
      </c>
      <c r="F4935">
        <f>[1]!'4935.TW-Price'</f>
        <v>128.5</v>
      </c>
    </row>
    <row r="4938" spans="1:6" x14ac:dyDescent="0.25">
      <c r="A4938" t="str">
        <f>[1]!'4938.TW-ID'</f>
        <v>4938</v>
      </c>
      <c r="B4938" t="str">
        <f>[1]!'4938.TW-Name'</f>
        <v>和碩</v>
      </c>
      <c r="C4938">
        <f>[1]!'4938.TW-SimulatePrice'</f>
        <v>62.6</v>
      </c>
      <c r="D4938">
        <f>[1]!'4938.TW-PreClose'</f>
        <v>66</v>
      </c>
      <c r="E4938" t="str">
        <f>[1]!'4938.TW-SimulateTime'</f>
        <v>13:29:58</v>
      </c>
      <c r="F4938">
        <f>[1]!'4938.TW-Price'</f>
        <v>62.6</v>
      </c>
    </row>
    <row r="4942" spans="1:6" x14ac:dyDescent="0.25">
      <c r="A4942" t="str">
        <f>[1]!'4942.TW-ID'</f>
        <v>4942</v>
      </c>
      <c r="B4942" t="str">
        <f>[1]!'4942.TW-Name'</f>
        <v>嘉彰</v>
      </c>
      <c r="C4942">
        <f>[1]!'4942.TW-SimulatePrice'</f>
        <v>33.1</v>
      </c>
      <c r="D4942">
        <f>[1]!'4942.TW-PreClose'</f>
        <v>33.299999999999997</v>
      </c>
      <c r="E4942" t="str">
        <f>[1]!'4942.TW-SimulateTime'</f>
        <v>13:29:16</v>
      </c>
      <c r="F4942">
        <f>[1]!'4942.TW-Price'</f>
        <v>33.1</v>
      </c>
    </row>
    <row r="4943" spans="1:6" x14ac:dyDescent="0.25">
      <c r="A4943" t="str">
        <f>[1]!'4943.TW-ID'</f>
        <v>4943</v>
      </c>
      <c r="B4943" t="str">
        <f>[1]!'4943.TW-Name'</f>
        <v>康控-KY</v>
      </c>
      <c r="C4943">
        <f>[1]!'4943.TW-SimulatePrice'</f>
        <v>115.5</v>
      </c>
      <c r="D4943">
        <f>[1]!'4943.TW-PreClose'</f>
        <v>118</v>
      </c>
      <c r="E4943" t="str">
        <f>[1]!'4943.TW-SimulateTime'</f>
        <v>13:29:57</v>
      </c>
      <c r="F4943">
        <f>[1]!'4943.TW-Price'</f>
        <v>115.5</v>
      </c>
    </row>
    <row r="4952" spans="1:6" x14ac:dyDescent="0.25">
      <c r="A4952" t="str">
        <f>[1]!'4952.TW-ID'</f>
        <v>4952</v>
      </c>
      <c r="B4952" t="str">
        <f>[1]!'4952.TW-Name'</f>
        <v>凌通</v>
      </c>
      <c r="C4952">
        <f>[1]!'4952.TW-SimulatePrice'</f>
        <v>28.75</v>
      </c>
      <c r="D4952">
        <f>[1]!'4952.TW-PreClose'</f>
        <v>28.8</v>
      </c>
      <c r="E4952" t="str">
        <f>[1]!'4952.TW-SimulateTime'</f>
        <v>13:28:29</v>
      </c>
      <c r="F4952">
        <f>[1]!'4952.TW-Price'</f>
        <v>28.75</v>
      </c>
    </row>
    <row r="4956" spans="1:6" x14ac:dyDescent="0.25">
      <c r="A4956" t="str">
        <f>[1]!'4956.TW-ID'</f>
        <v>4956</v>
      </c>
      <c r="B4956" t="str">
        <f>[1]!'4956.TW-Name'</f>
        <v>光鋐</v>
      </c>
      <c r="C4956" t="str">
        <f>[1]!'4956.TW-SimulatePrice'</f>
        <v>--</v>
      </c>
      <c r="D4956">
        <f>[1]!'4956.TW-PreClose'</f>
        <v>15.9</v>
      </c>
      <c r="E4956" t="str">
        <f>[1]!'4956.TW-SimulateTime'</f>
        <v>--</v>
      </c>
      <c r="F4956">
        <f>[1]!'4956.TW-Price'</f>
        <v>16.55</v>
      </c>
    </row>
    <row r="4958" spans="1:6" x14ac:dyDescent="0.25">
      <c r="A4958" t="str">
        <f>[1]!'4958.TW-ID'</f>
        <v>4958</v>
      </c>
      <c r="B4958" t="str">
        <f>[1]!'4958.TW-Name'</f>
        <v>臻鼎-KY</v>
      </c>
      <c r="C4958">
        <f>[1]!'4958.TW-SimulatePrice'</f>
        <v>113.5</v>
      </c>
      <c r="D4958">
        <f>[1]!'4958.TW-PreClose'</f>
        <v>113.5</v>
      </c>
      <c r="E4958" t="str">
        <f>[1]!'4958.TW-SimulateTime'</f>
        <v>13:29:57</v>
      </c>
      <c r="F4958">
        <f>[1]!'4958.TW-Price'</f>
        <v>113.5</v>
      </c>
    </row>
    <row r="4960" spans="1:6" x14ac:dyDescent="0.25">
      <c r="A4960" t="str">
        <f>[1]!'4960.TW-ID'</f>
        <v>4960</v>
      </c>
      <c r="B4960" t="str">
        <f>[1]!'4960.TW-Name'</f>
        <v>誠美材</v>
      </c>
      <c r="C4960">
        <f>[1]!'4960.TW-SimulatePrice'</f>
        <v>6.49</v>
      </c>
      <c r="D4960">
        <f>[1]!'4960.TW-PreClose'</f>
        <v>6.66</v>
      </c>
      <c r="E4960" t="str">
        <f>[1]!'4960.TW-SimulateTime'</f>
        <v>13:29:39</v>
      </c>
      <c r="F4960">
        <f>[1]!'4960.TW-Price'</f>
        <v>6.49</v>
      </c>
    </row>
    <row r="4961" spans="1:6" x14ac:dyDescent="0.25">
      <c r="A4961" t="str">
        <f>[1]!'4961.TW-ID'</f>
        <v>4961</v>
      </c>
      <c r="B4961" t="str">
        <f>[1]!'4961.TW-Name'</f>
        <v>天鈺</v>
      </c>
      <c r="C4961">
        <f>[1]!'4961.TW-SimulatePrice'</f>
        <v>26.3</v>
      </c>
      <c r="D4961">
        <f>[1]!'4961.TW-PreClose'</f>
        <v>26.95</v>
      </c>
      <c r="E4961" t="str">
        <f>[1]!'4961.TW-SimulateTime'</f>
        <v>13:29:28</v>
      </c>
      <c r="F4961">
        <f>[1]!'4961.TW-Price'</f>
        <v>26.3</v>
      </c>
    </row>
    <row r="4967" spans="1:6" x14ac:dyDescent="0.25">
      <c r="A4967" t="str">
        <f>[1]!'4967.TW-ID'</f>
        <v>4967</v>
      </c>
      <c r="B4967" t="str">
        <f>[1]!'4967.TW-Name'</f>
        <v>十銓</v>
      </c>
      <c r="C4967">
        <f>[1]!'4967.TW-SimulatePrice'</f>
        <v>37.85</v>
      </c>
      <c r="D4967">
        <f>[1]!'4967.TW-PreClose'</f>
        <v>38.5</v>
      </c>
      <c r="E4967" t="str">
        <f>[1]!'4967.TW-SimulateTime'</f>
        <v>13:29:54</v>
      </c>
      <c r="F4967">
        <f>[1]!'4967.TW-Price'</f>
        <v>37.85</v>
      </c>
    </row>
    <row r="4968" spans="1:6" x14ac:dyDescent="0.25">
      <c r="A4968" t="str">
        <f>[1]!'4968.TW-ID'</f>
        <v>4968</v>
      </c>
      <c r="B4968" t="str">
        <f>[1]!'4968.TW-Name'</f>
        <v>立積</v>
      </c>
      <c r="C4968">
        <f>[1]!'4968.TW-SimulatePrice'</f>
        <v>165</v>
      </c>
      <c r="D4968">
        <f>[1]!'4968.TW-PreClose'</f>
        <v>166</v>
      </c>
      <c r="E4968" t="str">
        <f>[1]!'4968.TW-SimulateTime'</f>
        <v>13:29:59</v>
      </c>
      <c r="F4968">
        <f>[1]!'4968.TW-Price'</f>
        <v>165</v>
      </c>
    </row>
    <row r="4976" spans="1:6" x14ac:dyDescent="0.25">
      <c r="A4976" t="str">
        <f>[1]!'4976.TW-ID'</f>
        <v>4976</v>
      </c>
      <c r="B4976" t="str">
        <f>[1]!'4976.TW-Name'</f>
        <v>佳凌</v>
      </c>
      <c r="C4976">
        <f>[1]!'4976.TW-SimulatePrice'</f>
        <v>17.100000000000001</v>
      </c>
      <c r="D4976">
        <f>[1]!'4976.TW-PreClose'</f>
        <v>17.5</v>
      </c>
      <c r="E4976" t="str">
        <f>[1]!'4976.TW-SimulateTime'</f>
        <v>13:29:10</v>
      </c>
      <c r="F4976">
        <f>[1]!'4976.TW-Price'</f>
        <v>17.100000000000001</v>
      </c>
    </row>
    <row r="4977" spans="1:6" x14ac:dyDescent="0.25">
      <c r="A4977" t="str">
        <f>[1]!'4977.TW-ID'</f>
        <v>4977</v>
      </c>
      <c r="B4977" t="str">
        <f>[1]!'4977.TW-Name'</f>
        <v>眾達-KY</v>
      </c>
      <c r="C4977">
        <f>[1]!'4977.TW-SimulatePrice'</f>
        <v>124</v>
      </c>
      <c r="D4977">
        <f>[1]!'4977.TW-PreClose'</f>
        <v>120</v>
      </c>
      <c r="E4977" t="str">
        <f>[1]!'4977.TW-SimulateTime'</f>
        <v>13:29:57</v>
      </c>
      <c r="F4977">
        <f>[1]!'4977.TW-Price'</f>
        <v>124</v>
      </c>
    </row>
    <row r="4989" spans="1:6" x14ac:dyDescent="0.25">
      <c r="A4989" t="str">
        <f>[1]!'4989.TW-ID'</f>
        <v>4989</v>
      </c>
      <c r="B4989" t="str">
        <f>[1]!'4989.TW-Name'</f>
        <v>榮科</v>
      </c>
      <c r="C4989">
        <f>[1]!'4989.TW-SimulatePrice'</f>
        <v>19.2</v>
      </c>
      <c r="D4989">
        <f>[1]!'4989.TW-PreClose'</f>
        <v>19.2</v>
      </c>
      <c r="E4989" t="str">
        <f>[1]!'4989.TW-SimulateTime'</f>
        <v>13:28:52</v>
      </c>
      <c r="F4989">
        <f>[1]!'4989.TW-Price'</f>
        <v>19.2</v>
      </c>
    </row>
    <row r="4994" spans="1:6" x14ac:dyDescent="0.25">
      <c r="A4994" t="str">
        <f>[1]!'4994.TW-ID'</f>
        <v>4994</v>
      </c>
      <c r="B4994" t="str">
        <f>[1]!'4994.TW-Name'</f>
        <v>傳奇</v>
      </c>
      <c r="C4994">
        <f>[1]!'4994.TW-SimulatePrice'</f>
        <v>64.900000000000006</v>
      </c>
      <c r="D4994">
        <f>[1]!'4994.TW-PreClose'</f>
        <v>64.900000000000006</v>
      </c>
      <c r="E4994" t="str">
        <f>[1]!'4994.TW-SimulateTime'</f>
        <v>13:28:58</v>
      </c>
      <c r="F4994">
        <f>[1]!'4994.TW-Price'</f>
        <v>64.900000000000006</v>
      </c>
    </row>
    <row r="4999" spans="1:6" x14ac:dyDescent="0.25">
      <c r="A4999" t="str">
        <f>[1]!'4999.TW-ID'</f>
        <v>4999</v>
      </c>
      <c r="B4999" t="str">
        <f>[1]!'4999.TW-Name'</f>
        <v>鑫禾</v>
      </c>
      <c r="C4999">
        <f>[1]!'4999.TW-SimulatePrice'</f>
        <v>40.200000000000003</v>
      </c>
      <c r="D4999">
        <f>[1]!'4999.TW-PreClose'</f>
        <v>39.85</v>
      </c>
      <c r="E4999" t="str">
        <f>[1]!'4999.TW-SimulateTime'</f>
        <v>13:29:34</v>
      </c>
      <c r="F4999">
        <f>[1]!'4999.TW-Price'</f>
        <v>40.200000000000003</v>
      </c>
    </row>
    <row r="5007" spans="1:6" x14ac:dyDescent="0.25">
      <c r="A5007" t="str">
        <f>[1]!'5007.TW-ID'</f>
        <v>5007</v>
      </c>
      <c r="B5007" t="str">
        <f>[1]!'5007.TW-Name'</f>
        <v>三星</v>
      </c>
      <c r="C5007">
        <f>[1]!'5007.TW-SimulatePrice'</f>
        <v>45</v>
      </c>
      <c r="D5007">
        <f>[1]!'5007.TW-PreClose'</f>
        <v>45</v>
      </c>
      <c r="E5007" t="str">
        <f>[1]!'5007.TW-SimulateTime'</f>
        <v>13:29:54</v>
      </c>
      <c r="F5007">
        <f>[1]!'5007.TW-Price'</f>
        <v>45</v>
      </c>
    </row>
    <row r="5203" spans="1:6" x14ac:dyDescent="0.25">
      <c r="A5203" t="str">
        <f>[1]!'5203.TW-ID'</f>
        <v>5203</v>
      </c>
      <c r="B5203" t="str">
        <f>[1]!'5203.TW-Name'</f>
        <v>訊連</v>
      </c>
      <c r="C5203">
        <f>[1]!'5203.TW-SimulatePrice'</f>
        <v>115</v>
      </c>
      <c r="D5203">
        <f>[1]!'5203.TW-PreClose'</f>
        <v>112</v>
      </c>
      <c r="E5203" t="str">
        <f>[1]!'5203.TW-SimulateTime'</f>
        <v>13:29:51</v>
      </c>
      <c r="F5203">
        <f>[1]!'5203.TW-Price'</f>
        <v>115</v>
      </c>
    </row>
    <row r="5215" spans="1:6" x14ac:dyDescent="0.25">
      <c r="A5215" t="str">
        <f>[1]!'5215.TW-ID'</f>
        <v>5215</v>
      </c>
      <c r="B5215" t="str">
        <f>[1]!'5215.TW-Name'</f>
        <v>科嘉-KY</v>
      </c>
      <c r="C5215">
        <f>[1]!'5215.TW-SimulatePrice'</f>
        <v>72</v>
      </c>
      <c r="D5215">
        <f>[1]!'5215.TW-PreClose'</f>
        <v>69.8</v>
      </c>
      <c r="E5215" t="str">
        <f>[1]!'5215.TW-SimulateTime'</f>
        <v>13:29:53</v>
      </c>
      <c r="F5215">
        <f>[1]!'5215.TW-Price'</f>
        <v>72</v>
      </c>
    </row>
    <row r="5225" spans="1:6" x14ac:dyDescent="0.25">
      <c r="A5225" t="str">
        <f>[1]!'5225.TW-ID'</f>
        <v>5225</v>
      </c>
      <c r="B5225" t="str">
        <f>[1]!'5225.TW-Name'</f>
        <v>東科-KY</v>
      </c>
      <c r="C5225">
        <f>[1]!'5225.TW-SimulatePrice'</f>
        <v>25.2</v>
      </c>
      <c r="D5225">
        <f>[1]!'5225.TW-PreClose'</f>
        <v>25.55</v>
      </c>
      <c r="E5225" t="str">
        <f>[1]!'5225.TW-SimulateTime'</f>
        <v>13:29:28</v>
      </c>
      <c r="F5225">
        <f>[1]!'5225.TW-Price'</f>
        <v>25.2</v>
      </c>
    </row>
    <row r="5234" spans="1:6" x14ac:dyDescent="0.25">
      <c r="A5234" t="str">
        <f>[1]!'5234.TW-ID'</f>
        <v>5234</v>
      </c>
      <c r="B5234" t="str">
        <f>[1]!'5234.TW-Name'</f>
        <v>達興材料</v>
      </c>
      <c r="C5234">
        <f>[1]!'5234.TW-SimulatePrice'</f>
        <v>85.7</v>
      </c>
      <c r="D5234">
        <f>[1]!'5234.TW-PreClose'</f>
        <v>85.5</v>
      </c>
      <c r="E5234" t="str">
        <f>[1]!'5234.TW-SimulateTime'</f>
        <v>13:29:57</v>
      </c>
      <c r="F5234">
        <f>[1]!'5234.TW-Price'</f>
        <v>85.7</v>
      </c>
    </row>
    <row r="5243" spans="1:6" x14ac:dyDescent="0.25">
      <c r="A5243" t="str">
        <f>[1]!'5243.TW-ID'</f>
        <v>5243</v>
      </c>
      <c r="B5243" t="str">
        <f>[1]!'5243.TW-Name'</f>
        <v>乙盛-KY</v>
      </c>
      <c r="C5243">
        <f>[1]!'5243.TW-SimulatePrice'</f>
        <v>30.4</v>
      </c>
      <c r="D5243">
        <f>[1]!'5243.TW-PreClose'</f>
        <v>31</v>
      </c>
      <c r="E5243" t="str">
        <f>[1]!'5243.TW-SimulateTime'</f>
        <v>13:29:58</v>
      </c>
      <c r="F5243">
        <f>[1]!'5243.TW-Price'</f>
        <v>30.4</v>
      </c>
    </row>
    <row r="5258" spans="1:6" x14ac:dyDescent="0.25">
      <c r="A5258" t="str">
        <f>[1]!'5258.TW-ID'</f>
        <v>5258</v>
      </c>
      <c r="B5258" t="str">
        <f>[1]!'5258.TW-Name'</f>
        <v>虹堡</v>
      </c>
      <c r="C5258">
        <f>[1]!'5258.TW-SimulatePrice'</f>
        <v>23.8</v>
      </c>
      <c r="D5258">
        <f>[1]!'5258.TW-PreClose'</f>
        <v>24.55</v>
      </c>
      <c r="E5258" t="str">
        <f>[1]!'5258.TW-SimulateTime'</f>
        <v>13:29:43</v>
      </c>
      <c r="F5258">
        <f>[1]!'5258.TW-Price'</f>
        <v>23.8</v>
      </c>
    </row>
    <row r="5264" spans="1:6" x14ac:dyDescent="0.25">
      <c r="A5264" t="str">
        <f>[1]!'5264.TW-ID'</f>
        <v>5264</v>
      </c>
      <c r="B5264" t="str">
        <f>[1]!'5264.TW-Name'</f>
        <v>鎧勝-KY</v>
      </c>
      <c r="C5264">
        <f>[1]!'5264.TW-SimulatePrice'</f>
        <v>42.4</v>
      </c>
      <c r="D5264">
        <f>[1]!'5264.TW-PreClose'</f>
        <v>42.6</v>
      </c>
      <c r="E5264" t="str">
        <f>[1]!'5264.TW-SimulateTime'</f>
        <v>13:29:30</v>
      </c>
      <c r="F5264">
        <f>[1]!'5264.TW-Price'</f>
        <v>42.4</v>
      </c>
    </row>
    <row r="5269" spans="1:6" x14ac:dyDescent="0.25">
      <c r="A5269" t="str">
        <f>[1]!'5269.TW-ID'</f>
        <v>5269</v>
      </c>
      <c r="B5269" t="str">
        <f>[1]!'5269.TW-Name'</f>
        <v>祥碩</v>
      </c>
      <c r="C5269">
        <f>[1]!'5269.TW-SimulatePrice'</f>
        <v>1050</v>
      </c>
      <c r="D5269">
        <f>[1]!'5269.TW-PreClose'</f>
        <v>956</v>
      </c>
      <c r="E5269" t="str">
        <f>[1]!'5269.TW-SimulateTime'</f>
        <v>13:29:55</v>
      </c>
      <c r="F5269">
        <f>[1]!'5269.TW-Price'</f>
        <v>1050</v>
      </c>
    </row>
    <row r="5283" spans="1:6" x14ac:dyDescent="0.25">
      <c r="A5283" t="str">
        <f>[1]!'5283.TW-ID'</f>
        <v>5283</v>
      </c>
      <c r="B5283" t="str">
        <f>[1]!'5283.TW-Name'</f>
        <v>禾聯碩</v>
      </c>
      <c r="C5283">
        <f>[1]!'5283.TW-SimulatePrice'</f>
        <v>99</v>
      </c>
      <c r="D5283">
        <f>[1]!'5283.TW-PreClose'</f>
        <v>99.2</v>
      </c>
      <c r="E5283" t="str">
        <f>[1]!'5283.TW-SimulateTime'</f>
        <v>13:28:57</v>
      </c>
      <c r="F5283">
        <f>[1]!'5283.TW-Price'</f>
        <v>99</v>
      </c>
    </row>
    <row r="5284" spans="1:6" x14ac:dyDescent="0.25">
      <c r="A5284" t="str">
        <f>[1]!'5284.TW-ID'</f>
        <v>5284</v>
      </c>
      <c r="B5284" t="str">
        <f>[1]!'5284.TW-Name'</f>
        <v>jpp-KY</v>
      </c>
      <c r="C5284">
        <f>[1]!'5284.TW-SimulatePrice'</f>
        <v>40.049999999999997</v>
      </c>
      <c r="D5284">
        <f>[1]!'5284.TW-PreClose'</f>
        <v>39.9</v>
      </c>
      <c r="E5284" t="str">
        <f>[1]!'5284.TW-SimulateTime'</f>
        <v>13:29:58</v>
      </c>
      <c r="F5284">
        <f>[1]!'5284.TW-Price'</f>
        <v>40.049999999999997</v>
      </c>
    </row>
    <row r="5285" spans="1:6" x14ac:dyDescent="0.25">
      <c r="A5285" t="str">
        <f>[1]!'5285.TW-ID'</f>
        <v>5285</v>
      </c>
      <c r="B5285" t="str">
        <f>[1]!'5285.TW-Name'</f>
        <v>界霖</v>
      </c>
      <c r="C5285">
        <f>[1]!'5285.TW-SimulatePrice'</f>
        <v>40.85</v>
      </c>
      <c r="D5285">
        <f>[1]!'5285.TW-PreClose'</f>
        <v>41.9</v>
      </c>
      <c r="E5285" t="str">
        <f>[1]!'5285.TW-SimulateTime'</f>
        <v>13:29:58</v>
      </c>
      <c r="F5285">
        <f>[1]!'5285.TW-Price'</f>
        <v>40.85</v>
      </c>
    </row>
    <row r="5288" spans="1:6" x14ac:dyDescent="0.25">
      <c r="A5288" t="str">
        <f>[1]!'5288.TW-ID'</f>
        <v>5288</v>
      </c>
      <c r="B5288" t="str">
        <f>[1]!'5288.TW-Name'</f>
        <v>豐祥-KY</v>
      </c>
      <c r="C5288">
        <f>[1]!'5288.TW-SimulatePrice'</f>
        <v>92.7</v>
      </c>
      <c r="D5288">
        <f>[1]!'5288.TW-PreClose'</f>
        <v>92.3</v>
      </c>
      <c r="E5288" t="str">
        <f>[1]!'5288.TW-SimulateTime'</f>
        <v>13:29:56</v>
      </c>
      <c r="F5288">
        <f>[1]!'5288.TW-Price'</f>
        <v>92.7</v>
      </c>
    </row>
    <row r="5305" spans="1:6" x14ac:dyDescent="0.25">
      <c r="A5305" t="str">
        <f>[1]!'5305.TW-ID'</f>
        <v>5305</v>
      </c>
      <c r="B5305" t="str">
        <f>[1]!'5305.TW-Name'</f>
        <v>敦南</v>
      </c>
      <c r="C5305">
        <f>[1]!'5305.TW-SimulatePrice'</f>
        <v>41.45</v>
      </c>
      <c r="D5305">
        <f>[1]!'5305.TW-PreClose'</f>
        <v>41.35</v>
      </c>
      <c r="E5305" t="str">
        <f>[1]!'5305.TW-SimulateTime'</f>
        <v>13:29:44</v>
      </c>
      <c r="F5305">
        <f>[1]!'5305.TW-Price'</f>
        <v>41.45</v>
      </c>
    </row>
    <row r="5388" spans="1:6" x14ac:dyDescent="0.25">
      <c r="A5388" t="str">
        <f>[1]!'5388.TW-ID'</f>
        <v>5388</v>
      </c>
      <c r="B5388" t="str">
        <f>[1]!'5388.TW-Name'</f>
        <v>中磊</v>
      </c>
      <c r="C5388">
        <f>[1]!'5388.TW-SimulatePrice'</f>
        <v>72.099999999999994</v>
      </c>
      <c r="D5388">
        <f>[1]!'5388.TW-PreClose'</f>
        <v>72.2</v>
      </c>
      <c r="E5388" t="str">
        <f>[1]!'5388.TW-SimulateTime'</f>
        <v>13:29:50</v>
      </c>
      <c r="F5388">
        <f>[1]!'5388.TW-Price'</f>
        <v>72.099999999999994</v>
      </c>
    </row>
    <row r="5434" spans="1:6" x14ac:dyDescent="0.25">
      <c r="A5434" t="str">
        <f>[1]!'5434.TW-ID'</f>
        <v>5434</v>
      </c>
      <c r="B5434" t="str">
        <f>[1]!'5434.TW-Name'</f>
        <v>崇越</v>
      </c>
      <c r="C5434">
        <f>[1]!'5434.TW-SimulatePrice'</f>
        <v>102.5</v>
      </c>
      <c r="D5434">
        <f>[1]!'5434.TW-PreClose'</f>
        <v>101</v>
      </c>
      <c r="E5434" t="str">
        <f>[1]!'5434.TW-SimulateTime'</f>
        <v>13:29:59</v>
      </c>
      <c r="F5434">
        <f>[1]!'5434.TW-Price'</f>
        <v>102.5</v>
      </c>
    </row>
    <row r="5469" spans="1:6" x14ac:dyDescent="0.25">
      <c r="A5469" t="str">
        <f>[1]!'5469.TW-ID'</f>
        <v>5469</v>
      </c>
      <c r="B5469" t="str">
        <f>[1]!'5469.TW-Name'</f>
        <v>瀚宇博</v>
      </c>
      <c r="C5469">
        <f>[1]!'5469.TW-SimulatePrice'</f>
        <v>37.6</v>
      </c>
      <c r="D5469">
        <f>[1]!'5469.TW-PreClose'</f>
        <v>37.65</v>
      </c>
      <c r="E5469" t="str">
        <f>[1]!'5469.TW-SimulateTime'</f>
        <v>13:29:55</v>
      </c>
      <c r="F5469">
        <f>[1]!'5469.TW-Price'</f>
        <v>37.6</v>
      </c>
    </row>
    <row r="5471" spans="1:6" x14ac:dyDescent="0.25">
      <c r="A5471" t="str">
        <f>[1]!'5471.TW-ID'</f>
        <v>5471</v>
      </c>
      <c r="B5471" t="str">
        <f>[1]!'5471.TW-Name'</f>
        <v>松翰</v>
      </c>
      <c r="C5471">
        <f>[1]!'5471.TW-SimulatePrice'</f>
        <v>57.5</v>
      </c>
      <c r="D5471">
        <f>[1]!'5471.TW-PreClose'</f>
        <v>59.8</v>
      </c>
      <c r="E5471" t="str">
        <f>[1]!'5471.TW-SimulateTime'</f>
        <v>13:29:57</v>
      </c>
      <c r="F5471">
        <f>[1]!'5471.TW-Price'</f>
        <v>57.5</v>
      </c>
    </row>
    <row r="5484" spans="1:6" x14ac:dyDescent="0.25">
      <c r="A5484" t="str">
        <f>[1]!'5484.TW-ID'</f>
        <v>5484</v>
      </c>
      <c r="B5484" t="str">
        <f>[1]!'5484.TW-Name'</f>
        <v>慧友</v>
      </c>
      <c r="C5484">
        <f>[1]!'5484.TW-SimulatePrice'</f>
        <v>8.16</v>
      </c>
      <c r="D5484">
        <f>[1]!'5484.TW-PreClose'</f>
        <v>8.4</v>
      </c>
      <c r="E5484" t="str">
        <f>[1]!'5484.TW-SimulateTime'</f>
        <v>13:29:02</v>
      </c>
      <c r="F5484">
        <f>[1]!'5484.TW-Price'</f>
        <v>8.16</v>
      </c>
    </row>
    <row r="5515" spans="1:6" x14ac:dyDescent="0.25">
      <c r="A5515" t="str">
        <f>[1]!'5515.TW-ID'</f>
        <v>5515</v>
      </c>
      <c r="B5515" t="str">
        <f>[1]!'5515.TW-Name'</f>
        <v>建國</v>
      </c>
      <c r="C5515">
        <f>[1]!'5515.TW-SimulatePrice'</f>
        <v>9.7799999999999994</v>
      </c>
      <c r="D5515">
        <f>[1]!'5515.TW-PreClose'</f>
        <v>9.9</v>
      </c>
      <c r="E5515" t="str">
        <f>[1]!'5515.TW-SimulateTime'</f>
        <v>13:28:40</v>
      </c>
      <c r="F5515">
        <f>[1]!'5515.TW-Price'</f>
        <v>9.7799999999999994</v>
      </c>
    </row>
    <row r="5519" spans="1:6" x14ac:dyDescent="0.25">
      <c r="A5519" t="str">
        <f>[1]!'5519.TW-ID'</f>
        <v>5519</v>
      </c>
      <c r="B5519" t="str">
        <f>[1]!'5519.TW-Name'</f>
        <v>隆大</v>
      </c>
      <c r="C5519">
        <f>[1]!'5519.TW-SimulatePrice'</f>
        <v>14.6</v>
      </c>
      <c r="D5519">
        <f>[1]!'5519.TW-PreClose'</f>
        <v>14.65</v>
      </c>
      <c r="E5519" t="str">
        <f>[1]!'5519.TW-SimulateTime'</f>
        <v>13:29:55</v>
      </c>
      <c r="F5519">
        <f>[1]!'5519.TW-Price'</f>
        <v>14.6</v>
      </c>
    </row>
    <row r="5521" spans="1:6" x14ac:dyDescent="0.25">
      <c r="A5521" t="str">
        <f>[1]!'5521.TW-ID'</f>
        <v>5521</v>
      </c>
      <c r="B5521" t="str">
        <f>[1]!'5521.TW-Name'</f>
        <v>工信</v>
      </c>
      <c r="C5521">
        <f>[1]!'5521.TW-SimulatePrice'</f>
        <v>8.07</v>
      </c>
      <c r="D5521">
        <f>[1]!'5521.TW-PreClose'</f>
        <v>8.0399999999999991</v>
      </c>
      <c r="E5521" t="str">
        <f>[1]!'5521.TW-SimulateTime'</f>
        <v>13:29:49</v>
      </c>
      <c r="F5521">
        <f>[1]!'5521.TW-Price'</f>
        <v>8.07</v>
      </c>
    </row>
    <row r="5522" spans="1:6" x14ac:dyDescent="0.25">
      <c r="A5522" t="str">
        <f>[1]!'5522.TW-ID'</f>
        <v>5522</v>
      </c>
      <c r="B5522" t="str">
        <f>[1]!'5522.TW-Name'</f>
        <v>遠雄</v>
      </c>
      <c r="C5522">
        <f>[1]!'5522.TW-SimulatePrice'</f>
        <v>44</v>
      </c>
      <c r="D5522">
        <f>[1]!'5522.TW-PreClose'</f>
        <v>44</v>
      </c>
      <c r="E5522" t="str">
        <f>[1]!'5522.TW-SimulateTime'</f>
        <v>13:29:55</v>
      </c>
      <c r="F5522">
        <f>[1]!'5522.TW-Price'</f>
        <v>44</v>
      </c>
    </row>
    <row r="5525" spans="1:6" x14ac:dyDescent="0.25">
      <c r="A5525" t="str">
        <f>[1]!'5525.TW-ID'</f>
        <v>5525</v>
      </c>
      <c r="B5525" t="str">
        <f>[1]!'5525.TW-Name'</f>
        <v>順天</v>
      </c>
      <c r="C5525">
        <f>[1]!'5525.TW-SimulatePrice'</f>
        <v>20</v>
      </c>
      <c r="D5525">
        <f>[1]!'5525.TW-PreClose'</f>
        <v>20</v>
      </c>
      <c r="E5525" t="str">
        <f>[1]!'5525.TW-SimulateTime'</f>
        <v>13:26:25</v>
      </c>
      <c r="F5525">
        <f>[1]!'5525.TW-Price'</f>
        <v>20</v>
      </c>
    </row>
    <row r="5531" spans="1:6" x14ac:dyDescent="0.25">
      <c r="A5531" t="str">
        <f>[1]!'5531.TW-ID'</f>
        <v>5531</v>
      </c>
      <c r="B5531" t="str">
        <f>[1]!'5531.TW-Name'</f>
        <v>鄉林</v>
      </c>
      <c r="C5531">
        <f>[1]!'5531.TW-SimulatePrice'</f>
        <v>8.58</v>
      </c>
      <c r="D5531">
        <f>[1]!'5531.TW-PreClose'</f>
        <v>8.66</v>
      </c>
      <c r="E5531" t="str">
        <f>[1]!'5531.TW-SimulateTime'</f>
        <v>13:29:58</v>
      </c>
      <c r="F5531">
        <f>[1]!'5531.TW-Price'</f>
        <v>8.58</v>
      </c>
    </row>
    <row r="5533" spans="1:6" x14ac:dyDescent="0.25">
      <c r="A5533" t="str">
        <f>[1]!'5533.TW-ID'</f>
        <v>5533</v>
      </c>
      <c r="B5533" t="str">
        <f>[1]!'5533.TW-Name'</f>
        <v>皇鼎</v>
      </c>
      <c r="C5533" t="str">
        <f>[1]!'5533.TW-SimulatePrice'</f>
        <v>--</v>
      </c>
      <c r="D5533">
        <f>[1]!'5533.TW-PreClose'</f>
        <v>15.4</v>
      </c>
      <c r="E5533" t="str">
        <f>[1]!'5533.TW-SimulateTime'</f>
        <v>--</v>
      </c>
      <c r="F5533">
        <f>[1]!'5533.TW-Price'</f>
        <v>15.4</v>
      </c>
    </row>
    <row r="5534" spans="1:6" x14ac:dyDescent="0.25">
      <c r="A5534" t="str">
        <f>[1]!'5534.TW-ID'</f>
        <v>5534</v>
      </c>
      <c r="B5534" t="str">
        <f>[1]!'5534.TW-Name'</f>
        <v>長虹</v>
      </c>
      <c r="C5534">
        <f>[1]!'5534.TW-SimulatePrice'</f>
        <v>81.900000000000006</v>
      </c>
      <c r="D5534">
        <f>[1]!'5534.TW-PreClose'</f>
        <v>82</v>
      </c>
      <c r="E5534" t="str">
        <f>[1]!'5534.TW-SimulateTime'</f>
        <v>13:29:53</v>
      </c>
      <c r="F5534">
        <f>[1]!'5534.TW-Price'</f>
        <v>81.900000000000006</v>
      </c>
    </row>
    <row r="5538" spans="1:6" x14ac:dyDescent="0.25">
      <c r="A5538" t="str">
        <f>[1]!'5538.TW-ID'</f>
        <v>5538</v>
      </c>
      <c r="B5538" t="str">
        <f>[1]!'5538.TW-Name'</f>
        <v>東明-KY</v>
      </c>
      <c r="C5538" t="str">
        <f>[1]!'5538.TW-SimulatePrice'</f>
        <v>--</v>
      </c>
      <c r="D5538">
        <f>[1]!'5538.TW-PreClose'</f>
        <v>30.7</v>
      </c>
      <c r="E5538" t="str">
        <f>[1]!'5538.TW-SimulateTime'</f>
        <v>--</v>
      </c>
      <c r="F5538" t="str">
        <f>[1]!'5538.TW-Price'</f>
        <v>--</v>
      </c>
    </row>
    <row r="5607" spans="1:6" x14ac:dyDescent="0.25">
      <c r="A5607" t="str">
        <f>[1]!'5607.TW-ID'</f>
        <v>5607</v>
      </c>
      <c r="B5607" t="str">
        <f>[1]!'5607.TW-Name'</f>
        <v>遠雄港</v>
      </c>
      <c r="C5607">
        <f>[1]!'5607.TW-SimulatePrice'</f>
        <v>21.65</v>
      </c>
      <c r="D5607">
        <f>[1]!'5607.TW-PreClose'</f>
        <v>21.8</v>
      </c>
      <c r="E5607" t="str">
        <f>[1]!'5607.TW-SimulateTime'</f>
        <v>13:29:53</v>
      </c>
      <c r="F5607">
        <f>[1]!'5607.TW-Price'</f>
        <v>21.65</v>
      </c>
    </row>
    <row r="5608" spans="1:6" x14ac:dyDescent="0.25">
      <c r="A5608" t="str">
        <f>[1]!'5608.TW-ID'</f>
        <v>5608</v>
      </c>
      <c r="B5608" t="str">
        <f>[1]!'5608.TW-Name'</f>
        <v>四維航</v>
      </c>
      <c r="C5608">
        <f>[1]!'5608.TW-SimulatePrice'</f>
        <v>5.2</v>
      </c>
      <c r="D5608">
        <f>[1]!'5608.TW-PreClose'</f>
        <v>5.49</v>
      </c>
      <c r="E5608" t="str">
        <f>[1]!'5608.TW-SimulateTime'</f>
        <v>13:29:45</v>
      </c>
      <c r="F5608">
        <f>[1]!'5608.TW-Price'</f>
        <v>5.2</v>
      </c>
    </row>
    <row r="5706" spans="1:6" x14ac:dyDescent="0.25">
      <c r="A5706" t="str">
        <f>[1]!'5706.TW-ID'</f>
        <v>5706</v>
      </c>
      <c r="B5706" t="str">
        <f>[1]!'5706.TW-Name'</f>
        <v>鳳凰</v>
      </c>
      <c r="C5706" t="str">
        <f>[1]!'5706.TW-SimulatePrice'</f>
        <v>--</v>
      </c>
      <c r="D5706">
        <f>[1]!'5706.TW-PreClose'</f>
        <v>31.3</v>
      </c>
      <c r="E5706" t="str">
        <f>[1]!'5706.TW-SimulateTime'</f>
        <v>--</v>
      </c>
      <c r="F5706">
        <f>[1]!'5706.TW-Price'</f>
        <v>30.8</v>
      </c>
    </row>
    <row r="5871" spans="1:6" x14ac:dyDescent="0.25">
      <c r="A5871" t="str">
        <f>[1]!'5871.TW-ID'</f>
        <v>5871</v>
      </c>
      <c r="B5871" t="str">
        <f>[1]!'5871.TW-Name'</f>
        <v>中租-KY</v>
      </c>
      <c r="C5871">
        <f>[1]!'5871.TW-SimulatePrice'</f>
        <v>112.5</v>
      </c>
      <c r="D5871">
        <f>[1]!'5871.TW-PreClose'</f>
        <v>113</v>
      </c>
      <c r="E5871" t="str">
        <f>[1]!'5871.TW-SimulateTime'</f>
        <v>13:29:55</v>
      </c>
      <c r="F5871">
        <f>[1]!'5871.TW-Price'</f>
        <v>112.5</v>
      </c>
    </row>
    <row r="5876" spans="1:6" x14ac:dyDescent="0.25">
      <c r="A5876" t="str">
        <f>[1]!'5876.TW-ID'</f>
        <v>5876</v>
      </c>
      <c r="B5876" t="str">
        <f>[1]!'5876.TW-Name'</f>
        <v>上海商銀</v>
      </c>
      <c r="C5876">
        <f>[1]!'5876.TW-SimulatePrice'</f>
        <v>42.25</v>
      </c>
      <c r="D5876">
        <f>[1]!'5876.TW-PreClose'</f>
        <v>42.55</v>
      </c>
      <c r="E5876" t="str">
        <f>[1]!'5876.TW-SimulateTime'</f>
        <v>13:29:56</v>
      </c>
      <c r="F5876">
        <f>[1]!'5876.TW-Price'</f>
        <v>42.25</v>
      </c>
    </row>
    <row r="5880" spans="1:6" x14ac:dyDescent="0.25">
      <c r="A5880" t="str">
        <f>[1]!'5880.TW-ID'</f>
        <v>5880</v>
      </c>
      <c r="B5880" t="str">
        <f>[1]!'5880.TW-Name'</f>
        <v>合庫金</v>
      </c>
      <c r="C5880">
        <f>[1]!'5880.TW-SimulatePrice'</f>
        <v>19.95</v>
      </c>
      <c r="D5880">
        <f>[1]!'5880.TW-PreClose'</f>
        <v>20.05</v>
      </c>
      <c r="E5880" t="str">
        <f>[1]!'5880.TW-SimulateTime'</f>
        <v>13:29:57</v>
      </c>
      <c r="F5880">
        <f>[1]!'5880.TW-Price'</f>
        <v>19.95</v>
      </c>
    </row>
    <row r="5906" spans="1:6" x14ac:dyDescent="0.25">
      <c r="A5906" t="str">
        <f>[1]!'5906.TW-ID'</f>
        <v>5906</v>
      </c>
      <c r="B5906" t="str">
        <f>[1]!'5906.TW-Name'</f>
        <v>台南-KY</v>
      </c>
      <c r="C5906">
        <f>[1]!'5906.TW-SimulatePrice'</f>
        <v>16.8</v>
      </c>
      <c r="D5906">
        <f>[1]!'5906.TW-PreClose'</f>
        <v>16.7</v>
      </c>
      <c r="E5906" t="str">
        <f>[1]!'5906.TW-SimulateTime'</f>
        <v>13:29:58</v>
      </c>
      <c r="F5906">
        <f>[1]!'5906.TW-Price'</f>
        <v>16.8</v>
      </c>
    </row>
    <row r="5907" spans="1:6" x14ac:dyDescent="0.25">
      <c r="A5907" t="str">
        <f>[1]!'5907.TW-ID'</f>
        <v>5907</v>
      </c>
      <c r="B5907" t="str">
        <f>[1]!'5907.TW-Name'</f>
        <v>大洋-KY</v>
      </c>
      <c r="C5907">
        <f>[1]!'5907.TW-SimulatePrice'</f>
        <v>23.25</v>
      </c>
      <c r="D5907">
        <f>[1]!'5907.TW-PreClose'</f>
        <v>23.6</v>
      </c>
      <c r="E5907" t="str">
        <f>[1]!'5907.TW-SimulateTime'</f>
        <v>13:29:28</v>
      </c>
      <c r="F5907">
        <f>[1]!'5907.TW-Price'</f>
        <v>23.25</v>
      </c>
    </row>
    <row r="6005" spans="1:6" x14ac:dyDescent="0.25">
      <c r="A6005" t="str">
        <f>[1]!'6005.TW-ID'</f>
        <v>6005</v>
      </c>
      <c r="B6005" t="str">
        <f>[1]!'6005.TW-Name'</f>
        <v>群益證</v>
      </c>
      <c r="C6005">
        <f>[1]!'6005.TW-SimulatePrice'</f>
        <v>9.9600000000000009</v>
      </c>
      <c r="D6005">
        <f>[1]!'6005.TW-PreClose'</f>
        <v>9.93</v>
      </c>
      <c r="E6005" t="str">
        <f>[1]!'6005.TW-SimulateTime'</f>
        <v>13:29:26</v>
      </c>
      <c r="F6005">
        <f>[1]!'6005.TW-Price'</f>
        <v>9.9600000000000009</v>
      </c>
    </row>
    <row r="6024" spans="1:6" x14ac:dyDescent="0.25">
      <c r="A6024" t="str">
        <f>[1]!'6024.TW-ID'</f>
        <v>6024</v>
      </c>
      <c r="B6024" t="str">
        <f>[1]!'6024.TW-Name'</f>
        <v>群益期</v>
      </c>
      <c r="C6024">
        <f>[1]!'6024.TW-SimulatePrice'</f>
        <v>38.200000000000003</v>
      </c>
      <c r="D6024">
        <f>[1]!'6024.TW-PreClose'</f>
        <v>38</v>
      </c>
      <c r="E6024" t="str">
        <f>[1]!'6024.TW-SimulateTime'</f>
        <v>13:29:42</v>
      </c>
      <c r="F6024">
        <f>[1]!'6024.TW-Price'</f>
        <v>38.200000000000003</v>
      </c>
    </row>
    <row r="6108" spans="1:6" x14ac:dyDescent="0.25">
      <c r="A6108" t="str">
        <f>[1]!'6108.TW-ID'</f>
        <v>6108</v>
      </c>
      <c r="B6108" t="str">
        <f>[1]!'6108.TW-Name'</f>
        <v>競國</v>
      </c>
      <c r="C6108">
        <f>[1]!'6108.TW-SimulatePrice'</f>
        <v>22.65</v>
      </c>
      <c r="D6108">
        <f>[1]!'6108.TW-PreClose'</f>
        <v>22.8</v>
      </c>
      <c r="E6108" t="str">
        <f>[1]!'6108.TW-SimulateTime'</f>
        <v>13:29:49</v>
      </c>
      <c r="F6108">
        <f>[1]!'6108.TW-Price'</f>
        <v>22.65</v>
      </c>
    </row>
    <row r="6112" spans="1:6" x14ac:dyDescent="0.25">
      <c r="A6112" t="str">
        <f>[1]!'6112.TW-ID'</f>
        <v>6112</v>
      </c>
      <c r="B6112" t="str">
        <f>[1]!'6112.TW-Name'</f>
        <v>聚碩</v>
      </c>
      <c r="C6112">
        <f>[1]!'6112.TW-SimulatePrice'</f>
        <v>39.25</v>
      </c>
      <c r="D6112">
        <f>[1]!'6112.TW-PreClose'</f>
        <v>38.6</v>
      </c>
      <c r="E6112" t="str">
        <f>[1]!'6112.TW-SimulateTime'</f>
        <v>13:29:55</v>
      </c>
      <c r="F6112">
        <f>[1]!'6112.TW-Price'</f>
        <v>39.25</v>
      </c>
    </row>
    <row r="6115" spans="1:6" x14ac:dyDescent="0.25">
      <c r="A6115" t="str">
        <f>[1]!'6115.TW-ID'</f>
        <v>6115</v>
      </c>
      <c r="B6115" t="str">
        <f>[1]!'6115.TW-Name'</f>
        <v>鎰勝</v>
      </c>
      <c r="C6115">
        <f>[1]!'6115.TW-SimulatePrice'</f>
        <v>43.3</v>
      </c>
      <c r="D6115">
        <f>[1]!'6115.TW-PreClose'</f>
        <v>43.35</v>
      </c>
      <c r="E6115" t="str">
        <f>[1]!'6115.TW-SimulateTime'</f>
        <v>13:27:58</v>
      </c>
      <c r="F6115">
        <f>[1]!'6115.TW-Price'</f>
        <v>43.3</v>
      </c>
    </row>
    <row r="6116" spans="1:6" x14ac:dyDescent="0.25">
      <c r="A6116" t="str">
        <f>[1]!'6116.TW-ID'</f>
        <v>6116</v>
      </c>
      <c r="B6116" t="str">
        <f>[1]!'6116.TW-Name'</f>
        <v>彩晶</v>
      </c>
      <c r="C6116">
        <f>[1]!'6116.TW-SimulatePrice'</f>
        <v>6</v>
      </c>
      <c r="D6116">
        <f>[1]!'6116.TW-PreClose'</f>
        <v>6.02</v>
      </c>
      <c r="E6116" t="str">
        <f>[1]!'6116.TW-SimulateTime'</f>
        <v>13:29:57</v>
      </c>
      <c r="F6116">
        <f>[1]!'6116.TW-Price'</f>
        <v>6</v>
      </c>
    </row>
    <row r="6117" spans="1:6" x14ac:dyDescent="0.25">
      <c r="A6117" t="str">
        <f>[1]!'6117.TW-ID'</f>
        <v>6117</v>
      </c>
      <c r="B6117" t="str">
        <f>[1]!'6117.TW-Name'</f>
        <v>迎廣</v>
      </c>
      <c r="C6117" t="str">
        <f>[1]!'6117.TW-SimulatePrice'</f>
        <v>--</v>
      </c>
      <c r="D6117">
        <f>[1]!'6117.TW-PreClose'</f>
        <v>15.8</v>
      </c>
      <c r="E6117" t="str">
        <f>[1]!'6117.TW-SimulateTime'</f>
        <v>--</v>
      </c>
      <c r="F6117">
        <f>[1]!'6117.TW-Price'</f>
        <v>15.8</v>
      </c>
    </row>
    <row r="6120" spans="1:6" x14ac:dyDescent="0.25">
      <c r="A6120" t="str">
        <f>[1]!'6120.TW-ID'</f>
        <v>6120</v>
      </c>
      <c r="B6120" t="str">
        <f>[1]!'6120.TW-Name'</f>
        <v>達運</v>
      </c>
      <c r="C6120">
        <f>[1]!'6120.TW-SimulatePrice'</f>
        <v>10.7</v>
      </c>
      <c r="D6120">
        <f>[1]!'6120.TW-PreClose'</f>
        <v>10.85</v>
      </c>
      <c r="E6120" t="str">
        <f>[1]!'6120.TW-SimulateTime'</f>
        <v>13:29:57</v>
      </c>
      <c r="F6120">
        <f>[1]!'6120.TW-Price'</f>
        <v>10.7</v>
      </c>
    </row>
    <row r="6128" spans="1:6" x14ac:dyDescent="0.25">
      <c r="A6128" t="str">
        <f>[1]!'6128.TW-ID'</f>
        <v>6128</v>
      </c>
      <c r="B6128" t="str">
        <f>[1]!'6128.TW-Name'</f>
        <v>上福</v>
      </c>
      <c r="C6128">
        <f>[1]!'6128.TW-SimulatePrice'</f>
        <v>28.5</v>
      </c>
      <c r="D6128">
        <f>[1]!'6128.TW-PreClose'</f>
        <v>28.6</v>
      </c>
      <c r="E6128" t="str">
        <f>[1]!'6128.TW-SimulateTime'</f>
        <v>13:28:35</v>
      </c>
      <c r="F6128">
        <f>[1]!'6128.TW-Price'</f>
        <v>28.6</v>
      </c>
    </row>
    <row r="6131" spans="1:6" x14ac:dyDescent="0.25">
      <c r="A6131" t="str">
        <f>[1]!'6131.TW-ID'</f>
        <v>6131</v>
      </c>
      <c r="B6131" t="str">
        <f>[1]!'6131.TW-Name'</f>
        <v>鈞泰</v>
      </c>
      <c r="C6131" t="str">
        <f>[1]!'6131.TW-SimulatePrice'</f>
        <v>--</v>
      </c>
      <c r="D6131">
        <f>[1]!'6131.TW-PreClose'</f>
        <v>2.88</v>
      </c>
      <c r="E6131" t="str">
        <f>[1]!'6131.TW-SimulateTime'</f>
        <v>--</v>
      </c>
      <c r="F6131">
        <f>[1]!'6131.TW-Price'</f>
        <v>2.9</v>
      </c>
    </row>
    <row r="6133" spans="1:6" x14ac:dyDescent="0.25">
      <c r="A6133" t="str">
        <f>[1]!'6133.TW-ID'</f>
        <v>6133</v>
      </c>
      <c r="B6133" t="str">
        <f>[1]!'6133.TW-Name'</f>
        <v>金橋</v>
      </c>
      <c r="C6133">
        <f>[1]!'6133.TW-SimulatePrice'</f>
        <v>7.05</v>
      </c>
      <c r="D6133">
        <f>[1]!'6133.TW-PreClose'</f>
        <v>7.18</v>
      </c>
      <c r="E6133" t="str">
        <f>[1]!'6133.TW-SimulateTime'</f>
        <v>13:29:57</v>
      </c>
      <c r="F6133">
        <f>[1]!'6133.TW-Price'</f>
        <v>7.05</v>
      </c>
    </row>
    <row r="6136" spans="1:6" x14ac:dyDescent="0.25">
      <c r="A6136" t="str">
        <f>[1]!'6136.TW-ID'</f>
        <v>6136</v>
      </c>
      <c r="B6136" t="str">
        <f>[1]!'6136.TW-Name'</f>
        <v>富爾特</v>
      </c>
      <c r="C6136">
        <f>[1]!'6136.TW-SimulatePrice'</f>
        <v>18.600000000000001</v>
      </c>
      <c r="D6136">
        <f>[1]!'6136.TW-PreClose'</f>
        <v>18.600000000000001</v>
      </c>
      <c r="E6136" t="str">
        <f>[1]!'6136.TW-SimulateTime'</f>
        <v>13:27:45</v>
      </c>
      <c r="F6136">
        <f>[1]!'6136.TW-Price'</f>
        <v>18.600000000000001</v>
      </c>
    </row>
    <row r="6139" spans="1:6" x14ac:dyDescent="0.25">
      <c r="A6139" t="str">
        <f>[1]!'6139.TW-ID'</f>
        <v>6139</v>
      </c>
      <c r="B6139" t="str">
        <f>[1]!'6139.TW-Name'</f>
        <v>亞翔</v>
      </c>
      <c r="C6139">
        <f>[1]!'6139.TW-SimulatePrice'</f>
        <v>25.05</v>
      </c>
      <c r="D6139">
        <f>[1]!'6139.TW-PreClose'</f>
        <v>25.3</v>
      </c>
      <c r="E6139" t="str">
        <f>[1]!'6139.TW-SimulateTime'</f>
        <v>13:29:49</v>
      </c>
      <c r="F6139">
        <f>[1]!'6139.TW-Price'</f>
        <v>25.05</v>
      </c>
    </row>
    <row r="6141" spans="1:6" x14ac:dyDescent="0.25">
      <c r="A6141" t="str">
        <f>[1]!'6141.TW-ID'</f>
        <v>6141</v>
      </c>
      <c r="B6141" t="str">
        <f>[1]!'6141.TW-Name'</f>
        <v>柏承</v>
      </c>
      <c r="C6141">
        <f>[1]!'6141.TW-SimulatePrice'</f>
        <v>17.350000000000001</v>
      </c>
      <c r="D6141">
        <f>[1]!'6141.TW-PreClose'</f>
        <v>17.45</v>
      </c>
      <c r="E6141" t="str">
        <f>[1]!'6141.TW-SimulateTime'</f>
        <v>13:29:57</v>
      </c>
      <c r="F6141">
        <f>[1]!'6141.TW-Price'</f>
        <v>17.350000000000001</v>
      </c>
    </row>
    <row r="6142" spans="1:6" x14ac:dyDescent="0.25">
      <c r="A6142" t="str">
        <f>[1]!'6142.TW-ID'</f>
        <v>6142</v>
      </c>
      <c r="B6142" t="str">
        <f>[1]!'6142.TW-Name'</f>
        <v>友勁</v>
      </c>
      <c r="C6142">
        <f>[1]!'6142.TW-SimulatePrice'</f>
        <v>7</v>
      </c>
      <c r="D6142">
        <f>[1]!'6142.TW-PreClose'</f>
        <v>7.09</v>
      </c>
      <c r="E6142" t="str">
        <f>[1]!'6142.TW-SimulateTime'</f>
        <v>13:26:07</v>
      </c>
      <c r="F6142">
        <f>[1]!'6142.TW-Price'</f>
        <v>7</v>
      </c>
    </row>
    <row r="6152" spans="1:6" x14ac:dyDescent="0.25">
      <c r="A6152" t="str">
        <f>[1]!'6152.TW-ID'</f>
        <v>6152</v>
      </c>
      <c r="B6152" t="str">
        <f>[1]!'6152.TW-Name'</f>
        <v>百一</v>
      </c>
      <c r="C6152">
        <f>[1]!'6152.TW-SimulatePrice'</f>
        <v>6.06</v>
      </c>
      <c r="D6152">
        <f>[1]!'6152.TW-PreClose'</f>
        <v>6.05</v>
      </c>
      <c r="E6152" t="str">
        <f>[1]!'6152.TW-SimulateTime'</f>
        <v>13:29:48</v>
      </c>
      <c r="F6152">
        <f>[1]!'6152.TW-Price'</f>
        <v>6.06</v>
      </c>
    </row>
    <row r="6153" spans="1:6" x14ac:dyDescent="0.25">
      <c r="A6153" t="str">
        <f>[1]!'6153.TW-ID'</f>
        <v>6153</v>
      </c>
      <c r="B6153" t="str">
        <f>[1]!'6153.TW-Name'</f>
        <v>嘉聯益</v>
      </c>
      <c r="C6153">
        <f>[1]!'6153.TW-SimulatePrice'</f>
        <v>26.6</v>
      </c>
      <c r="D6153">
        <f>[1]!'6153.TW-PreClose'</f>
        <v>26.95</v>
      </c>
      <c r="E6153" t="str">
        <f>[1]!'6153.TW-SimulateTime'</f>
        <v>13:29:56</v>
      </c>
      <c r="F6153">
        <f>[1]!'6153.TW-Price'</f>
        <v>26.6</v>
      </c>
    </row>
    <row r="6155" spans="1:6" x14ac:dyDescent="0.25">
      <c r="A6155" t="str">
        <f>[1]!'6155.TW-ID'</f>
        <v>6155</v>
      </c>
      <c r="B6155" t="str">
        <f>[1]!'6155.TW-Name'</f>
        <v>鈞寶</v>
      </c>
      <c r="C6155">
        <f>[1]!'6155.TW-SimulatePrice'</f>
        <v>24.6</v>
      </c>
      <c r="D6155">
        <f>[1]!'6155.TW-PreClose'</f>
        <v>25.1</v>
      </c>
      <c r="E6155" t="str">
        <f>[1]!'6155.TW-SimulateTime'</f>
        <v>13:29:37</v>
      </c>
      <c r="F6155">
        <f>[1]!'6155.TW-Price'</f>
        <v>24.6</v>
      </c>
    </row>
    <row r="6164" spans="1:6" x14ac:dyDescent="0.25">
      <c r="A6164" t="str">
        <f>[1]!'6164.TW-ID'</f>
        <v>6164</v>
      </c>
      <c r="B6164" t="str">
        <f>[1]!'6164.TW-Name'</f>
        <v>華興</v>
      </c>
      <c r="C6164">
        <f>[1]!'6164.TW-SimulatePrice'</f>
        <v>5.64</v>
      </c>
      <c r="D6164">
        <f>[1]!'6164.TW-PreClose'</f>
        <v>5.7</v>
      </c>
      <c r="E6164" t="str">
        <f>[1]!'6164.TW-SimulateTime'</f>
        <v>13:29:14</v>
      </c>
      <c r="F6164">
        <f>[1]!'6164.TW-Price'</f>
        <v>5.64</v>
      </c>
    </row>
    <row r="6165" spans="1:6" x14ac:dyDescent="0.25">
      <c r="A6165" t="str">
        <f>[1]!'6165.TW-ID'</f>
        <v>6165</v>
      </c>
      <c r="B6165" t="str">
        <f>[1]!'6165.TW-Name'</f>
        <v>捷泰</v>
      </c>
      <c r="C6165">
        <f>[1]!'6165.TW-SimulatePrice'</f>
        <v>26.95</v>
      </c>
      <c r="D6165">
        <f>[1]!'6165.TW-PreClose'</f>
        <v>26.6</v>
      </c>
      <c r="E6165" t="str">
        <f>[1]!'6165.TW-SimulateTime'</f>
        <v>13:29:22</v>
      </c>
      <c r="F6165">
        <f>[1]!'6165.TW-Price'</f>
        <v>26.95</v>
      </c>
    </row>
    <row r="6166" spans="1:6" x14ac:dyDescent="0.25">
      <c r="A6166" t="str">
        <f>[1]!'6166.TW-ID'</f>
        <v>6166</v>
      </c>
      <c r="B6166" t="str">
        <f>[1]!'6166.TW-Name'</f>
        <v>凌華</v>
      </c>
      <c r="C6166">
        <f>[1]!'6166.TW-SimulatePrice'</f>
        <v>65.5</v>
      </c>
      <c r="D6166">
        <f>[1]!'6166.TW-PreClose'</f>
        <v>65.5</v>
      </c>
      <c r="E6166" t="str">
        <f>[1]!'6166.TW-SimulateTime'</f>
        <v>13:29:46</v>
      </c>
      <c r="F6166">
        <f>[1]!'6166.TW-Price'</f>
        <v>65.5</v>
      </c>
    </row>
    <row r="6168" spans="1:6" x14ac:dyDescent="0.25">
      <c r="A6168" t="str">
        <f>[1]!'6168.TW-ID'</f>
        <v>6168</v>
      </c>
      <c r="B6168" t="str">
        <f>[1]!'6168.TW-Name'</f>
        <v>宏齊</v>
      </c>
      <c r="C6168">
        <f>[1]!'6168.TW-SimulatePrice'</f>
        <v>12.3</v>
      </c>
      <c r="D6168">
        <f>[1]!'6168.TW-PreClose'</f>
        <v>11.9</v>
      </c>
      <c r="E6168" t="str">
        <f>[1]!'6168.TW-SimulateTime'</f>
        <v>13:29:33</v>
      </c>
      <c r="F6168">
        <f>[1]!'6168.TW-Price'</f>
        <v>12.3</v>
      </c>
    </row>
    <row r="6172" spans="1:6" x14ac:dyDescent="0.25">
      <c r="A6172" t="str">
        <f>[1]!'6172.TW-ID'</f>
        <v>6172</v>
      </c>
      <c r="B6172" t="str">
        <f>[1]!'6172.TW-Name'</f>
        <v>互億</v>
      </c>
      <c r="C6172">
        <f>[1]!'6172.TW-SimulatePrice'</f>
        <v>23</v>
      </c>
      <c r="D6172">
        <f>[1]!'6172.TW-PreClose'</f>
        <v>23.55</v>
      </c>
      <c r="E6172" t="str">
        <f>[1]!'6172.TW-SimulateTime'</f>
        <v>13:29:14</v>
      </c>
      <c r="F6172">
        <f>[1]!'6172.TW-Price'</f>
        <v>23</v>
      </c>
    </row>
    <row r="6176" spans="1:6" x14ac:dyDescent="0.25">
      <c r="A6176" t="str">
        <f>[1]!'6176.TW-ID'</f>
        <v>6176</v>
      </c>
      <c r="B6176" t="str">
        <f>[1]!'6176.TW-Name'</f>
        <v>瑞儀</v>
      </c>
      <c r="C6176">
        <f>[1]!'6176.TW-SimulatePrice'</f>
        <v>97.4</v>
      </c>
      <c r="D6176">
        <f>[1]!'6176.TW-PreClose'</f>
        <v>97.2</v>
      </c>
      <c r="E6176" t="str">
        <f>[1]!'6176.TW-SimulateTime'</f>
        <v>13:29:56</v>
      </c>
      <c r="F6176">
        <f>[1]!'6176.TW-Price'</f>
        <v>97.3</v>
      </c>
    </row>
    <row r="6177" spans="1:6" x14ac:dyDescent="0.25">
      <c r="A6177" t="str">
        <f>[1]!'6177.TW-ID'</f>
        <v>6177</v>
      </c>
      <c r="B6177" t="str">
        <f>[1]!'6177.TW-Name'</f>
        <v>達麗</v>
      </c>
      <c r="C6177">
        <f>[1]!'6177.TW-SimulatePrice'</f>
        <v>28.35</v>
      </c>
      <c r="D6177">
        <f>[1]!'6177.TW-PreClose'</f>
        <v>28.3</v>
      </c>
      <c r="E6177" t="str">
        <f>[1]!'6177.TW-SimulateTime'</f>
        <v>13:29:57</v>
      </c>
      <c r="F6177">
        <f>[1]!'6177.TW-Price'</f>
        <v>28.35</v>
      </c>
    </row>
    <row r="6183" spans="1:6" x14ac:dyDescent="0.25">
      <c r="A6183" t="str">
        <f>[1]!'6183.TW-ID'</f>
        <v>6183</v>
      </c>
      <c r="B6183" t="str">
        <f>[1]!'6183.TW-Name'</f>
        <v>關貿</v>
      </c>
      <c r="C6183">
        <f>[1]!'6183.TW-SimulatePrice'</f>
        <v>42</v>
      </c>
      <c r="D6183">
        <f>[1]!'6183.TW-PreClose'</f>
        <v>42.05</v>
      </c>
      <c r="E6183" t="str">
        <f>[1]!'6183.TW-SimulateTime'</f>
        <v>13:29:58</v>
      </c>
      <c r="F6183">
        <f>[1]!'6183.TW-Price'</f>
        <v>42</v>
      </c>
    </row>
    <row r="6184" spans="1:6" x14ac:dyDescent="0.25">
      <c r="A6184" t="str">
        <f>[1]!'6184.TW-ID'</f>
        <v>6184</v>
      </c>
      <c r="B6184" t="str">
        <f>[1]!'6184.TW-Name'</f>
        <v>大豐電</v>
      </c>
      <c r="C6184">
        <f>[1]!'6184.TW-SimulatePrice'</f>
        <v>42.2</v>
      </c>
      <c r="D6184">
        <f>[1]!'6184.TW-PreClose'</f>
        <v>42.15</v>
      </c>
      <c r="E6184" t="str">
        <f>[1]!'6184.TW-SimulateTime'</f>
        <v>13:29:49</v>
      </c>
      <c r="F6184">
        <f>[1]!'6184.TW-Price'</f>
        <v>42.2</v>
      </c>
    </row>
    <row r="6189" spans="1:6" x14ac:dyDescent="0.25">
      <c r="A6189" t="str">
        <f>[1]!'6189.TW-ID'</f>
        <v>6189</v>
      </c>
      <c r="B6189" t="str">
        <f>[1]!'6189.TW-Name'</f>
        <v>豐藝</v>
      </c>
      <c r="C6189">
        <f>[1]!'6189.TW-SimulatePrice'</f>
        <v>33.700000000000003</v>
      </c>
      <c r="D6189">
        <f>[1]!'6189.TW-PreClose'</f>
        <v>33.6</v>
      </c>
      <c r="E6189" t="str">
        <f>[1]!'6189.TW-SimulateTime'</f>
        <v>13:29:23</v>
      </c>
      <c r="F6189">
        <f>[1]!'6189.TW-Price'</f>
        <v>33.700000000000003</v>
      </c>
    </row>
    <row r="6191" spans="1:6" x14ac:dyDescent="0.25">
      <c r="A6191" t="str">
        <f>[1]!'6191.TW-ID'</f>
        <v>6191</v>
      </c>
      <c r="B6191" t="str">
        <f>[1]!'6191.TW-Name'</f>
        <v>精成科</v>
      </c>
      <c r="C6191">
        <f>[1]!'6191.TW-SimulatePrice'</f>
        <v>13.35</v>
      </c>
      <c r="D6191">
        <f>[1]!'6191.TW-PreClose'</f>
        <v>13.4</v>
      </c>
      <c r="E6191" t="str">
        <f>[1]!'6191.TW-SimulateTime'</f>
        <v>13:29:58</v>
      </c>
      <c r="F6191">
        <f>[1]!'6191.TW-Price'</f>
        <v>13.35</v>
      </c>
    </row>
    <row r="6192" spans="1:6" x14ac:dyDescent="0.25">
      <c r="A6192" t="str">
        <f>[1]!'6192.TW-ID'</f>
        <v>6192</v>
      </c>
      <c r="B6192" t="str">
        <f>[1]!'6192.TW-Name'</f>
        <v>巨路</v>
      </c>
      <c r="C6192">
        <f>[1]!'6192.TW-SimulatePrice'</f>
        <v>64.599999999999994</v>
      </c>
      <c r="D6192">
        <f>[1]!'6192.TW-PreClose'</f>
        <v>64.900000000000006</v>
      </c>
      <c r="E6192" t="str">
        <f>[1]!'6192.TW-SimulateTime'</f>
        <v>13:28:05</v>
      </c>
      <c r="F6192">
        <f>[1]!'6192.TW-Price'</f>
        <v>64.599999999999994</v>
      </c>
    </row>
    <row r="6196" spans="1:6" x14ac:dyDescent="0.25">
      <c r="A6196" t="str">
        <f>[1]!'6196.TW-ID'</f>
        <v>6196</v>
      </c>
      <c r="B6196" t="str">
        <f>[1]!'6196.TW-Name'</f>
        <v>帆宣</v>
      </c>
      <c r="C6196">
        <f>[1]!'6196.TW-SimulatePrice'</f>
        <v>72.099999999999994</v>
      </c>
      <c r="D6196">
        <f>[1]!'6196.TW-PreClose'</f>
        <v>74.5</v>
      </c>
      <c r="E6196" t="str">
        <f>[1]!'6196.TW-SimulateTime'</f>
        <v>13:29:54</v>
      </c>
      <c r="F6196">
        <f>[1]!'6196.TW-Price'</f>
        <v>72.099999999999994</v>
      </c>
    </row>
    <row r="6197" spans="1:6" x14ac:dyDescent="0.25">
      <c r="A6197" t="str">
        <f>[1]!'6197.TW-ID'</f>
        <v>6197</v>
      </c>
      <c r="B6197" t="str">
        <f>[1]!'6197.TW-Name'</f>
        <v>佳必琪</v>
      </c>
      <c r="C6197">
        <f>[1]!'6197.TW-SimulatePrice'</f>
        <v>31.6</v>
      </c>
      <c r="D6197">
        <f>[1]!'6197.TW-PreClose'</f>
        <v>31.6</v>
      </c>
      <c r="E6197" t="str">
        <f>[1]!'6197.TW-SimulateTime'</f>
        <v>13:29:54</v>
      </c>
      <c r="F6197">
        <f>[1]!'6197.TW-Price'</f>
        <v>31.6</v>
      </c>
    </row>
    <row r="6201" spans="1:6" x14ac:dyDescent="0.25">
      <c r="A6201" t="str">
        <f>[1]!'6201.TW-ID'</f>
        <v>6201</v>
      </c>
      <c r="B6201" t="str">
        <f>[1]!'6201.TW-Name'</f>
        <v>亞弘電</v>
      </c>
      <c r="C6201">
        <f>[1]!'6201.TW-SimulatePrice'</f>
        <v>33.299999999999997</v>
      </c>
      <c r="D6201">
        <f>[1]!'6201.TW-PreClose'</f>
        <v>33.5</v>
      </c>
      <c r="E6201" t="str">
        <f>[1]!'6201.TW-SimulateTime'</f>
        <v>13:27:25</v>
      </c>
      <c r="F6201">
        <f>[1]!'6201.TW-Price'</f>
        <v>33.299999999999997</v>
      </c>
    </row>
    <row r="6202" spans="1:6" x14ac:dyDescent="0.25">
      <c r="A6202" t="str">
        <f>[1]!'6202.TW-ID'</f>
        <v>6202</v>
      </c>
      <c r="B6202" t="str">
        <f>[1]!'6202.TW-Name'</f>
        <v>盛群</v>
      </c>
      <c r="C6202">
        <f>[1]!'6202.TW-SimulatePrice'</f>
        <v>64.2</v>
      </c>
      <c r="D6202">
        <f>[1]!'6202.TW-PreClose'</f>
        <v>65</v>
      </c>
      <c r="E6202" t="str">
        <f>[1]!'6202.TW-SimulateTime'</f>
        <v>13:29:59</v>
      </c>
      <c r="F6202">
        <f>[1]!'6202.TW-Price'</f>
        <v>64.2</v>
      </c>
    </row>
    <row r="6205" spans="1:6" x14ac:dyDescent="0.25">
      <c r="A6205" t="str">
        <f>[1]!'6205.TW-ID'</f>
        <v>6205</v>
      </c>
      <c r="B6205" t="str">
        <f>[1]!'6205.TW-Name'</f>
        <v>詮欣</v>
      </c>
      <c r="C6205">
        <f>[1]!'6205.TW-SimulatePrice'</f>
        <v>24.9</v>
      </c>
      <c r="D6205">
        <f>[1]!'6205.TW-PreClose'</f>
        <v>24.8</v>
      </c>
      <c r="E6205" t="str">
        <f>[1]!'6205.TW-SimulateTime'</f>
        <v>13:28:26</v>
      </c>
      <c r="F6205">
        <f>[1]!'6205.TW-Price'</f>
        <v>24.9</v>
      </c>
    </row>
    <row r="6206" spans="1:6" x14ac:dyDescent="0.25">
      <c r="A6206" t="str">
        <f>[1]!'6206.TW-ID'</f>
        <v>6206</v>
      </c>
      <c r="B6206" t="str">
        <f>[1]!'6206.TW-Name'</f>
        <v>飛捷</v>
      </c>
      <c r="C6206">
        <f>[1]!'6206.TW-SimulatePrice'</f>
        <v>67.5</v>
      </c>
      <c r="D6206">
        <f>[1]!'6206.TW-PreClose'</f>
        <v>67.400000000000006</v>
      </c>
      <c r="E6206" t="str">
        <f>[1]!'6206.TW-SimulateTime'</f>
        <v>13:28:06</v>
      </c>
      <c r="F6206">
        <f>[1]!'6206.TW-Price'</f>
        <v>67.5</v>
      </c>
    </row>
    <row r="6209" spans="1:6" x14ac:dyDescent="0.25">
      <c r="A6209" t="str">
        <f>[1]!'6209.TW-ID'</f>
        <v>6209</v>
      </c>
      <c r="B6209" t="str">
        <f>[1]!'6209.TW-Name'</f>
        <v>今國光</v>
      </c>
      <c r="C6209">
        <f>[1]!'6209.TW-SimulatePrice'</f>
        <v>21.8</v>
      </c>
      <c r="D6209">
        <f>[1]!'6209.TW-PreClose'</f>
        <v>22.5</v>
      </c>
      <c r="E6209" t="str">
        <f>[1]!'6209.TW-SimulateTime'</f>
        <v>13:29:46</v>
      </c>
      <c r="F6209">
        <f>[1]!'6209.TW-Price'</f>
        <v>21.8</v>
      </c>
    </row>
    <row r="6213" spans="1:6" x14ac:dyDescent="0.25">
      <c r="A6213" t="str">
        <f>[1]!'6213.TW-ID'</f>
        <v>6213</v>
      </c>
      <c r="B6213" t="str">
        <f>[1]!'6213.TW-Name'</f>
        <v>聯茂</v>
      </c>
      <c r="C6213">
        <f>[1]!'6213.TW-SimulatePrice'</f>
        <v>141.5</v>
      </c>
      <c r="D6213">
        <f>[1]!'6213.TW-PreClose'</f>
        <v>141</v>
      </c>
      <c r="E6213" t="str">
        <f>[1]!'6213.TW-SimulateTime'</f>
        <v>13:29:55</v>
      </c>
      <c r="F6213">
        <f>[1]!'6213.TW-Price'</f>
        <v>142</v>
      </c>
    </row>
    <row r="6214" spans="1:6" x14ac:dyDescent="0.25">
      <c r="A6214" t="str">
        <f>[1]!'6214.TW-ID'</f>
        <v>6214</v>
      </c>
      <c r="B6214" t="str">
        <f>[1]!'6214.TW-Name'</f>
        <v>精誠</v>
      </c>
      <c r="C6214">
        <f>[1]!'6214.TW-SimulatePrice'</f>
        <v>77.599999999999994</v>
      </c>
      <c r="D6214">
        <f>[1]!'6214.TW-PreClose'</f>
        <v>78</v>
      </c>
      <c r="E6214" t="str">
        <f>[1]!'6214.TW-SimulateTime'</f>
        <v>13:29:53</v>
      </c>
      <c r="F6214">
        <f>[1]!'6214.TW-Price'</f>
        <v>77.599999999999994</v>
      </c>
    </row>
    <row r="6215" spans="1:6" x14ac:dyDescent="0.25">
      <c r="A6215" t="str">
        <f>[1]!'6215.TW-ID'</f>
        <v>6215</v>
      </c>
      <c r="B6215" t="str">
        <f>[1]!'6215.TW-Name'</f>
        <v>和椿</v>
      </c>
      <c r="C6215">
        <f>[1]!'6215.TW-SimulatePrice'</f>
        <v>14.95</v>
      </c>
      <c r="D6215">
        <f>[1]!'6215.TW-PreClose'</f>
        <v>14.8</v>
      </c>
      <c r="E6215" t="str">
        <f>[1]!'6215.TW-SimulateTime'</f>
        <v>13:29:00</v>
      </c>
      <c r="F6215">
        <f>[1]!'6215.TW-Price'</f>
        <v>14.95</v>
      </c>
    </row>
    <row r="6216" spans="1:6" x14ac:dyDescent="0.25">
      <c r="A6216" t="str">
        <f>[1]!'6216.TW-ID'</f>
        <v>6216</v>
      </c>
      <c r="B6216" t="str">
        <f>[1]!'6216.TW-Name'</f>
        <v>居易</v>
      </c>
      <c r="C6216" t="str">
        <f>[1]!'6216.TW-SimulatePrice'</f>
        <v>--</v>
      </c>
      <c r="D6216">
        <f>[1]!'6216.TW-PreClose'</f>
        <v>27.3</v>
      </c>
      <c r="E6216" t="str">
        <f>[1]!'6216.TW-SimulateTime'</f>
        <v>--</v>
      </c>
      <c r="F6216">
        <f>[1]!'6216.TW-Price'</f>
        <v>27.2</v>
      </c>
    </row>
    <row r="6224" spans="1:6" x14ac:dyDescent="0.25">
      <c r="A6224" t="str">
        <f>[1]!'6224.TW-ID'</f>
        <v>6224</v>
      </c>
      <c r="B6224" t="str">
        <f>[1]!'6224.TW-Name'</f>
        <v>聚鼎</v>
      </c>
      <c r="C6224">
        <f>[1]!'6224.TW-SimulatePrice'</f>
        <v>61</v>
      </c>
      <c r="D6224">
        <f>[1]!'6224.TW-PreClose'</f>
        <v>61.6</v>
      </c>
      <c r="E6224" t="str">
        <f>[1]!'6224.TW-SimulateTime'</f>
        <v>13:29:59</v>
      </c>
      <c r="F6224">
        <f>[1]!'6224.TW-Price'</f>
        <v>61</v>
      </c>
    </row>
    <row r="6225" spans="1:6" x14ac:dyDescent="0.25">
      <c r="A6225" t="str">
        <f>[1]!'6225.TW-ID'</f>
        <v>6225</v>
      </c>
      <c r="B6225" t="str">
        <f>[1]!'6225.TW-Name'</f>
        <v>天瀚</v>
      </c>
      <c r="C6225" t="str">
        <f>[1]!'6225.TW-SimulatePrice'</f>
        <v>--</v>
      </c>
      <c r="D6225">
        <f>[1]!'6225.TW-PreClose'</f>
        <v>2.8</v>
      </c>
      <c r="E6225" t="str">
        <f>[1]!'6225.TW-SimulateTime'</f>
        <v>--</v>
      </c>
      <c r="F6225" t="str">
        <f>[1]!'6225.TW-Price'</f>
        <v>--</v>
      </c>
    </row>
    <row r="6226" spans="1:6" x14ac:dyDescent="0.25">
      <c r="A6226" t="str">
        <f>[1]!'6226.TW-ID'</f>
        <v>6226</v>
      </c>
      <c r="B6226" t="str">
        <f>[1]!'6226.TW-Name'</f>
        <v>光鼎</v>
      </c>
      <c r="C6226">
        <f>[1]!'6226.TW-SimulatePrice'</f>
        <v>8.1199999999999992</v>
      </c>
      <c r="D6226">
        <f>[1]!'6226.TW-PreClose'</f>
        <v>8.34</v>
      </c>
      <c r="E6226" t="str">
        <f>[1]!'6226.TW-SimulateTime'</f>
        <v>13:29:58</v>
      </c>
      <c r="F6226">
        <f>[1]!'6226.TW-Price'</f>
        <v>8.1199999999999992</v>
      </c>
    </row>
    <row r="6230" spans="1:6" x14ac:dyDescent="0.25">
      <c r="A6230" t="str">
        <f>[1]!'6230.TW-ID'</f>
        <v>6230</v>
      </c>
      <c r="B6230" t="str">
        <f>[1]!'6230.TW-Name'</f>
        <v>超眾</v>
      </c>
      <c r="C6230">
        <f>[1]!'6230.TW-SimulatePrice'</f>
        <v>238</v>
      </c>
      <c r="D6230">
        <f>[1]!'6230.TW-PreClose'</f>
        <v>238</v>
      </c>
      <c r="E6230" t="str">
        <f>[1]!'6230.TW-SimulateTime'</f>
        <v>13:29:47</v>
      </c>
      <c r="F6230">
        <f>[1]!'6230.TW-Price'</f>
        <v>238.5</v>
      </c>
    </row>
    <row r="6235" spans="1:6" x14ac:dyDescent="0.25">
      <c r="A6235" t="str">
        <f>[1]!'6235.TW-ID'</f>
        <v>6235</v>
      </c>
      <c r="B6235" t="str">
        <f>[1]!'6235.TW-Name'</f>
        <v>華孚</v>
      </c>
      <c r="C6235">
        <f>[1]!'6235.TW-SimulatePrice'</f>
        <v>10.050000000000001</v>
      </c>
      <c r="D6235">
        <f>[1]!'6235.TW-PreClose'</f>
        <v>10.15</v>
      </c>
      <c r="E6235" t="str">
        <f>[1]!'6235.TW-SimulateTime'</f>
        <v>13:29:47</v>
      </c>
      <c r="F6235">
        <f>[1]!'6235.TW-Price'</f>
        <v>10.050000000000001</v>
      </c>
    </row>
    <row r="6239" spans="1:6" x14ac:dyDescent="0.25">
      <c r="A6239" t="str">
        <f>[1]!'6239.TW-ID'</f>
        <v>6239</v>
      </c>
      <c r="B6239" t="str">
        <f>[1]!'6239.TW-Name'</f>
        <v>力成</v>
      </c>
      <c r="C6239">
        <f>[1]!'6239.TW-SimulatePrice'</f>
        <v>102.5</v>
      </c>
      <c r="D6239">
        <f>[1]!'6239.TW-PreClose'</f>
        <v>104</v>
      </c>
      <c r="E6239" t="str">
        <f>[1]!'6239.TW-SimulateTime'</f>
        <v>13:29:57</v>
      </c>
      <c r="F6239">
        <f>[1]!'6239.TW-Price'</f>
        <v>102.5</v>
      </c>
    </row>
    <row r="6243" spans="1:6" x14ac:dyDescent="0.25">
      <c r="A6243" t="str">
        <f>[1]!'6243.TW-ID'</f>
        <v>6243</v>
      </c>
      <c r="B6243" t="str">
        <f>[1]!'6243.TW-Name'</f>
        <v>迅杰</v>
      </c>
      <c r="C6243">
        <f>[1]!'6243.TW-SimulatePrice'</f>
        <v>9.18</v>
      </c>
      <c r="D6243">
        <f>[1]!'6243.TW-PreClose'</f>
        <v>9.14</v>
      </c>
      <c r="E6243" t="str">
        <f>[1]!'6243.TW-SimulateTime'</f>
        <v>13:27:47</v>
      </c>
      <c r="F6243">
        <f>[1]!'6243.TW-Price'</f>
        <v>9.15</v>
      </c>
    </row>
    <row r="6251" spans="1:6" x14ac:dyDescent="0.25">
      <c r="A6251" t="str">
        <f>[1]!'6251.TW-ID'</f>
        <v>6251</v>
      </c>
      <c r="B6251" t="str">
        <f>[1]!'6251.TW-Name'</f>
        <v>定穎</v>
      </c>
      <c r="C6251">
        <f>[1]!'6251.TW-SimulatePrice'</f>
        <v>18</v>
      </c>
      <c r="D6251">
        <f>[1]!'6251.TW-PreClose'</f>
        <v>17.75</v>
      </c>
      <c r="E6251" t="str">
        <f>[1]!'6251.TW-SimulateTime'</f>
        <v>13:29:54</v>
      </c>
      <c r="F6251">
        <f>[1]!'6251.TW-Price'</f>
        <v>18.05</v>
      </c>
    </row>
    <row r="6257" spans="1:6" x14ac:dyDescent="0.25">
      <c r="A6257" t="str">
        <f>[1]!'6257.TW-ID'</f>
        <v>6257</v>
      </c>
      <c r="B6257" t="str">
        <f>[1]!'6257.TW-Name'</f>
        <v>矽格</v>
      </c>
      <c r="C6257">
        <f>[1]!'6257.TW-SimulatePrice'</f>
        <v>37.200000000000003</v>
      </c>
      <c r="D6257">
        <f>[1]!'6257.TW-PreClose'</f>
        <v>37.4</v>
      </c>
      <c r="E6257" t="str">
        <f>[1]!'6257.TW-SimulateTime'</f>
        <v>13:29:59</v>
      </c>
      <c r="F6257">
        <f>[1]!'6257.TW-Price'</f>
        <v>37.200000000000003</v>
      </c>
    </row>
    <row r="6269" spans="1:6" x14ac:dyDescent="0.25">
      <c r="A6269" t="str">
        <f>[1]!'6269.TW-ID'</f>
        <v>6269</v>
      </c>
      <c r="B6269" t="str">
        <f>[1]!'6269.TW-Name'</f>
        <v>台郡</v>
      </c>
      <c r="C6269">
        <f>[1]!'6269.TW-SimulatePrice'</f>
        <v>103.5</v>
      </c>
      <c r="D6269">
        <f>[1]!'6269.TW-PreClose'</f>
        <v>104.5</v>
      </c>
      <c r="E6269" t="str">
        <f>[1]!'6269.TW-SimulateTime'</f>
        <v>13:29:59</v>
      </c>
      <c r="F6269">
        <f>[1]!'6269.TW-Price'</f>
        <v>103.5</v>
      </c>
    </row>
    <row r="6271" spans="1:6" x14ac:dyDescent="0.25">
      <c r="A6271" t="str">
        <f>[1]!'6271.TW-ID'</f>
        <v>6271</v>
      </c>
      <c r="B6271" t="str">
        <f>[1]!'6271.TW-Name'</f>
        <v>同欣電</v>
      </c>
      <c r="C6271">
        <f>[1]!'6271.TW-SimulatePrice'</f>
        <v>135.5</v>
      </c>
      <c r="D6271">
        <f>[1]!'6271.TW-PreClose'</f>
        <v>131</v>
      </c>
      <c r="E6271" t="str">
        <f>[1]!'6271.TW-SimulateTime'</f>
        <v>13:29:56</v>
      </c>
      <c r="F6271">
        <f>[1]!'6271.TW-Price'</f>
        <v>136</v>
      </c>
    </row>
    <row r="6277" spans="1:6" x14ac:dyDescent="0.25">
      <c r="A6277" t="str">
        <f>[1]!'6277.TW-ID'</f>
        <v>6277</v>
      </c>
      <c r="B6277" t="str">
        <f>[1]!'6277.TW-Name'</f>
        <v>宏正</v>
      </c>
      <c r="C6277">
        <f>[1]!'6277.TW-SimulatePrice'</f>
        <v>87.5</v>
      </c>
      <c r="D6277">
        <f>[1]!'6277.TW-PreClose'</f>
        <v>89.3</v>
      </c>
      <c r="E6277" t="str">
        <f>[1]!'6277.TW-SimulateTime'</f>
        <v>13:29:50</v>
      </c>
      <c r="F6277">
        <f>[1]!'6277.TW-Price'</f>
        <v>87.5</v>
      </c>
    </row>
    <row r="6278" spans="1:6" x14ac:dyDescent="0.25">
      <c r="A6278" t="str">
        <f>[1]!'6278.TW-ID'</f>
        <v>6278</v>
      </c>
      <c r="B6278" t="str">
        <f>[1]!'6278.TW-Name'</f>
        <v>台表科</v>
      </c>
      <c r="C6278">
        <f>[1]!'6278.TW-SimulatePrice'</f>
        <v>105.5</v>
      </c>
      <c r="D6278">
        <f>[1]!'6278.TW-PreClose'</f>
        <v>96.5</v>
      </c>
      <c r="E6278" t="str">
        <f>[1]!'6278.TW-SimulateTime'</f>
        <v>13:29:55</v>
      </c>
      <c r="F6278">
        <f>[1]!'6278.TW-Price'</f>
        <v>105</v>
      </c>
    </row>
    <row r="6281" spans="1:6" x14ac:dyDescent="0.25">
      <c r="A6281" t="str">
        <f>[1]!'6281.TW-ID'</f>
        <v>6281</v>
      </c>
      <c r="B6281" t="str">
        <f>[1]!'6281.TW-Name'</f>
        <v>全國電</v>
      </c>
      <c r="C6281">
        <f>[1]!'6281.TW-SimulatePrice'</f>
        <v>67.599999999999994</v>
      </c>
      <c r="D6281">
        <f>[1]!'6281.TW-PreClose'</f>
        <v>67.400000000000006</v>
      </c>
      <c r="E6281" t="str">
        <f>[1]!'6281.TW-SimulateTime'</f>
        <v>13:29:29</v>
      </c>
      <c r="F6281">
        <f>[1]!'6281.TW-Price'</f>
        <v>67.599999999999994</v>
      </c>
    </row>
    <row r="6282" spans="1:6" x14ac:dyDescent="0.25">
      <c r="A6282" t="str">
        <f>[1]!'6282.TW-ID'</f>
        <v>6282</v>
      </c>
      <c r="B6282" t="str">
        <f>[1]!'6282.TW-Name'</f>
        <v>康舒</v>
      </c>
      <c r="C6282">
        <f>[1]!'6282.TW-SimulatePrice'</f>
        <v>19.95</v>
      </c>
      <c r="D6282">
        <f>[1]!'6282.TW-PreClose'</f>
        <v>20</v>
      </c>
      <c r="E6282" t="str">
        <f>[1]!'6282.TW-SimulateTime'</f>
        <v>13:29:57</v>
      </c>
      <c r="F6282">
        <f>[1]!'6282.TW-Price'</f>
        <v>19.95</v>
      </c>
    </row>
    <row r="6283" spans="1:6" x14ac:dyDescent="0.25">
      <c r="A6283" t="str">
        <f>[1]!'6283.TW-ID'</f>
        <v>6283</v>
      </c>
      <c r="B6283" t="str">
        <f>[1]!'6283.TW-Name'</f>
        <v>淳安</v>
      </c>
      <c r="C6283">
        <f>[1]!'6283.TW-SimulatePrice'</f>
        <v>20.8</v>
      </c>
      <c r="D6283">
        <f>[1]!'6283.TW-PreClose'</f>
        <v>21.25</v>
      </c>
      <c r="E6283" t="str">
        <f>[1]!'6283.TW-SimulateTime'</f>
        <v>13:26:20</v>
      </c>
      <c r="F6283">
        <f>[1]!'6283.TW-Price'</f>
        <v>20.8</v>
      </c>
    </row>
    <row r="6285" spans="1:6" x14ac:dyDescent="0.25">
      <c r="A6285" t="str">
        <f>[1]!'6285.TW-ID'</f>
        <v>6285</v>
      </c>
      <c r="B6285" t="str">
        <f>[1]!'6285.TW-Name'</f>
        <v>啟碁</v>
      </c>
      <c r="C6285">
        <f>[1]!'6285.TW-SimulatePrice'</f>
        <v>61.8</v>
      </c>
      <c r="D6285">
        <f>[1]!'6285.TW-PreClose'</f>
        <v>62.3</v>
      </c>
      <c r="E6285" t="str">
        <f>[1]!'6285.TW-SimulateTime'</f>
        <v>13:29:57</v>
      </c>
      <c r="F6285">
        <f>[1]!'6285.TW-Price'</f>
        <v>61.8</v>
      </c>
    </row>
    <row r="6288" spans="1:6" x14ac:dyDescent="0.25">
      <c r="A6288" t="str">
        <f>[1]!'6288.TW-ID'</f>
        <v>6288</v>
      </c>
      <c r="B6288" t="str">
        <f>[1]!'6288.TW-Name'</f>
        <v>聯嘉</v>
      </c>
      <c r="C6288">
        <f>[1]!'6288.TW-SimulatePrice'</f>
        <v>18.649999999999999</v>
      </c>
      <c r="D6288">
        <f>[1]!'6288.TW-PreClose'</f>
        <v>18.7</v>
      </c>
      <c r="E6288" t="str">
        <f>[1]!'6288.TW-SimulateTime'</f>
        <v>13:29:33</v>
      </c>
      <c r="F6288">
        <f>[1]!'6288.TW-Price'</f>
        <v>18.649999999999999</v>
      </c>
    </row>
    <row r="6289" spans="1:6" x14ac:dyDescent="0.25">
      <c r="A6289" t="str">
        <f>[1]!'6289.TW-ID'</f>
        <v>6289</v>
      </c>
      <c r="B6289" t="str">
        <f>[1]!'6289.TW-Name'</f>
        <v>華上</v>
      </c>
      <c r="C6289" t="str">
        <f>[1]!'6289.TW-SimulatePrice'</f>
        <v>--</v>
      </c>
      <c r="D6289">
        <f>[1]!'6289.TW-PreClose'</f>
        <v>1.77</v>
      </c>
      <c r="E6289" t="str">
        <f>[1]!'6289.TW-SimulateTime'</f>
        <v>--</v>
      </c>
      <c r="F6289">
        <f>[1]!'6289.TW-Price'</f>
        <v>1.78</v>
      </c>
    </row>
    <row r="6405" spans="1:6" x14ac:dyDescent="0.25">
      <c r="A6405" t="str">
        <f>[1]!'6405.TW-ID'</f>
        <v>6405</v>
      </c>
      <c r="B6405" t="str">
        <f>[1]!'6405.TW-Name'</f>
        <v>悅城</v>
      </c>
      <c r="C6405" t="str">
        <f>[1]!'6405.TW-SimulatePrice'</f>
        <v>--</v>
      </c>
      <c r="D6405">
        <f>[1]!'6405.TW-PreClose'</f>
        <v>14.85</v>
      </c>
      <c r="E6405" t="str">
        <f>[1]!'6405.TW-SimulateTime'</f>
        <v>--</v>
      </c>
      <c r="F6405">
        <f>[1]!'6405.TW-Price'</f>
        <v>14.8</v>
      </c>
    </row>
    <row r="6409" spans="1:6" x14ac:dyDescent="0.25">
      <c r="A6409" t="str">
        <f>[1]!'6409.TW-ID'</f>
        <v>6409</v>
      </c>
      <c r="B6409" t="str">
        <f>[1]!'6409.TW-Name'</f>
        <v>旭隼</v>
      </c>
      <c r="C6409">
        <f>[1]!'6409.TW-SimulatePrice'</f>
        <v>784</v>
      </c>
      <c r="D6409">
        <f>[1]!'6409.TW-PreClose'</f>
        <v>765</v>
      </c>
      <c r="E6409" t="str">
        <f>[1]!'6409.TW-SimulateTime'</f>
        <v>13:29:38</v>
      </c>
      <c r="F6409">
        <f>[1]!'6409.TW-Price'</f>
        <v>784</v>
      </c>
    </row>
    <row r="6412" spans="1:6" x14ac:dyDescent="0.25">
      <c r="A6412" t="str">
        <f>[1]!'6412.TW-ID'</f>
        <v>6412</v>
      </c>
      <c r="B6412" t="str">
        <f>[1]!'6412.TW-Name'</f>
        <v>群電</v>
      </c>
      <c r="C6412">
        <f>[1]!'6412.TW-SimulatePrice'</f>
        <v>62.6</v>
      </c>
      <c r="D6412">
        <f>[1]!'6412.TW-PreClose'</f>
        <v>64.3</v>
      </c>
      <c r="E6412" t="str">
        <f>[1]!'6412.TW-SimulateTime'</f>
        <v>13:29:58</v>
      </c>
      <c r="F6412">
        <f>[1]!'6412.TW-Price'</f>
        <v>62.6</v>
      </c>
    </row>
    <row r="6414" spans="1:6" x14ac:dyDescent="0.25">
      <c r="A6414" t="str">
        <f>[1]!'6414.TW-ID'</f>
        <v>6414</v>
      </c>
      <c r="B6414" t="str">
        <f>[1]!'6414.TW-Name'</f>
        <v>樺漢</v>
      </c>
      <c r="C6414">
        <f>[1]!'6414.TW-SimulatePrice'</f>
        <v>184</v>
      </c>
      <c r="D6414">
        <f>[1]!'6414.TW-PreClose'</f>
        <v>191</v>
      </c>
      <c r="E6414" t="str">
        <f>[1]!'6414.TW-SimulateTime'</f>
        <v>13:29:57</v>
      </c>
      <c r="F6414">
        <f>[1]!'6414.TW-Price'</f>
        <v>184</v>
      </c>
    </row>
    <row r="6415" spans="1:6" x14ac:dyDescent="0.25">
      <c r="A6415" t="str">
        <f>[1]!'6415.TW-ID'</f>
        <v>6415</v>
      </c>
      <c r="B6415" t="str">
        <f>[1]!'6415.TW-Name'</f>
        <v>矽力-KY</v>
      </c>
      <c r="C6415">
        <f>[1]!'6415.TW-SimulatePrice'</f>
        <v>1470</v>
      </c>
      <c r="D6415">
        <f>[1]!'6415.TW-PreClose'</f>
        <v>1370</v>
      </c>
      <c r="E6415" t="str">
        <f>[1]!'6415.TW-SimulateTime'</f>
        <v>13:29:56</v>
      </c>
      <c r="F6415">
        <f>[1]!'6415.TW-Price'</f>
        <v>1470</v>
      </c>
    </row>
    <row r="6416" spans="1:6" x14ac:dyDescent="0.25">
      <c r="A6416" t="str">
        <f>[1]!'6416.TW-ID'</f>
        <v>6416</v>
      </c>
      <c r="B6416" t="str">
        <f>[1]!'6416.TW-Name'</f>
        <v>瑞祺電通</v>
      </c>
      <c r="C6416">
        <f>[1]!'6416.TW-SimulatePrice'</f>
        <v>124</v>
      </c>
      <c r="D6416">
        <f>[1]!'6416.TW-PreClose'</f>
        <v>122.5</v>
      </c>
      <c r="E6416" t="str">
        <f>[1]!'6416.TW-SimulateTime'</f>
        <v>13:29:58</v>
      </c>
      <c r="F6416">
        <f>[1]!'6416.TW-Price'</f>
        <v>124</v>
      </c>
    </row>
    <row r="6431" spans="1:6" x14ac:dyDescent="0.25">
      <c r="A6431" t="str">
        <f>[1]!'6431.TW-ID'</f>
        <v>6431</v>
      </c>
      <c r="B6431" t="str">
        <f>[1]!'6431.TW-Name'</f>
        <v>光麗-KY</v>
      </c>
      <c r="C6431">
        <f>[1]!'6431.TW-SimulatePrice'</f>
        <v>23.05</v>
      </c>
      <c r="D6431">
        <f>[1]!'6431.TW-PreClose'</f>
        <v>23</v>
      </c>
      <c r="E6431" t="str">
        <f>[1]!'6431.TW-SimulateTime'</f>
        <v>13:28:33</v>
      </c>
      <c r="F6431">
        <f>[1]!'6431.TW-Price'</f>
        <v>23.05</v>
      </c>
    </row>
    <row r="6442" spans="1:6" x14ac:dyDescent="0.25">
      <c r="A6442" t="str">
        <f>[1]!'6442.TW-ID'</f>
        <v>6442</v>
      </c>
      <c r="B6442" t="str">
        <f>[1]!'6442.TW-Name'</f>
        <v>光聖</v>
      </c>
      <c r="C6442" t="str">
        <f>[1]!'6442.TW-SimulatePrice'</f>
        <v>--</v>
      </c>
      <c r="D6442">
        <f>[1]!'6442.TW-PreClose'</f>
        <v>36.6</v>
      </c>
      <c r="E6442" t="str">
        <f>[1]!'6442.TW-SimulateTime'</f>
        <v>--</v>
      </c>
      <c r="F6442">
        <f>[1]!'6442.TW-Price'</f>
        <v>35.700000000000003</v>
      </c>
    </row>
    <row r="6443" spans="1:6" x14ac:dyDescent="0.25">
      <c r="A6443" t="str">
        <f>[1]!'6443.TW-ID'</f>
        <v>6443</v>
      </c>
      <c r="B6443" t="str">
        <f>[1]!'6443.TW-Name'</f>
        <v>元晶</v>
      </c>
      <c r="C6443">
        <f>[1]!'6443.TW-SimulatePrice'</f>
        <v>6.2</v>
      </c>
      <c r="D6443">
        <f>[1]!'6443.TW-PreClose'</f>
        <v>6.3</v>
      </c>
      <c r="E6443" t="str">
        <f>[1]!'6443.TW-SimulateTime'</f>
        <v>13:29:48</v>
      </c>
      <c r="F6443">
        <f>[1]!'6443.TW-Price'</f>
        <v>6.2</v>
      </c>
    </row>
    <row r="6449" spans="1:6" x14ac:dyDescent="0.25">
      <c r="A6449" t="str">
        <f>[1]!'6449.TW-ID'</f>
        <v>6449</v>
      </c>
      <c r="B6449" t="str">
        <f>[1]!'6449.TW-Name'</f>
        <v>鈺邦</v>
      </c>
      <c r="C6449">
        <f>[1]!'6449.TW-SimulatePrice'</f>
        <v>30.5</v>
      </c>
      <c r="D6449">
        <f>[1]!'6449.TW-PreClose'</f>
        <v>31</v>
      </c>
      <c r="E6449" t="str">
        <f>[1]!'6449.TW-SimulateTime'</f>
        <v>13:28:51</v>
      </c>
      <c r="F6449">
        <f>[1]!'6449.TW-Price'</f>
        <v>30.5</v>
      </c>
    </row>
    <row r="6451" spans="1:6" x14ac:dyDescent="0.25">
      <c r="A6451" t="str">
        <f>[1]!'6451.TW-ID'</f>
        <v>6451</v>
      </c>
      <c r="B6451" t="str">
        <f>[1]!'6451.TW-Name'</f>
        <v>訊芯-KY</v>
      </c>
      <c r="C6451">
        <f>[1]!'6451.TW-SimulatePrice'</f>
        <v>104</v>
      </c>
      <c r="D6451">
        <f>[1]!'6451.TW-PreClose'</f>
        <v>103</v>
      </c>
      <c r="E6451" t="str">
        <f>[1]!'6451.TW-SimulateTime'</f>
        <v>13:29:53</v>
      </c>
      <c r="F6451">
        <f>[1]!'6451.TW-Price'</f>
        <v>104</v>
      </c>
    </row>
    <row r="6452" spans="1:6" x14ac:dyDescent="0.25">
      <c r="A6452" t="str">
        <f>[1]!'6452.TW-ID'</f>
        <v>6452</v>
      </c>
      <c r="B6452" t="str">
        <f>[1]!'6452.TW-Name'</f>
        <v>康友-KY</v>
      </c>
      <c r="C6452">
        <f>[1]!'6452.TW-SimulatePrice'</f>
        <v>147.5</v>
      </c>
      <c r="D6452">
        <f>[1]!'6452.TW-PreClose'</f>
        <v>152</v>
      </c>
      <c r="E6452" t="str">
        <f>[1]!'6452.TW-SimulateTime'</f>
        <v>13:29:56</v>
      </c>
      <c r="F6452">
        <f>[1]!'6452.TW-Price'</f>
        <v>147.5</v>
      </c>
    </row>
    <row r="6456" spans="1:6" x14ac:dyDescent="0.25">
      <c r="A6456" t="str">
        <f>[1]!'6456.TW-ID'</f>
        <v>6456</v>
      </c>
      <c r="B6456" t="str">
        <f>[1]!'6456.TW-Name'</f>
        <v>GIS-KY</v>
      </c>
      <c r="C6456">
        <f>[1]!'6456.TW-SimulatePrice'</f>
        <v>97.8</v>
      </c>
      <c r="D6456">
        <f>[1]!'6456.TW-PreClose'</f>
        <v>102</v>
      </c>
      <c r="E6456" t="str">
        <f>[1]!'6456.TW-SimulateTime'</f>
        <v>13:29:55</v>
      </c>
      <c r="F6456">
        <f>[1]!'6456.TW-Price'</f>
        <v>97.8</v>
      </c>
    </row>
    <row r="6464" spans="1:6" x14ac:dyDescent="0.25">
      <c r="A6464" t="str">
        <f>[1]!'6464.TW-ID'</f>
        <v>6464</v>
      </c>
      <c r="B6464" t="str">
        <f>[1]!'6464.TW-Name'</f>
        <v>台數科</v>
      </c>
      <c r="C6464" t="str">
        <f>[1]!'6464.TW-SimulatePrice'</f>
        <v>--</v>
      </c>
      <c r="D6464">
        <f>[1]!'6464.TW-PreClose'</f>
        <v>116</v>
      </c>
      <c r="E6464" t="str">
        <f>[1]!'6464.TW-SimulateTime'</f>
        <v>--</v>
      </c>
      <c r="F6464">
        <f>[1]!'6464.TW-Price'</f>
        <v>115</v>
      </c>
    </row>
    <row r="6477" spans="1:6" x14ac:dyDescent="0.25">
      <c r="A6477" t="str">
        <f>[1]!'6477.TW-ID'</f>
        <v>6477</v>
      </c>
      <c r="B6477" t="str">
        <f>[1]!'6477.TW-Name'</f>
        <v>安集</v>
      </c>
      <c r="C6477">
        <f>[1]!'6477.TW-SimulatePrice'</f>
        <v>19.899999999999999</v>
      </c>
      <c r="D6477">
        <f>[1]!'6477.TW-PreClose'</f>
        <v>19.899999999999999</v>
      </c>
      <c r="E6477" t="str">
        <f>[1]!'6477.TW-SimulateTime'</f>
        <v>13:29:57</v>
      </c>
      <c r="F6477">
        <f>[1]!'6477.TW-Price'</f>
        <v>19.899999999999999</v>
      </c>
    </row>
    <row r="6491" spans="1:6" x14ac:dyDescent="0.25">
      <c r="A6491" t="str">
        <f>[1]!'6491.TW-ID'</f>
        <v>6491</v>
      </c>
      <c r="B6491" t="str">
        <f>[1]!'6491.TW-Name'</f>
        <v>晶碩</v>
      </c>
      <c r="C6491">
        <f>[1]!'6491.TW-SimulatePrice'</f>
        <v>120</v>
      </c>
      <c r="D6491">
        <f>[1]!'6491.TW-PreClose'</f>
        <v>122.5</v>
      </c>
      <c r="E6491" t="str">
        <f>[1]!'6491.TW-SimulateTime'</f>
        <v>13:29:51</v>
      </c>
      <c r="F6491">
        <f>[1]!'6491.TW-Price'</f>
        <v>120</v>
      </c>
    </row>
    <row r="6504" spans="1:6" x14ac:dyDescent="0.25">
      <c r="A6504" t="str">
        <f>[1]!'6504.TW-ID'</f>
        <v>6504</v>
      </c>
      <c r="B6504" t="str">
        <f>[1]!'6504.TW-Name'</f>
        <v>南六</v>
      </c>
      <c r="C6504">
        <f>[1]!'6504.TW-SimulatePrice'</f>
        <v>232.5</v>
      </c>
      <c r="D6504">
        <f>[1]!'6504.TW-PreClose'</f>
        <v>235.5</v>
      </c>
      <c r="E6504" t="str">
        <f>[1]!'6504.TW-SimulateTime'</f>
        <v>13:29:57</v>
      </c>
      <c r="F6504">
        <f>[1]!'6504.TW-Price'</f>
        <v>232.5</v>
      </c>
    </row>
    <row r="6505" spans="1:6" x14ac:dyDescent="0.25">
      <c r="A6505" t="str">
        <f>[1]!'6505.TW-ID'</f>
        <v>6505</v>
      </c>
      <c r="B6505" t="str">
        <f>[1]!'6505.TW-Name'</f>
        <v>台塑化</v>
      </c>
      <c r="C6505">
        <f>[1]!'6505.TW-SimulatePrice'</f>
        <v>86.4</v>
      </c>
      <c r="D6505">
        <f>[1]!'6505.TW-PreClose'</f>
        <v>86.7</v>
      </c>
      <c r="E6505" t="str">
        <f>[1]!'6505.TW-SimulateTime'</f>
        <v>13:29:56</v>
      </c>
      <c r="F6505">
        <f>[1]!'6505.TW-Price'</f>
        <v>86.4</v>
      </c>
    </row>
    <row r="6525" spans="1:6" x14ac:dyDescent="0.25">
      <c r="A6525" t="str">
        <f>[1]!'6525.TW-ID'</f>
        <v>6525</v>
      </c>
      <c r="B6525" t="str">
        <f>[1]!'6525.TW-Name'</f>
        <v>捷敏-KY</v>
      </c>
      <c r="C6525">
        <f>[1]!'6525.TW-SimulatePrice'</f>
        <v>58.7</v>
      </c>
      <c r="D6525">
        <f>[1]!'6525.TW-PreClose'</f>
        <v>59.2</v>
      </c>
      <c r="E6525" t="str">
        <f>[1]!'6525.TW-SimulateTime'</f>
        <v>13:29:31</v>
      </c>
      <c r="F6525">
        <f>[1]!'6525.TW-Price'</f>
        <v>58.7</v>
      </c>
    </row>
    <row r="6531" spans="1:6" x14ac:dyDescent="0.25">
      <c r="A6531" t="str">
        <f>[1]!'6531.TW-ID'</f>
        <v>6531</v>
      </c>
      <c r="B6531" t="str">
        <f>[1]!'6531.TW-Name'</f>
        <v>愛普</v>
      </c>
      <c r="C6531" t="str">
        <f>[1]!'6531.TW-SimulatePrice'</f>
        <v>--</v>
      </c>
      <c r="D6531">
        <f>[1]!'6531.TW-PreClose'</f>
        <v>226</v>
      </c>
      <c r="E6531" t="str">
        <f>[1]!'6531.TW-SimulateTime'</f>
        <v>--</v>
      </c>
      <c r="F6531">
        <f>[1]!'6531.TW-Price'</f>
        <v>238</v>
      </c>
    </row>
    <row r="6533" spans="1:6" x14ac:dyDescent="0.25">
      <c r="A6533" t="str">
        <f>[1]!'6533.TW-ID'</f>
        <v>6533</v>
      </c>
      <c r="B6533" t="str">
        <f>[1]!'6533.TW-Name'</f>
        <v>晶心科</v>
      </c>
      <c r="C6533">
        <f>[1]!'6533.TW-SimulatePrice'</f>
        <v>101.5</v>
      </c>
      <c r="D6533">
        <f>[1]!'6533.TW-PreClose'</f>
        <v>103</v>
      </c>
      <c r="E6533" t="str">
        <f>[1]!'6533.TW-SimulateTime'</f>
        <v>13:29:59</v>
      </c>
      <c r="F6533">
        <f>[1]!'6533.TW-Price'</f>
        <v>101.5</v>
      </c>
    </row>
    <row r="6541" spans="1:6" x14ac:dyDescent="0.25">
      <c r="A6541" t="str">
        <f>[1]!'6541.TW-ID'</f>
        <v>6541</v>
      </c>
      <c r="B6541" t="str">
        <f>[1]!'6541.TW-Name'</f>
        <v>泰福-KY</v>
      </c>
      <c r="C6541" t="str">
        <f>[1]!'6541.TW-SimulatePrice'</f>
        <v>--</v>
      </c>
      <c r="D6541">
        <f>[1]!'6541.TW-PreClose'</f>
        <v>38.299999999999997</v>
      </c>
      <c r="E6541" t="str">
        <f>[1]!'6541.TW-SimulateTime'</f>
        <v>--</v>
      </c>
      <c r="F6541">
        <f>[1]!'6541.TW-Price'</f>
        <v>38.450000000000003</v>
      </c>
    </row>
    <row r="6552" spans="1:6" x14ac:dyDescent="0.25">
      <c r="A6552" t="str">
        <f>[1]!'6552.TW-ID'</f>
        <v>6552</v>
      </c>
      <c r="B6552" t="str">
        <f>[1]!'6552.TW-Name'</f>
        <v>易華電</v>
      </c>
      <c r="C6552">
        <f>[1]!'6552.TW-SimulatePrice'</f>
        <v>59.5</v>
      </c>
      <c r="D6552">
        <f>[1]!'6552.TW-PreClose'</f>
        <v>58.4</v>
      </c>
      <c r="E6552" t="str">
        <f>[1]!'6552.TW-SimulateTime'</f>
        <v>13:29:56</v>
      </c>
      <c r="F6552">
        <f>[1]!'6552.TW-Price'</f>
        <v>59.5</v>
      </c>
    </row>
    <row r="6558" spans="1:6" x14ac:dyDescent="0.25">
      <c r="A6558" t="str">
        <f>[1]!'6558.TW-ID'</f>
        <v>6558</v>
      </c>
      <c r="B6558" t="str">
        <f>[1]!'6558.TW-Name'</f>
        <v>興能高</v>
      </c>
      <c r="C6558">
        <f>[1]!'6558.TW-SimulatePrice'</f>
        <v>45.75</v>
      </c>
      <c r="D6558">
        <f>[1]!'6558.TW-PreClose'</f>
        <v>45.65</v>
      </c>
      <c r="E6558" t="str">
        <f>[1]!'6558.TW-SimulateTime'</f>
        <v>13:29:59</v>
      </c>
      <c r="F6558">
        <f>[1]!'6558.TW-Price'</f>
        <v>45.75</v>
      </c>
    </row>
    <row r="6573" spans="1:6" x14ac:dyDescent="0.25">
      <c r="A6573" t="str">
        <f>[1]!'6573.TW-ID'</f>
        <v>6573</v>
      </c>
      <c r="B6573" t="str">
        <f>[1]!'6573.TW-Name'</f>
        <v>虹揚-KY</v>
      </c>
      <c r="C6573">
        <f>[1]!'6573.TW-SimulatePrice'</f>
        <v>18.100000000000001</v>
      </c>
      <c r="D6573">
        <f>[1]!'6573.TW-PreClose'</f>
        <v>18.2</v>
      </c>
      <c r="E6573" t="str">
        <f>[1]!'6573.TW-SimulateTime'</f>
        <v>13:29:29</v>
      </c>
      <c r="F6573">
        <f>[1]!'6573.TW-Price'</f>
        <v>18.100000000000001</v>
      </c>
    </row>
    <row r="6579" spans="1:6" x14ac:dyDescent="0.25">
      <c r="A6579" t="str">
        <f>[1]!'6579.TW-ID'</f>
        <v>6579</v>
      </c>
      <c r="B6579" t="str">
        <f>[1]!'6579.TW-Name'</f>
        <v>研揚</v>
      </c>
      <c r="C6579">
        <f>[1]!'6579.TW-SimulatePrice'</f>
        <v>63.5</v>
      </c>
      <c r="D6579">
        <f>[1]!'6579.TW-PreClose'</f>
        <v>63.6</v>
      </c>
      <c r="E6579" t="str">
        <f>[1]!'6579.TW-SimulateTime'</f>
        <v>13:29:44</v>
      </c>
      <c r="F6579">
        <f>[1]!'6579.TW-Price'</f>
        <v>63.5</v>
      </c>
    </row>
    <row r="6581" spans="1:6" x14ac:dyDescent="0.25">
      <c r="A6581" t="str">
        <f>[1]!'6581.TW-ID'</f>
        <v>6581</v>
      </c>
      <c r="B6581" t="str">
        <f>[1]!'6581.TW-Name'</f>
        <v>鋼聯</v>
      </c>
      <c r="C6581">
        <f>[1]!'6581.TW-SimulatePrice'</f>
        <v>61.7</v>
      </c>
      <c r="D6581">
        <f>[1]!'6581.TW-PreClose'</f>
        <v>59.7</v>
      </c>
      <c r="E6581" t="str">
        <f>[1]!'6581.TW-SimulateTime'</f>
        <v>13:29:19</v>
      </c>
      <c r="F6581">
        <f>[1]!'6581.TW-Price'</f>
        <v>61.7</v>
      </c>
    </row>
    <row r="6582" spans="1:6" x14ac:dyDescent="0.25">
      <c r="A6582" t="str">
        <f>[1]!'6582.TW-ID'</f>
        <v>6582</v>
      </c>
      <c r="B6582" t="str">
        <f>[1]!'6582.TW-Name'</f>
        <v>申豐</v>
      </c>
      <c r="C6582">
        <f>[1]!'6582.TW-SimulatePrice'</f>
        <v>107.5</v>
      </c>
      <c r="D6582">
        <f>[1]!'6582.TW-PreClose'</f>
        <v>108</v>
      </c>
      <c r="E6582" t="str">
        <f>[1]!'6582.TW-SimulateTime'</f>
        <v>13:29:56</v>
      </c>
      <c r="F6582">
        <f>[1]!'6582.TW-Price'</f>
        <v>107.5</v>
      </c>
    </row>
    <row r="6591" spans="1:6" x14ac:dyDescent="0.25">
      <c r="A6591" t="str">
        <f>[1]!'6591.TW-ID'</f>
        <v>6591</v>
      </c>
      <c r="B6591" t="str">
        <f>[1]!'6591.TW-Name'</f>
        <v>動力-KY</v>
      </c>
      <c r="C6591">
        <f>[1]!'6591.TW-SimulatePrice'</f>
        <v>44.95</v>
      </c>
      <c r="D6591">
        <f>[1]!'6591.TW-PreClose'</f>
        <v>43.8</v>
      </c>
      <c r="E6591" t="str">
        <f>[1]!'6591.TW-SimulateTime'</f>
        <v>13:29:33</v>
      </c>
      <c r="F6591">
        <f>[1]!'6591.TW-Price'</f>
        <v>44.95</v>
      </c>
    </row>
    <row r="6592" spans="1:6" x14ac:dyDescent="0.25">
      <c r="A6592" t="str">
        <f>[1]!'6592.TW-ID'</f>
        <v>6592</v>
      </c>
      <c r="B6592" t="str">
        <f>[1]!'6592.TW-Name'</f>
        <v>和潤企業</v>
      </c>
      <c r="C6592">
        <f>[1]!'6592.TW-SimulatePrice'</f>
        <v>78.7</v>
      </c>
      <c r="D6592">
        <f>[1]!'6592.TW-PreClose'</f>
        <v>78.5</v>
      </c>
      <c r="E6592" t="str">
        <f>[1]!'6592.TW-SimulateTime'</f>
        <v>13:29:58</v>
      </c>
      <c r="F6592">
        <f>[1]!'6592.TW-Price'</f>
        <v>78.7</v>
      </c>
    </row>
    <row r="6605" spans="1:6" x14ac:dyDescent="0.25">
      <c r="A6605" t="str">
        <f>[1]!'6605.TW-ID'</f>
        <v>6605</v>
      </c>
      <c r="B6605" t="str">
        <f>[1]!'6605.TW-Name'</f>
        <v>帝寶</v>
      </c>
      <c r="C6605">
        <f>[1]!'6605.TW-SimulatePrice'</f>
        <v>45.7</v>
      </c>
      <c r="D6605">
        <f>[1]!'6605.TW-PreClose'</f>
        <v>45</v>
      </c>
      <c r="E6605" t="str">
        <f>[1]!'6605.TW-SimulateTime'</f>
        <v>13:29:20</v>
      </c>
      <c r="F6605">
        <f>[1]!'6605.TW-Price'</f>
        <v>45.7</v>
      </c>
    </row>
    <row r="6625" spans="1:6" x14ac:dyDescent="0.25">
      <c r="A6625" t="str">
        <f>[1]!'6625.TW-ID'</f>
        <v>6625</v>
      </c>
      <c r="B6625" t="str">
        <f>[1]!'6625.TW-Name'</f>
        <v>必應</v>
      </c>
      <c r="C6625" t="str">
        <f>[1]!'6625.TW-SimulatePrice'</f>
        <v>--</v>
      </c>
      <c r="D6625">
        <f>[1]!'6625.TW-PreClose'</f>
        <v>38</v>
      </c>
      <c r="E6625" t="str">
        <f>[1]!'6625.TW-SimulateTime'</f>
        <v>--</v>
      </c>
      <c r="F6625">
        <f>[1]!'6625.TW-Price'</f>
        <v>38</v>
      </c>
    </row>
    <row r="6641" spans="1:6" x14ac:dyDescent="0.25">
      <c r="A6641" t="str">
        <f>[1]!'6641.TW-ID'</f>
        <v>6641</v>
      </c>
      <c r="B6641" t="str">
        <f>[1]!'6641.TW-Name'</f>
        <v>基士德-KY</v>
      </c>
      <c r="C6641">
        <f>[1]!'6641.TW-SimulatePrice'</f>
        <v>67.400000000000006</v>
      </c>
      <c r="D6641">
        <f>[1]!'6641.TW-PreClose'</f>
        <v>67.099999999999994</v>
      </c>
      <c r="E6641" t="str">
        <f>[1]!'6641.TW-SimulateTime'</f>
        <v>13:29:37</v>
      </c>
      <c r="F6641">
        <f>[1]!'6641.TW-Price'</f>
        <v>67.400000000000006</v>
      </c>
    </row>
    <row r="6655" spans="1:6" x14ac:dyDescent="0.25">
      <c r="A6655" t="str">
        <f>[1]!'6655.TW-ID'</f>
        <v>6655</v>
      </c>
      <c r="B6655" t="str">
        <f>[1]!'6655.TW-Name'</f>
        <v>科定</v>
      </c>
      <c r="C6655">
        <f>[1]!'6655.TW-SimulatePrice'</f>
        <v>41.65</v>
      </c>
      <c r="D6655">
        <f>[1]!'6655.TW-PreClose'</f>
        <v>42</v>
      </c>
      <c r="E6655" t="str">
        <f>[1]!'6655.TW-SimulateTime'</f>
        <v>13:29:31</v>
      </c>
      <c r="F6655">
        <f>[1]!'6655.TW-Price'</f>
        <v>41.65</v>
      </c>
    </row>
    <row r="6666" spans="1:6" x14ac:dyDescent="0.25">
      <c r="A6666" t="str">
        <f>[1]!'6666.TW-ID'</f>
        <v>6666</v>
      </c>
      <c r="B6666" t="str">
        <f>[1]!'6666.TW-Name'</f>
        <v>羅麗芬-KY</v>
      </c>
      <c r="C6666">
        <f>[1]!'6666.TW-SimulatePrice'</f>
        <v>116</v>
      </c>
      <c r="D6666">
        <f>[1]!'6666.TW-PreClose'</f>
        <v>119</v>
      </c>
      <c r="E6666" t="str">
        <f>[1]!'6666.TW-SimulateTime'</f>
        <v>13:29:45</v>
      </c>
      <c r="F6666">
        <f>[1]!'6666.TW-Price'</f>
        <v>116</v>
      </c>
    </row>
    <row r="6668" spans="1:6" x14ac:dyDescent="0.25">
      <c r="A6668" t="str">
        <f>[1]!'6668.TW-ID'</f>
        <v>6668</v>
      </c>
      <c r="B6668" t="str">
        <f>[1]!'6668.TW-Name'</f>
        <v>中揚光</v>
      </c>
      <c r="C6668">
        <f>[1]!'6668.TW-SimulatePrice'</f>
        <v>58.6</v>
      </c>
      <c r="D6668">
        <f>[1]!'6668.TW-PreClose'</f>
        <v>58.8</v>
      </c>
      <c r="E6668" t="str">
        <f>[1]!'6668.TW-SimulateTime'</f>
        <v>13:28:28</v>
      </c>
      <c r="F6668">
        <f>[1]!'6668.TW-Price'</f>
        <v>58.6</v>
      </c>
    </row>
    <row r="6669" spans="1:6" x14ac:dyDescent="0.25">
      <c r="A6669" t="str">
        <f>[1]!'6669.TW-ID'</f>
        <v>6669</v>
      </c>
      <c r="B6669" t="str">
        <f>[1]!'6669.TW-Name'</f>
        <v>緯穎</v>
      </c>
      <c r="C6669">
        <f>[1]!'6669.TW-SimulatePrice'</f>
        <v>829</v>
      </c>
      <c r="D6669">
        <f>[1]!'6669.TW-PreClose'</f>
        <v>801</v>
      </c>
      <c r="E6669" t="str">
        <f>[1]!'6669.TW-SimulateTime'</f>
        <v>13:29:58</v>
      </c>
      <c r="F6669">
        <f>[1]!'6669.TW-Price'</f>
        <v>829</v>
      </c>
    </row>
    <row r="6670" spans="1:6" x14ac:dyDescent="0.25">
      <c r="A6670" t="str">
        <f>[1]!'6670.TW-ID'</f>
        <v>6670</v>
      </c>
      <c r="B6670" t="str">
        <f>[1]!'6670.TW-Name'</f>
        <v>復盛應用</v>
      </c>
      <c r="C6670">
        <f>[1]!'6670.TW-SimulatePrice'</f>
        <v>151.5</v>
      </c>
      <c r="D6670">
        <f>[1]!'6670.TW-PreClose'</f>
        <v>151.5</v>
      </c>
      <c r="E6670" t="str">
        <f>[1]!'6670.TW-SimulateTime'</f>
        <v>13:29:45</v>
      </c>
      <c r="F6670">
        <f>[1]!'6670.TW-Price'</f>
        <v>151.5</v>
      </c>
    </row>
    <row r="6671" spans="1:6" x14ac:dyDescent="0.25">
      <c r="A6671" t="str">
        <f>[1]!'6671.TW-ID'</f>
        <v>6671</v>
      </c>
      <c r="B6671" t="str">
        <f>[1]!'6671.TW-Name'</f>
        <v>三能-KY</v>
      </c>
      <c r="C6671" t="str">
        <f>[1]!'6671.TW-SimulatePrice'</f>
        <v>--</v>
      </c>
      <c r="D6671">
        <f>[1]!'6671.TW-PreClose'</f>
        <v>36.950000000000003</v>
      </c>
      <c r="E6671" t="str">
        <f>[1]!'6671.TW-SimulateTime'</f>
        <v>--</v>
      </c>
      <c r="F6671">
        <f>[1]!'6671.TW-Price'</f>
        <v>36.950000000000003</v>
      </c>
    </row>
    <row r="6672" spans="1:6" x14ac:dyDescent="0.25">
      <c r="A6672" t="str">
        <f>[1]!'6672.TW-ID'</f>
        <v>6672</v>
      </c>
      <c r="B6672" t="str">
        <f>[1]!'6672.TW-Name'</f>
        <v>騰輝電子-KY</v>
      </c>
      <c r="C6672">
        <f>[1]!'6672.TW-SimulatePrice'</f>
        <v>86.5</v>
      </c>
      <c r="D6672">
        <f>[1]!'6672.TW-PreClose'</f>
        <v>87.2</v>
      </c>
      <c r="E6672" t="str">
        <f>[1]!'6672.TW-SimulateTime'</f>
        <v>13:29:58</v>
      </c>
      <c r="F6672">
        <f>[1]!'6672.TW-Price'</f>
        <v>86.5</v>
      </c>
    </row>
    <row r="6674" spans="1:6" x14ac:dyDescent="0.25">
      <c r="A6674" t="str">
        <f>[1]!'6674.TW-ID'</f>
        <v>6674</v>
      </c>
      <c r="B6674" t="str">
        <f>[1]!'6674.TW-Name'</f>
        <v>鋐寶科技</v>
      </c>
      <c r="C6674">
        <f>[1]!'6674.TW-SimulatePrice'</f>
        <v>23.8</v>
      </c>
      <c r="D6674">
        <f>[1]!'6674.TW-PreClose'</f>
        <v>25</v>
      </c>
      <c r="E6674" t="str">
        <f>[1]!'6674.TW-SimulateTime'</f>
        <v>13:29:53</v>
      </c>
      <c r="F6674">
        <f>[1]!'6674.TW-Price'</f>
        <v>23.8</v>
      </c>
    </row>
    <row r="6698" spans="1:6" x14ac:dyDescent="0.25">
      <c r="A6698" t="str">
        <f>[1]!'6698.TW-ID'</f>
        <v>6698</v>
      </c>
      <c r="B6698" t="str">
        <f>[1]!'6698.TW-Name'</f>
        <v>旭暉應材</v>
      </c>
      <c r="C6698">
        <f>[1]!'6698.TW-SimulatePrice'</f>
        <v>52.8</v>
      </c>
      <c r="D6698">
        <f>[1]!'6698.TW-PreClose'</f>
        <v>53.5</v>
      </c>
      <c r="E6698" t="str">
        <f>[1]!'6698.TW-SimulateTime'</f>
        <v>13:29:54</v>
      </c>
      <c r="F6698">
        <f>[1]!'6698.TW-Price'</f>
        <v>52.8</v>
      </c>
    </row>
    <row r="6706" spans="1:6" x14ac:dyDescent="0.25">
      <c r="A6706" t="str">
        <f>[1]!'6706.TW-ID'</f>
        <v>6706</v>
      </c>
      <c r="B6706" t="str">
        <f>[1]!'6706.TW-Name'</f>
        <v>惠特</v>
      </c>
      <c r="C6706">
        <f>[1]!'6706.TW-SimulatePrice'</f>
        <v>126</v>
      </c>
      <c r="D6706">
        <f>[1]!'6706.TW-PreClose'</f>
        <v>128</v>
      </c>
      <c r="E6706" t="str">
        <f>[1]!'6706.TW-SimulateTime'</f>
        <v>13:29:57</v>
      </c>
      <c r="F6706">
        <f>[1]!'6706.TW-Price'</f>
        <v>126</v>
      </c>
    </row>
    <row r="6715" spans="1:6" x14ac:dyDescent="0.25">
      <c r="A6715" t="str">
        <f>[1]!'6715.TW-ID'</f>
        <v>6715</v>
      </c>
      <c r="B6715" t="str">
        <f>[1]!'6715.TW-Name'</f>
        <v>嘉基</v>
      </c>
      <c r="C6715">
        <f>[1]!'6715.TW-SimulatePrice'</f>
        <v>102</v>
      </c>
      <c r="D6715">
        <f>[1]!'6715.TW-PreClose'</f>
        <v>100.5</v>
      </c>
      <c r="E6715" t="str">
        <f>[1]!'6715.TW-SimulateTime'</f>
        <v>13:29:41</v>
      </c>
      <c r="F6715">
        <f>[1]!'6715.TW-Price'</f>
        <v>102</v>
      </c>
    </row>
    <row r="8011" spans="1:6" x14ac:dyDescent="0.25">
      <c r="A8011" t="str">
        <f>[1]!'8011.TW-ID'</f>
        <v>8011</v>
      </c>
      <c r="B8011" t="str">
        <f>[1]!'8011.TW-Name'</f>
        <v>台通</v>
      </c>
      <c r="C8011">
        <f>[1]!'8011.TW-SimulatePrice'</f>
        <v>19.25</v>
      </c>
      <c r="D8011">
        <f>[1]!'8011.TW-PreClose'</f>
        <v>18.55</v>
      </c>
      <c r="E8011" t="str">
        <f>[1]!'8011.TW-SimulateTime'</f>
        <v>13:29:49</v>
      </c>
      <c r="F8011">
        <f>[1]!'8011.TW-Price'</f>
        <v>19.25</v>
      </c>
    </row>
    <row r="8016" spans="1:6" x14ac:dyDescent="0.25">
      <c r="A8016" t="str">
        <f>[1]!'8016.TW-ID'</f>
        <v>8016</v>
      </c>
      <c r="B8016" t="str">
        <f>[1]!'8016.TW-Name'</f>
        <v>矽創</v>
      </c>
      <c r="C8016">
        <f>[1]!'8016.TW-SimulatePrice'</f>
        <v>142</v>
      </c>
      <c r="D8016">
        <f>[1]!'8016.TW-PreClose'</f>
        <v>143</v>
      </c>
      <c r="E8016" t="str">
        <f>[1]!'8016.TW-SimulateTime'</f>
        <v>13:29:59</v>
      </c>
      <c r="F8016">
        <f>[1]!'8016.TW-Price'</f>
        <v>142</v>
      </c>
    </row>
    <row r="8021" spans="1:6" x14ac:dyDescent="0.25">
      <c r="A8021" t="str">
        <f>[1]!'8021.TW-ID'</f>
        <v>8021</v>
      </c>
      <c r="B8021" t="str">
        <f>[1]!'8021.TW-Name'</f>
        <v>尖點</v>
      </c>
      <c r="C8021">
        <f>[1]!'8021.TW-SimulatePrice'</f>
        <v>20.149999999999999</v>
      </c>
      <c r="D8021">
        <f>[1]!'8021.TW-PreClose'</f>
        <v>20.6</v>
      </c>
      <c r="E8021" t="str">
        <f>[1]!'8021.TW-SimulateTime'</f>
        <v>13:29:31</v>
      </c>
      <c r="F8021">
        <f>[1]!'8021.TW-Price'</f>
        <v>20.149999999999999</v>
      </c>
    </row>
    <row r="8028" spans="1:6" x14ac:dyDescent="0.25">
      <c r="A8028" t="str">
        <f>[1]!'8028.TW-ID'</f>
        <v>8028</v>
      </c>
      <c r="B8028" t="str">
        <f>[1]!'8028.TW-Name'</f>
        <v>昇陽半導體</v>
      </c>
      <c r="C8028">
        <f>[1]!'8028.TW-SimulatePrice'</f>
        <v>47.75</v>
      </c>
      <c r="D8028">
        <f>[1]!'8028.TW-PreClose'</f>
        <v>48.85</v>
      </c>
      <c r="E8028" t="str">
        <f>[1]!'8028.TW-SimulateTime'</f>
        <v>13:29:56</v>
      </c>
      <c r="F8028">
        <f>[1]!'8028.TW-Price'</f>
        <v>47.75</v>
      </c>
    </row>
    <row r="8033" spans="1:6" x14ac:dyDescent="0.25">
      <c r="A8033" t="str">
        <f>[1]!'8033.TW-ID'</f>
        <v>8033</v>
      </c>
      <c r="B8033" t="str">
        <f>[1]!'8033.TW-Name'</f>
        <v>雷虎</v>
      </c>
      <c r="C8033">
        <f>[1]!'8033.TW-SimulatePrice'</f>
        <v>8.15</v>
      </c>
      <c r="D8033">
        <f>[1]!'8033.TW-PreClose'</f>
        <v>7.49</v>
      </c>
      <c r="E8033" t="str">
        <f>[1]!'8033.TW-SimulateTime'</f>
        <v>13:29:53</v>
      </c>
      <c r="F8033">
        <f>[1]!'8033.TW-Price'</f>
        <v>8.15</v>
      </c>
    </row>
    <row r="8039" spans="1:6" x14ac:dyDescent="0.25">
      <c r="A8039" t="str">
        <f>[1]!'8039.TW-ID'</f>
        <v>8039</v>
      </c>
      <c r="B8039" t="str">
        <f>[1]!'8039.TW-Name'</f>
        <v>台虹</v>
      </c>
      <c r="C8039">
        <f>[1]!'8039.TW-SimulatePrice'</f>
        <v>47.55</v>
      </c>
      <c r="D8039">
        <f>[1]!'8039.TW-PreClose'</f>
        <v>48.05</v>
      </c>
      <c r="E8039" t="str">
        <f>[1]!'8039.TW-SimulateTime'</f>
        <v>13:29:56</v>
      </c>
      <c r="F8039">
        <f>[1]!'8039.TW-Price'</f>
        <v>47.55</v>
      </c>
    </row>
    <row r="8046" spans="1:6" x14ac:dyDescent="0.25">
      <c r="A8046" t="str">
        <f>[1]!'8046.TW-ID'</f>
        <v>8046</v>
      </c>
      <c r="B8046" t="str">
        <f>[1]!'8046.TW-Name'</f>
        <v>南電</v>
      </c>
      <c r="C8046">
        <f>[1]!'8046.TW-SimulatePrice'</f>
        <v>70</v>
      </c>
      <c r="D8046">
        <f>[1]!'8046.TW-PreClose'</f>
        <v>70.5</v>
      </c>
      <c r="E8046" t="str">
        <f>[1]!'8046.TW-SimulateTime'</f>
        <v>13:29:55</v>
      </c>
      <c r="F8046">
        <f>[1]!'8046.TW-Price'</f>
        <v>69.900000000000006</v>
      </c>
    </row>
    <row r="8070" spans="1:6" x14ac:dyDescent="0.25">
      <c r="A8070" t="str">
        <f>[1]!'8070.TW-ID'</f>
        <v>8070</v>
      </c>
      <c r="B8070" t="str">
        <f>[1]!'8070.TW-Name'</f>
        <v>長華</v>
      </c>
      <c r="C8070" t="str">
        <f>[1]!'8070.TW-SimulatePrice'</f>
        <v>--</v>
      </c>
      <c r="D8070">
        <f>[1]!'8070.TW-PreClose'</f>
        <v>155</v>
      </c>
      <c r="E8070" t="str">
        <f>[1]!'8070.TW-SimulateTime'</f>
        <v>--</v>
      </c>
      <c r="F8070">
        <f>[1]!'8070.TW-Price'</f>
        <v>153</v>
      </c>
    </row>
    <row r="8072" spans="1:6" x14ac:dyDescent="0.25">
      <c r="A8072" t="str">
        <f>[1]!'8072.TW-ID'</f>
        <v>8072</v>
      </c>
      <c r="B8072" t="str">
        <f>[1]!'8072.TW-Name'</f>
        <v>陞泰</v>
      </c>
      <c r="C8072">
        <f>[1]!'8072.TW-SimulatePrice'</f>
        <v>21.4</v>
      </c>
      <c r="D8072">
        <f>[1]!'8072.TW-PreClose'</f>
        <v>21.25</v>
      </c>
      <c r="E8072" t="str">
        <f>[1]!'8072.TW-SimulateTime'</f>
        <v>13:29:36</v>
      </c>
      <c r="F8072">
        <f>[1]!'8072.TW-Price'</f>
        <v>21.4</v>
      </c>
    </row>
    <row r="8081" spans="1:6" x14ac:dyDescent="0.25">
      <c r="A8081" t="str">
        <f>[1]!'8081.TW-ID'</f>
        <v>8081</v>
      </c>
      <c r="B8081" t="str">
        <f>[1]!'8081.TW-Name'</f>
        <v>致新</v>
      </c>
      <c r="C8081">
        <f>[1]!'8081.TW-SimulatePrice'</f>
        <v>139</v>
      </c>
      <c r="D8081">
        <f>[1]!'8081.TW-PreClose'</f>
        <v>133.5</v>
      </c>
      <c r="E8081" t="str">
        <f>[1]!'8081.TW-SimulateTime'</f>
        <v>13:29:58</v>
      </c>
      <c r="F8081">
        <f>[1]!'8081.TW-Price'</f>
        <v>139</v>
      </c>
    </row>
    <row r="8101" spans="1:6" x14ac:dyDescent="0.25">
      <c r="A8101" t="str">
        <f>[1]!'8101.TW-ID'</f>
        <v>8101</v>
      </c>
      <c r="B8101" t="str">
        <f>[1]!'8101.TW-Name'</f>
        <v>華冠</v>
      </c>
      <c r="C8101">
        <f>[1]!'8101.TW-SimulatePrice'</f>
        <v>5.61</v>
      </c>
      <c r="D8101">
        <f>[1]!'8101.TW-PreClose'</f>
        <v>5.85</v>
      </c>
      <c r="E8101" t="str">
        <f>[1]!'8101.TW-SimulateTime'</f>
        <v>13:29:55</v>
      </c>
      <c r="F8101">
        <f>[1]!'8101.TW-Price'</f>
        <v>5.61</v>
      </c>
    </row>
    <row r="8103" spans="1:6" x14ac:dyDescent="0.25">
      <c r="A8103" t="str">
        <f>[1]!'8103.TW-ID'</f>
        <v>8103</v>
      </c>
      <c r="B8103" t="str">
        <f>[1]!'8103.TW-Name'</f>
        <v>瀚荃</v>
      </c>
      <c r="C8103">
        <f>[1]!'8103.TW-SimulatePrice'</f>
        <v>23.95</v>
      </c>
      <c r="D8103">
        <f>[1]!'8103.TW-PreClose'</f>
        <v>24.1</v>
      </c>
      <c r="E8103" t="str">
        <f>[1]!'8103.TW-SimulateTime'</f>
        <v>13:29:05</v>
      </c>
      <c r="F8103">
        <f>[1]!'8103.TW-Price'</f>
        <v>23.95</v>
      </c>
    </row>
    <row r="8104" spans="1:6" x14ac:dyDescent="0.25">
      <c r="A8104" t="str">
        <f>[1]!'8104.TW-ID'</f>
        <v>8104</v>
      </c>
      <c r="B8104" t="str">
        <f>[1]!'8104.TW-Name'</f>
        <v>錸寶</v>
      </c>
      <c r="C8104">
        <f>[1]!'8104.TW-SimulatePrice'</f>
        <v>40</v>
      </c>
      <c r="D8104">
        <f>[1]!'8104.TW-PreClose'</f>
        <v>40.549999999999997</v>
      </c>
      <c r="E8104" t="str">
        <f>[1]!'8104.TW-SimulateTime'</f>
        <v>13:29:58</v>
      </c>
      <c r="F8104">
        <f>[1]!'8104.TW-Price'</f>
        <v>40</v>
      </c>
    </row>
    <row r="8105" spans="1:6" x14ac:dyDescent="0.25">
      <c r="A8105" t="str">
        <f>[1]!'8105.TW-ID'</f>
        <v>8105</v>
      </c>
      <c r="B8105" t="str">
        <f>[1]!'8105.TW-Name'</f>
        <v>凌巨</v>
      </c>
      <c r="C8105">
        <f>[1]!'8105.TW-SimulatePrice'</f>
        <v>8.94</v>
      </c>
      <c r="D8105">
        <f>[1]!'8105.TW-PreClose'</f>
        <v>9.0500000000000007</v>
      </c>
      <c r="E8105" t="str">
        <f>[1]!'8105.TW-SimulateTime'</f>
        <v>13:29:46</v>
      </c>
      <c r="F8105">
        <f>[1]!'8105.TW-Price'</f>
        <v>8.92</v>
      </c>
    </row>
    <row r="8110" spans="1:6" x14ac:dyDescent="0.25">
      <c r="A8110" t="str">
        <f>[1]!'8110.TW-ID'</f>
        <v>8110</v>
      </c>
      <c r="B8110" t="str">
        <f>[1]!'8110.TW-Name'</f>
        <v>華東</v>
      </c>
      <c r="C8110">
        <f>[1]!'8110.TW-SimulatePrice'</f>
        <v>9.9</v>
      </c>
      <c r="D8110">
        <f>[1]!'8110.TW-PreClose'</f>
        <v>10.15</v>
      </c>
      <c r="E8110" t="str">
        <f>[1]!'8110.TW-SimulateTime'</f>
        <v>13:29:58</v>
      </c>
      <c r="F8110">
        <f>[1]!'8110.TW-Price'</f>
        <v>9.9</v>
      </c>
    </row>
    <row r="8112" spans="1:6" x14ac:dyDescent="0.25">
      <c r="A8112" t="str">
        <f>[1]!'8112.TW-ID'</f>
        <v>8112</v>
      </c>
      <c r="B8112" t="str">
        <f>[1]!'8112.TW-Name'</f>
        <v>至上</v>
      </c>
      <c r="C8112">
        <f>[1]!'8112.TW-SimulatePrice'</f>
        <v>30.75</v>
      </c>
      <c r="D8112">
        <f>[1]!'8112.TW-PreClose'</f>
        <v>31.35</v>
      </c>
      <c r="E8112" t="str">
        <f>[1]!'8112.TW-SimulateTime'</f>
        <v>13:29:57</v>
      </c>
      <c r="F8112">
        <f>[1]!'8112.TW-Price'</f>
        <v>30.7</v>
      </c>
    </row>
    <row r="8114" spans="1:6" x14ac:dyDescent="0.25">
      <c r="A8114" t="str">
        <f>[1]!'8114.TW-ID'</f>
        <v>8114</v>
      </c>
      <c r="B8114" t="str">
        <f>[1]!'8114.TW-Name'</f>
        <v>振樺電</v>
      </c>
      <c r="C8114">
        <f>[1]!'8114.TW-SimulatePrice'</f>
        <v>88.1</v>
      </c>
      <c r="D8114">
        <f>[1]!'8114.TW-PreClose'</f>
        <v>89.9</v>
      </c>
      <c r="E8114" t="str">
        <f>[1]!'8114.TW-SimulateTime'</f>
        <v>13:29:55</v>
      </c>
      <c r="F8114">
        <f>[1]!'8114.TW-Price'</f>
        <v>88.1</v>
      </c>
    </row>
    <row r="8131" spans="1:6" x14ac:dyDescent="0.25">
      <c r="A8131" t="str">
        <f>[1]!'8131.TW-ID'</f>
        <v>8131</v>
      </c>
      <c r="B8131" t="str">
        <f>[1]!'8131.TW-Name'</f>
        <v>福懋科</v>
      </c>
      <c r="C8131">
        <f>[1]!'8131.TW-SimulatePrice'</f>
        <v>37.299999999999997</v>
      </c>
      <c r="D8131">
        <f>[1]!'8131.TW-PreClose'</f>
        <v>37.200000000000003</v>
      </c>
      <c r="E8131" t="str">
        <f>[1]!'8131.TW-SimulateTime'</f>
        <v>13:29:57</v>
      </c>
      <c r="F8131">
        <f>[1]!'8131.TW-Price'</f>
        <v>37.299999999999997</v>
      </c>
    </row>
    <row r="8150" spans="1:6" x14ac:dyDescent="0.25">
      <c r="A8150" t="str">
        <f>[1]!'8150.TW-ID'</f>
        <v>8150</v>
      </c>
      <c r="B8150" t="str">
        <f>[1]!'8150.TW-Name'</f>
        <v>南茂</v>
      </c>
      <c r="C8150">
        <f>[1]!'8150.TW-SimulatePrice'</f>
        <v>30.8</v>
      </c>
      <c r="D8150">
        <f>[1]!'8150.TW-PreClose'</f>
        <v>31.15</v>
      </c>
      <c r="E8150" t="str">
        <f>[1]!'8150.TW-SimulateTime'</f>
        <v>13:29:56</v>
      </c>
      <c r="F8150">
        <f>[1]!'8150.TW-Price'</f>
        <v>30.8</v>
      </c>
    </row>
    <row r="8163" spans="1:6" x14ac:dyDescent="0.25">
      <c r="A8163" t="str">
        <f>[1]!'8163.TW-ID'</f>
        <v>8163</v>
      </c>
      <c r="B8163" t="str">
        <f>[1]!'8163.TW-Name'</f>
        <v>達方</v>
      </c>
      <c r="C8163">
        <f>[1]!'8163.TW-SimulatePrice'</f>
        <v>35.799999999999997</v>
      </c>
      <c r="D8163">
        <f>[1]!'8163.TW-PreClose'</f>
        <v>36.200000000000003</v>
      </c>
      <c r="E8163" t="str">
        <f>[1]!'8163.TW-SimulateTime'</f>
        <v>13:29:57</v>
      </c>
      <c r="F8163">
        <f>[1]!'8163.TW-Price'</f>
        <v>35.799999999999997</v>
      </c>
    </row>
    <row r="8201" spans="1:6" x14ac:dyDescent="0.25">
      <c r="A8201" t="str">
        <f>[1]!'8201.TW-ID'</f>
        <v>8201</v>
      </c>
      <c r="B8201" t="str">
        <f>[1]!'8201.TW-Name'</f>
        <v>無敵</v>
      </c>
      <c r="C8201">
        <f>[1]!'8201.TW-SimulatePrice'</f>
        <v>8.33</v>
      </c>
      <c r="D8201">
        <f>[1]!'8201.TW-PreClose'</f>
        <v>8.27</v>
      </c>
      <c r="E8201" t="str">
        <f>[1]!'8201.TW-SimulateTime'</f>
        <v>13:29:43</v>
      </c>
      <c r="F8201">
        <f>[1]!'8201.TW-Price'</f>
        <v>8.33</v>
      </c>
    </row>
    <row r="8210" spans="1:6" x14ac:dyDescent="0.25">
      <c r="A8210" t="str">
        <f>[1]!'8210.TW-ID'</f>
        <v>8210</v>
      </c>
      <c r="B8210" t="str">
        <f>[1]!'8210.TW-Name'</f>
        <v>勤誠</v>
      </c>
      <c r="C8210">
        <f>[1]!'8210.TW-SimulatePrice'</f>
        <v>91.4</v>
      </c>
      <c r="D8210">
        <f>[1]!'8210.TW-PreClose'</f>
        <v>89.7</v>
      </c>
      <c r="E8210" t="str">
        <f>[1]!'8210.TW-SimulateTime'</f>
        <v>13:29:56</v>
      </c>
      <c r="F8210">
        <f>[1]!'8210.TW-Price'</f>
        <v>91.4</v>
      </c>
    </row>
    <row r="8213" spans="1:6" x14ac:dyDescent="0.25">
      <c r="A8213" t="str">
        <f>[1]!'8213.TW-ID'</f>
        <v>8213</v>
      </c>
      <c r="B8213" t="str">
        <f>[1]!'8213.TW-Name'</f>
        <v>志超</v>
      </c>
      <c r="C8213">
        <f>[1]!'8213.TW-SimulatePrice'</f>
        <v>34.9</v>
      </c>
      <c r="D8213">
        <f>[1]!'8213.TW-PreClose'</f>
        <v>34.549999999999997</v>
      </c>
      <c r="E8213" t="str">
        <f>[1]!'8213.TW-SimulateTime'</f>
        <v>13:29:51</v>
      </c>
      <c r="F8213">
        <f>[1]!'8213.TW-Price'</f>
        <v>34.950000000000003</v>
      </c>
    </row>
    <row r="8215" spans="1:6" x14ac:dyDescent="0.25">
      <c r="A8215" t="str">
        <f>[1]!'8215.TW-ID'</f>
        <v>8215</v>
      </c>
      <c r="B8215" t="str">
        <f>[1]!'8215.TW-Name'</f>
        <v>明基材</v>
      </c>
      <c r="C8215">
        <f>[1]!'8215.TW-SimulatePrice'</f>
        <v>16.100000000000001</v>
      </c>
      <c r="D8215">
        <f>[1]!'8215.TW-PreClose'</f>
        <v>16.3</v>
      </c>
      <c r="E8215" t="str">
        <f>[1]!'8215.TW-SimulateTime'</f>
        <v>13:29:51</v>
      </c>
      <c r="F8215">
        <f>[1]!'8215.TW-Price'</f>
        <v>16.100000000000001</v>
      </c>
    </row>
    <row r="8222" spans="1:6" x14ac:dyDescent="0.25">
      <c r="A8222" t="str">
        <f>[1]!'8222.TW-ID'</f>
        <v>8222</v>
      </c>
      <c r="B8222" t="str">
        <f>[1]!'8222.TW-Name'</f>
        <v>寶一</v>
      </c>
      <c r="C8222" t="str">
        <f>[1]!'8222.TW-SimulatePrice'</f>
        <v>--</v>
      </c>
      <c r="D8222">
        <f>[1]!'8222.TW-PreClose'</f>
        <v>13.3</v>
      </c>
      <c r="E8222" t="str">
        <f>[1]!'8222.TW-SimulateTime'</f>
        <v>--</v>
      </c>
      <c r="F8222">
        <f>[1]!'8222.TW-Price'</f>
        <v>13.25</v>
      </c>
    </row>
    <row r="8249" spans="1:6" x14ac:dyDescent="0.25">
      <c r="A8249" t="str">
        <f>[1]!'8249.TW-ID'</f>
        <v>8249</v>
      </c>
      <c r="B8249" t="str">
        <f>[1]!'8249.TW-Name'</f>
        <v>菱光</v>
      </c>
      <c r="C8249">
        <f>[1]!'8249.TW-SimulatePrice'</f>
        <v>18.399999999999999</v>
      </c>
      <c r="D8249">
        <f>[1]!'8249.TW-PreClose'</f>
        <v>18.55</v>
      </c>
      <c r="E8249" t="str">
        <f>[1]!'8249.TW-SimulateTime'</f>
        <v>13:29:51</v>
      </c>
      <c r="F8249">
        <f>[1]!'8249.TW-Price'</f>
        <v>18.399999999999999</v>
      </c>
    </row>
    <row r="8261" spans="1:6" x14ac:dyDescent="0.25">
      <c r="A8261" t="str">
        <f>[1]!'8261.TW-ID'</f>
        <v>8261</v>
      </c>
      <c r="B8261" t="str">
        <f>[1]!'8261.TW-Name'</f>
        <v>富鼎</v>
      </c>
      <c r="C8261">
        <f>[1]!'8261.TW-SimulatePrice'</f>
        <v>24.3</v>
      </c>
      <c r="D8261">
        <f>[1]!'8261.TW-PreClose'</f>
        <v>24.7</v>
      </c>
      <c r="E8261" t="str">
        <f>[1]!'8261.TW-SimulateTime'</f>
        <v>13:29:39</v>
      </c>
      <c r="F8261">
        <f>[1]!'8261.TW-Price'</f>
        <v>24.3</v>
      </c>
    </row>
    <row r="8271" spans="1:6" x14ac:dyDescent="0.25">
      <c r="A8271" t="str">
        <f>[1]!'8271.TW-ID'</f>
        <v>8271</v>
      </c>
      <c r="B8271" t="str">
        <f>[1]!'8271.TW-Name'</f>
        <v>宇瞻</v>
      </c>
      <c r="C8271">
        <f>[1]!'8271.TW-SimulatePrice'</f>
        <v>47.95</v>
      </c>
      <c r="D8271">
        <f>[1]!'8271.TW-PreClose'</f>
        <v>47.4</v>
      </c>
      <c r="E8271" t="str">
        <f>[1]!'8271.TW-SimulateTime'</f>
        <v>13:29:50</v>
      </c>
      <c r="F8271">
        <f>[1]!'8271.TW-Price'</f>
        <v>47.95</v>
      </c>
    </row>
    <row r="8341" spans="1:6" x14ac:dyDescent="0.25">
      <c r="A8341" t="str">
        <f>[1]!'8341.TW-ID'</f>
        <v>8341</v>
      </c>
      <c r="B8341" t="str">
        <f>[1]!'8341.TW-Name'</f>
        <v>日友</v>
      </c>
      <c r="C8341">
        <f>[1]!'8341.TW-SimulatePrice'</f>
        <v>271</v>
      </c>
      <c r="D8341">
        <f>[1]!'8341.TW-PreClose'</f>
        <v>260</v>
      </c>
      <c r="E8341" t="str">
        <f>[1]!'8341.TW-SimulateTime'</f>
        <v>13:29:59</v>
      </c>
      <c r="F8341">
        <f>[1]!'8341.TW-Price'</f>
        <v>271</v>
      </c>
    </row>
    <row r="8367" spans="1:6" x14ac:dyDescent="0.25">
      <c r="A8367" t="str">
        <f>[1]!'8367.TW-ID'</f>
        <v>8367</v>
      </c>
      <c r="B8367" t="str">
        <f>[1]!'8367.TW-Name'</f>
        <v>建新國際</v>
      </c>
      <c r="C8367" t="str">
        <f>[1]!'8367.TW-SimulatePrice'</f>
        <v>--</v>
      </c>
      <c r="D8367">
        <f>[1]!'8367.TW-PreClose'</f>
        <v>24.85</v>
      </c>
      <c r="E8367" t="str">
        <f>[1]!'8367.TW-SimulateTime'</f>
        <v>--</v>
      </c>
      <c r="F8367">
        <f>[1]!'8367.TW-Price'</f>
        <v>25.45</v>
      </c>
    </row>
    <row r="8374" spans="1:6" x14ac:dyDescent="0.25">
      <c r="A8374" t="str">
        <f>[1]!'8374.TW-ID'</f>
        <v>8374</v>
      </c>
      <c r="B8374" t="str">
        <f>[1]!'8374.TW-Name'</f>
        <v>羅昇</v>
      </c>
      <c r="C8374">
        <f>[1]!'8374.TW-SimulatePrice'</f>
        <v>20.85</v>
      </c>
      <c r="D8374">
        <f>[1]!'8374.TW-PreClose'</f>
        <v>20.350000000000001</v>
      </c>
      <c r="E8374" t="str">
        <f>[1]!'8374.TW-SimulateTime'</f>
        <v>13:29:38</v>
      </c>
      <c r="F8374">
        <f>[1]!'8374.TW-Price'</f>
        <v>20.85</v>
      </c>
    </row>
    <row r="8404" spans="1:6" x14ac:dyDescent="0.25">
      <c r="A8404" t="str">
        <f>[1]!'8404.TW-ID'</f>
        <v>8404</v>
      </c>
      <c r="B8404" t="str">
        <f>[1]!'8404.TW-Name'</f>
        <v>百和興業-KY</v>
      </c>
      <c r="C8404">
        <f>[1]!'8404.TW-SimulatePrice'</f>
        <v>28.55</v>
      </c>
      <c r="D8404">
        <f>[1]!'8404.TW-PreClose'</f>
        <v>29.4</v>
      </c>
      <c r="E8404" t="str">
        <f>[1]!'8404.TW-SimulateTime'</f>
        <v>13:29:52</v>
      </c>
      <c r="F8404">
        <f>[1]!'8404.TW-Price'</f>
        <v>28.5</v>
      </c>
    </row>
    <row r="8411" spans="1:6" x14ac:dyDescent="0.25">
      <c r="A8411" t="str">
        <f>[1]!'8411.TW-ID'</f>
        <v>8411</v>
      </c>
      <c r="B8411" t="str">
        <f>[1]!'8411.TW-Name'</f>
        <v>福貞-KY</v>
      </c>
      <c r="C8411">
        <f>[1]!'8411.TW-SimulatePrice'</f>
        <v>10.6</v>
      </c>
      <c r="D8411">
        <f>[1]!'8411.TW-PreClose'</f>
        <v>10.6</v>
      </c>
      <c r="E8411" t="str">
        <f>[1]!'8411.TW-SimulateTime'</f>
        <v>13:29:03</v>
      </c>
      <c r="F8411">
        <f>[1]!'8411.TW-Price'</f>
        <v>10.6</v>
      </c>
    </row>
    <row r="8422" spans="1:6" x14ac:dyDescent="0.25">
      <c r="A8422" t="str">
        <f>[1]!'8422.TW-ID'</f>
        <v>8422</v>
      </c>
      <c r="B8422" t="str">
        <f>[1]!'8422.TW-Name'</f>
        <v>可寧衛</v>
      </c>
      <c r="C8422">
        <f>[1]!'8422.TW-SimulatePrice'</f>
        <v>153.5</v>
      </c>
      <c r="D8422">
        <f>[1]!'8422.TW-PreClose'</f>
        <v>153.5</v>
      </c>
      <c r="E8422" t="str">
        <f>[1]!'8422.TW-SimulateTime'</f>
        <v>13:28:52</v>
      </c>
      <c r="F8422">
        <f>[1]!'8422.TW-Price'</f>
        <v>153.5</v>
      </c>
    </row>
    <row r="8427" spans="1:6" x14ac:dyDescent="0.25">
      <c r="A8427" t="str">
        <f>[1]!'8427.TW-ID'</f>
        <v>8427</v>
      </c>
      <c r="B8427" t="str">
        <f>[1]!'8427.TW-Name'</f>
        <v>基勝-KY</v>
      </c>
      <c r="C8427">
        <f>[1]!'8427.TW-SimulatePrice'</f>
        <v>49.2</v>
      </c>
      <c r="D8427">
        <f>[1]!'8427.TW-PreClose'</f>
        <v>49.2</v>
      </c>
      <c r="E8427" t="str">
        <f>[1]!'8427.TW-SimulateTime'</f>
        <v>13:28:52</v>
      </c>
      <c r="F8427">
        <f>[1]!'8427.TW-Price'</f>
        <v>49.2</v>
      </c>
    </row>
    <row r="8429" spans="1:6" x14ac:dyDescent="0.25">
      <c r="A8429" t="str">
        <f>[1]!'8429.TW-ID'</f>
        <v>8429</v>
      </c>
      <c r="B8429" t="str">
        <f>[1]!'8429.TW-Name'</f>
        <v>金麗-KY</v>
      </c>
      <c r="C8429">
        <f>[1]!'8429.TW-SimulatePrice'</f>
        <v>7.1</v>
      </c>
      <c r="D8429">
        <f>[1]!'8429.TW-PreClose'</f>
        <v>7.22</v>
      </c>
      <c r="E8429" t="str">
        <f>[1]!'8429.TW-SimulateTime'</f>
        <v>13:29:52</v>
      </c>
      <c r="F8429">
        <f>[1]!'8429.TW-Price'</f>
        <v>7.1</v>
      </c>
    </row>
    <row r="8442" spans="1:6" x14ac:dyDescent="0.25">
      <c r="A8442" t="str">
        <f>[1]!'8442.TW-ID'</f>
        <v>8442</v>
      </c>
      <c r="B8442" t="str">
        <f>[1]!'8442.TW-Name'</f>
        <v>威宏-KY</v>
      </c>
      <c r="C8442">
        <f>[1]!'8442.TW-SimulatePrice'</f>
        <v>42.4</v>
      </c>
      <c r="D8442">
        <f>[1]!'8442.TW-PreClose'</f>
        <v>42.3</v>
      </c>
      <c r="E8442" t="str">
        <f>[1]!'8442.TW-SimulateTime'</f>
        <v>13:29:59</v>
      </c>
      <c r="F8442">
        <f>[1]!'8442.TW-Price'</f>
        <v>42.4</v>
      </c>
    </row>
    <row r="8443" spans="1:6" x14ac:dyDescent="0.25">
      <c r="A8443" t="str">
        <f>[1]!'8443.TW-ID'</f>
        <v>8443</v>
      </c>
      <c r="B8443" t="str">
        <f>[1]!'8443.TW-Name'</f>
        <v>阿瘦</v>
      </c>
      <c r="C8443" t="str">
        <f>[1]!'8443.TW-SimulatePrice'</f>
        <v>--</v>
      </c>
      <c r="D8443">
        <f>[1]!'8443.TW-PreClose'</f>
        <v>8.6</v>
      </c>
      <c r="E8443" t="str">
        <f>[1]!'8443.TW-SimulateTime'</f>
        <v>--</v>
      </c>
      <c r="F8443">
        <f>[1]!'8443.TW-Price'</f>
        <v>8.64</v>
      </c>
    </row>
    <row r="8454" spans="1:6" x14ac:dyDescent="0.25">
      <c r="A8454" t="str">
        <f>[1]!'8454.TW-ID'</f>
        <v>8454</v>
      </c>
      <c r="B8454" t="str">
        <f>[1]!'8454.TW-Name'</f>
        <v>富邦媒</v>
      </c>
      <c r="C8454">
        <f>[1]!'8454.TW-SimulatePrice'</f>
        <v>489.5</v>
      </c>
      <c r="D8454">
        <f>[1]!'8454.TW-PreClose'</f>
        <v>482</v>
      </c>
      <c r="E8454" t="str">
        <f>[1]!'8454.TW-SimulateTime'</f>
        <v>13:29:59</v>
      </c>
      <c r="F8454">
        <f>[1]!'8454.TW-Price'</f>
        <v>489.5</v>
      </c>
    </row>
    <row r="8462" spans="1:6" x14ac:dyDescent="0.25">
      <c r="A8462" t="str">
        <f>[1]!'8462.TW-ID'</f>
        <v>8462</v>
      </c>
      <c r="B8462" t="str">
        <f>[1]!'8462.TW-Name'</f>
        <v>柏文</v>
      </c>
      <c r="C8462">
        <f>[1]!'8462.TW-SimulatePrice'</f>
        <v>179</v>
      </c>
      <c r="D8462">
        <f>[1]!'8462.TW-PreClose'</f>
        <v>176</v>
      </c>
      <c r="E8462" t="str">
        <f>[1]!'8462.TW-SimulateTime'</f>
        <v>13:29:59</v>
      </c>
      <c r="F8462">
        <f>[1]!'8462.TW-Price'</f>
        <v>179</v>
      </c>
    </row>
    <row r="8463" spans="1:6" x14ac:dyDescent="0.25">
      <c r="A8463" t="str">
        <f>[1]!'8463.TW-ID'</f>
        <v>8463</v>
      </c>
      <c r="B8463" t="str">
        <f>[1]!'8463.TW-Name'</f>
        <v>潤泰材</v>
      </c>
      <c r="C8463">
        <f>[1]!'8463.TW-SimulatePrice'</f>
        <v>38.4</v>
      </c>
      <c r="D8463">
        <f>[1]!'8463.TW-PreClose'</f>
        <v>38.9</v>
      </c>
      <c r="E8463" t="str">
        <f>[1]!'8463.TW-SimulateTime'</f>
        <v>13:29:30</v>
      </c>
      <c r="F8463">
        <f>[1]!'8463.TW-Price'</f>
        <v>38.4</v>
      </c>
    </row>
    <row r="8464" spans="1:6" x14ac:dyDescent="0.25">
      <c r="A8464" t="str">
        <f>[1]!'8464.TW-ID'</f>
        <v>8464</v>
      </c>
      <c r="B8464" t="str">
        <f>[1]!'8464.TW-Name'</f>
        <v>億豐</v>
      </c>
      <c r="C8464">
        <f>[1]!'8464.TW-SimulatePrice'</f>
        <v>239</v>
      </c>
      <c r="D8464">
        <f>[1]!'8464.TW-PreClose'</f>
        <v>236</v>
      </c>
      <c r="E8464" t="str">
        <f>[1]!'8464.TW-SimulateTime'</f>
        <v>13:29:57</v>
      </c>
      <c r="F8464">
        <f>[1]!'8464.TW-Price'</f>
        <v>239</v>
      </c>
    </row>
    <row r="8466" spans="1:6" x14ac:dyDescent="0.25">
      <c r="A8466" t="str">
        <f>[1]!'8466.TW-ID'</f>
        <v>8466</v>
      </c>
      <c r="B8466" t="str">
        <f>[1]!'8466.TW-Name'</f>
        <v>美吉吉-KY</v>
      </c>
      <c r="C8466">
        <f>[1]!'8466.TW-SimulatePrice'</f>
        <v>65.8</v>
      </c>
      <c r="D8466">
        <f>[1]!'8466.TW-PreClose'</f>
        <v>64.900000000000006</v>
      </c>
      <c r="E8466" t="str">
        <f>[1]!'8466.TW-SimulateTime'</f>
        <v>13:29:55</v>
      </c>
      <c r="F8466">
        <f>[1]!'8466.TW-Price'</f>
        <v>65.8</v>
      </c>
    </row>
    <row r="8467" spans="1:6" x14ac:dyDescent="0.25">
      <c r="A8467" t="str">
        <f>[1]!'8467.TW-ID'</f>
        <v>8467</v>
      </c>
      <c r="B8467" t="str">
        <f>[1]!'8467.TW-Name'</f>
        <v>波力-KY</v>
      </c>
      <c r="C8467">
        <f>[1]!'8467.TW-SimulatePrice'</f>
        <v>47.7</v>
      </c>
      <c r="D8467">
        <f>[1]!'8467.TW-PreClose'</f>
        <v>48.25</v>
      </c>
      <c r="E8467" t="str">
        <f>[1]!'8467.TW-SimulateTime'</f>
        <v>13:29:44</v>
      </c>
      <c r="F8467">
        <f>[1]!'8467.TW-Price'</f>
        <v>47.7</v>
      </c>
    </row>
    <row r="8473" spans="1:6" x14ac:dyDescent="0.25">
      <c r="A8473" t="str">
        <f>[1]!'8473.TW-ID'</f>
        <v>8473</v>
      </c>
      <c r="B8473" t="str">
        <f>[1]!'8473.TW-Name'</f>
        <v>山林水</v>
      </c>
      <c r="C8473">
        <f>[1]!'8473.TW-SimulatePrice'</f>
        <v>43</v>
      </c>
      <c r="D8473">
        <f>[1]!'8473.TW-PreClose'</f>
        <v>41.65</v>
      </c>
      <c r="E8473" t="str">
        <f>[1]!'8473.TW-SimulateTime'</f>
        <v>13:27:23</v>
      </c>
      <c r="F8473">
        <f>[1]!'8473.TW-Price'</f>
        <v>43</v>
      </c>
    </row>
    <row r="8478" spans="1:6" x14ac:dyDescent="0.25">
      <c r="A8478" t="str">
        <f>[1]!'8478.TW-ID'</f>
        <v>8478</v>
      </c>
      <c r="B8478" t="str">
        <f>[1]!'8478.TW-Name'</f>
        <v>東哥遊艇</v>
      </c>
      <c r="C8478" t="str">
        <f>[1]!'8478.TW-SimulatePrice'</f>
        <v>--</v>
      </c>
      <c r="D8478">
        <f>[1]!'8478.TW-PreClose'</f>
        <v>36.200000000000003</v>
      </c>
      <c r="E8478" t="str">
        <f>[1]!'8478.TW-SimulateTime'</f>
        <v>--</v>
      </c>
      <c r="F8478">
        <f>[1]!'8478.TW-Price'</f>
        <v>36</v>
      </c>
    </row>
    <row r="8480" spans="1:6" x14ac:dyDescent="0.25">
      <c r="A8480" t="str">
        <f>[1]!'8480.TW-ID'</f>
        <v>8480</v>
      </c>
      <c r="B8480" t="str">
        <f>[1]!'8480.TW-Name'</f>
        <v>泰昇-KY</v>
      </c>
      <c r="C8480">
        <f>[1]!'8480.TW-SimulatePrice'</f>
        <v>142</v>
      </c>
      <c r="D8480">
        <f>[1]!'8480.TW-PreClose'</f>
        <v>139</v>
      </c>
      <c r="E8480" t="str">
        <f>[1]!'8480.TW-SimulateTime'</f>
        <v>13:29:23</v>
      </c>
      <c r="F8480">
        <f>[1]!'8480.TW-Price'</f>
        <v>142</v>
      </c>
    </row>
    <row r="8481" spans="1:6" x14ac:dyDescent="0.25">
      <c r="A8481" t="str">
        <f>[1]!'8481.TW-ID'</f>
        <v>8481</v>
      </c>
      <c r="B8481" t="str">
        <f>[1]!'8481.TW-Name'</f>
        <v>政伸</v>
      </c>
      <c r="C8481" t="str">
        <f>[1]!'8481.TW-SimulatePrice'</f>
        <v>--</v>
      </c>
      <c r="D8481">
        <f>[1]!'8481.TW-PreClose'</f>
        <v>57.5</v>
      </c>
      <c r="E8481" t="str">
        <f>[1]!'8481.TW-SimulateTime'</f>
        <v>--</v>
      </c>
      <c r="F8481">
        <f>[1]!'8481.TW-Price'</f>
        <v>57.5</v>
      </c>
    </row>
    <row r="8482" spans="1:6" x14ac:dyDescent="0.25">
      <c r="A8482" t="str">
        <f>[1]!'8482.TW-ID'</f>
        <v>8482</v>
      </c>
      <c r="B8482" t="str">
        <f>[1]!'8482.TW-Name'</f>
        <v>商億-KY</v>
      </c>
      <c r="C8482">
        <f>[1]!'8482.TW-SimulatePrice'</f>
        <v>93.4</v>
      </c>
      <c r="D8482">
        <f>[1]!'8482.TW-PreClose'</f>
        <v>93.5</v>
      </c>
      <c r="E8482" t="str">
        <f>[1]!'8482.TW-SimulateTime'</f>
        <v>13:29:47</v>
      </c>
      <c r="F8482">
        <f>[1]!'8482.TW-Price'</f>
        <v>93.4</v>
      </c>
    </row>
    <row r="8488" spans="1:6" x14ac:dyDescent="0.25">
      <c r="A8488" t="str">
        <f>[1]!'8488.TW-ID'</f>
        <v>8488</v>
      </c>
      <c r="B8488" t="str">
        <f>[1]!'8488.TW-Name'</f>
        <v>吉源-KY</v>
      </c>
      <c r="C8488" t="str">
        <f>[1]!'8488.TW-SimulatePrice'</f>
        <v>--</v>
      </c>
      <c r="D8488">
        <f>[1]!'8488.TW-PreClose'</f>
        <v>13.8</v>
      </c>
      <c r="E8488" t="str">
        <f>[1]!'8488.TW-SimulateTime'</f>
        <v>--</v>
      </c>
      <c r="F8488">
        <f>[1]!'8488.TW-Price'</f>
        <v>14.05</v>
      </c>
    </row>
    <row r="8497" spans="1:6" x14ac:dyDescent="0.25">
      <c r="A8497" t="str">
        <f>[1]!'8497.TW-ID'</f>
        <v>8497</v>
      </c>
      <c r="B8497" t="str">
        <f>[1]!'8497.TW-Name'</f>
        <v>格威傳媒</v>
      </c>
      <c r="C8497" t="str">
        <f>[1]!'8497.TW-SimulatePrice'</f>
        <v>--</v>
      </c>
      <c r="D8497">
        <f>[1]!'8497.TW-PreClose'</f>
        <v>67.5</v>
      </c>
      <c r="E8497" t="str">
        <f>[1]!'8497.TW-SimulateTime'</f>
        <v>--</v>
      </c>
      <c r="F8497" t="str">
        <f>[1]!'8497.TW-Price'</f>
        <v>--</v>
      </c>
    </row>
    <row r="8499" spans="1:6" x14ac:dyDescent="0.25">
      <c r="A8499" t="str">
        <f>[1]!'8499.TW-ID'</f>
        <v>8499</v>
      </c>
      <c r="B8499" t="str">
        <f>[1]!'8499.TW-Name'</f>
        <v>鼎炫-KY</v>
      </c>
      <c r="C8499">
        <f>[1]!'8499.TW-SimulatePrice'</f>
        <v>100.5</v>
      </c>
      <c r="D8499">
        <f>[1]!'8499.TW-PreClose'</f>
        <v>100</v>
      </c>
      <c r="E8499" t="str">
        <f>[1]!'8499.TW-SimulateTime'</f>
        <v>13:29:35</v>
      </c>
      <c r="F8499">
        <f>[1]!'8499.TW-Price'</f>
        <v>100.5</v>
      </c>
    </row>
    <row r="8926" spans="1:6" x14ac:dyDescent="0.25">
      <c r="A8926" t="str">
        <f>[1]!'8926.TW-ID'</f>
        <v>8926</v>
      </c>
      <c r="B8926" t="str">
        <f>[1]!'8926.TW-Name'</f>
        <v>台汽電</v>
      </c>
      <c r="C8926">
        <f>[1]!'8926.TW-SimulatePrice'</f>
        <v>36.200000000000003</v>
      </c>
      <c r="D8926">
        <f>[1]!'8926.TW-PreClose'</f>
        <v>35.200000000000003</v>
      </c>
      <c r="E8926" t="str">
        <f>[1]!'8926.TW-SimulateTime'</f>
        <v>13:29:56</v>
      </c>
      <c r="F8926">
        <f>[1]!'8926.TW-Price'</f>
        <v>36.200000000000003</v>
      </c>
    </row>
    <row r="8940" spans="1:6" x14ac:dyDescent="0.25">
      <c r="A8940" t="str">
        <f>[1]!'8940.TW-ID'</f>
        <v>8940</v>
      </c>
      <c r="B8940" t="str">
        <f>[1]!'8940.TW-Name'</f>
        <v>新天地</v>
      </c>
      <c r="C8940">
        <f>[1]!'8940.TW-SimulatePrice'</f>
        <v>9.68</v>
      </c>
      <c r="D8940">
        <f>[1]!'8940.TW-PreClose'</f>
        <v>9.68</v>
      </c>
      <c r="E8940" t="str">
        <f>[1]!'8940.TW-SimulateTime'</f>
        <v>13:29:05</v>
      </c>
      <c r="F8940">
        <f>[1]!'8940.TW-Price'</f>
        <v>9.6999999999999993</v>
      </c>
    </row>
    <row r="8996" spans="1:6" x14ac:dyDescent="0.25">
      <c r="A8996" t="str">
        <f>[1]!'8996.TW-ID'</f>
        <v>8996</v>
      </c>
      <c r="B8996" t="str">
        <f>[1]!'8996.TW-Name'</f>
        <v>高力</v>
      </c>
      <c r="C8996">
        <f>[1]!'8996.TW-SimulatePrice'</f>
        <v>62.5</v>
      </c>
      <c r="D8996">
        <f>[1]!'8996.TW-PreClose'</f>
        <v>64.5</v>
      </c>
      <c r="E8996" t="str">
        <f>[1]!'8996.TW-SimulateTime'</f>
        <v>13:29:59</v>
      </c>
      <c r="F8996">
        <f>[1]!'8996.TW-Price'</f>
        <v>62.5</v>
      </c>
    </row>
    <row r="9802" spans="1:6" x14ac:dyDescent="0.25">
      <c r="A9802" t="str">
        <f>[1]!'9802.TW-ID'</f>
        <v>9802</v>
      </c>
      <c r="B9802" t="str">
        <f>[1]!'9802.TW-Name'</f>
        <v>鈺齊-KY</v>
      </c>
      <c r="C9802">
        <f>[1]!'9802.TW-SimulatePrice'</f>
        <v>82.9</v>
      </c>
      <c r="D9802">
        <f>[1]!'9802.TW-PreClose'</f>
        <v>84.8</v>
      </c>
      <c r="E9802" t="str">
        <f>[1]!'9802.TW-SimulateTime'</f>
        <v>13:29:56</v>
      </c>
      <c r="F9802">
        <f>[1]!'9802.TW-Price'</f>
        <v>82.9</v>
      </c>
    </row>
    <row r="9902" spans="1:6" x14ac:dyDescent="0.25">
      <c r="A9902" t="str">
        <f>[1]!'9902.TW-ID'</f>
        <v>9902</v>
      </c>
      <c r="B9902" t="str">
        <f>[1]!'9902.TW-Name'</f>
        <v>台火</v>
      </c>
      <c r="C9902">
        <f>[1]!'9902.TW-SimulatePrice'</f>
        <v>8.73</v>
      </c>
      <c r="D9902">
        <f>[1]!'9902.TW-PreClose'</f>
        <v>8.77</v>
      </c>
      <c r="E9902" t="str">
        <f>[1]!'9902.TW-SimulateTime'</f>
        <v>13:29:41</v>
      </c>
      <c r="F9902">
        <f>[1]!'9902.TW-Price'</f>
        <v>8.73</v>
      </c>
    </row>
    <row r="9904" spans="1:6" x14ac:dyDescent="0.25">
      <c r="A9904" t="str">
        <f>[1]!'9904.TW-ID'</f>
        <v>9904</v>
      </c>
      <c r="B9904" t="str">
        <f>[1]!'9904.TW-Name'</f>
        <v>寶成</v>
      </c>
      <c r="C9904">
        <f>[1]!'9904.TW-SimulatePrice'</f>
        <v>26.65</v>
      </c>
      <c r="D9904">
        <f>[1]!'9904.TW-PreClose'</f>
        <v>26.95</v>
      </c>
      <c r="E9904" t="str">
        <f>[1]!'9904.TW-SimulateTime'</f>
        <v>13:29:55</v>
      </c>
      <c r="F9904">
        <f>[1]!'9904.TW-Price'</f>
        <v>26.65</v>
      </c>
    </row>
    <row r="9905" spans="1:6" x14ac:dyDescent="0.25">
      <c r="A9905" t="str">
        <f>[1]!'9905.TW-ID'</f>
        <v>9905</v>
      </c>
      <c r="B9905" t="str">
        <f>[1]!'9905.TW-Name'</f>
        <v>大華</v>
      </c>
      <c r="C9905">
        <f>[1]!'9905.TW-SimulatePrice'</f>
        <v>21.1</v>
      </c>
      <c r="D9905">
        <f>[1]!'9905.TW-PreClose'</f>
        <v>21.2</v>
      </c>
      <c r="E9905" t="str">
        <f>[1]!'9905.TW-SimulateTime'</f>
        <v>13:29:54</v>
      </c>
      <c r="F9905">
        <f>[1]!'9905.TW-Price'</f>
        <v>21.1</v>
      </c>
    </row>
    <row r="9906" spans="1:6" x14ac:dyDescent="0.25">
      <c r="A9906" t="str">
        <f>[1]!'9906.TW-ID'</f>
        <v>9906</v>
      </c>
      <c r="B9906" t="str">
        <f>[1]!'9906.TW-Name'</f>
        <v>欣巴巴</v>
      </c>
      <c r="C9906" t="str">
        <f>[1]!'9906.TW-SimulatePrice'</f>
        <v>--</v>
      </c>
      <c r="D9906">
        <f>[1]!'9906.TW-PreClose'</f>
        <v>21</v>
      </c>
      <c r="E9906" t="str">
        <f>[1]!'9906.TW-SimulateTime'</f>
        <v>--</v>
      </c>
      <c r="F9906">
        <f>[1]!'9906.TW-Price'</f>
        <v>21.45</v>
      </c>
    </row>
    <row r="9907" spans="1:6" x14ac:dyDescent="0.25">
      <c r="A9907" t="str">
        <f>[1]!'9907.TW-ID'</f>
        <v>9907</v>
      </c>
      <c r="B9907" t="str">
        <f>[1]!'9907.TW-Name'</f>
        <v>統一實</v>
      </c>
      <c r="C9907">
        <f>[1]!'9907.TW-SimulatePrice'</f>
        <v>8.5500000000000007</v>
      </c>
      <c r="D9907">
        <f>[1]!'9907.TW-PreClose'</f>
        <v>8.56</v>
      </c>
      <c r="E9907" t="str">
        <f>[1]!'9907.TW-SimulateTime'</f>
        <v>13:29:46</v>
      </c>
      <c r="F9907">
        <f>[1]!'9907.TW-Price'</f>
        <v>8.5500000000000007</v>
      </c>
    </row>
    <row r="9908" spans="1:6" x14ac:dyDescent="0.25">
      <c r="A9908" t="str">
        <f>[1]!'9908.TW-ID'</f>
        <v>9908</v>
      </c>
      <c r="B9908" t="str">
        <f>[1]!'9908.TW-Name'</f>
        <v>大台北</v>
      </c>
      <c r="C9908" t="str">
        <f>[1]!'9908.TW-SimulatePrice'</f>
        <v>--</v>
      </c>
      <c r="D9908">
        <f>[1]!'9908.TW-PreClose'</f>
        <v>30.1</v>
      </c>
      <c r="E9908" t="str">
        <f>[1]!'9908.TW-SimulateTime'</f>
        <v>--</v>
      </c>
      <c r="F9908">
        <f>[1]!'9908.TW-Price'</f>
        <v>30</v>
      </c>
    </row>
    <row r="9910" spans="1:6" x14ac:dyDescent="0.25">
      <c r="A9910" t="str">
        <f>[1]!'9910.TW-ID'</f>
        <v>9910</v>
      </c>
      <c r="B9910" t="str">
        <f>[1]!'9910.TW-Name'</f>
        <v>豐泰</v>
      </c>
      <c r="C9910">
        <f>[1]!'9910.TW-SimulatePrice'</f>
        <v>154.5</v>
      </c>
      <c r="D9910">
        <f>[1]!'9910.TW-PreClose'</f>
        <v>154</v>
      </c>
      <c r="E9910" t="str">
        <f>[1]!'9910.TW-SimulateTime'</f>
        <v>13:29:56</v>
      </c>
      <c r="F9910">
        <f>[1]!'9910.TW-Price'</f>
        <v>154.5</v>
      </c>
    </row>
    <row r="9911" spans="1:6" x14ac:dyDescent="0.25">
      <c r="A9911" t="str">
        <f>[1]!'9911.TW-ID'</f>
        <v>9911</v>
      </c>
      <c r="B9911" t="str">
        <f>[1]!'9911.TW-Name'</f>
        <v>櫻花</v>
      </c>
      <c r="C9911">
        <f>[1]!'9911.TW-SimulatePrice'</f>
        <v>46.15</v>
      </c>
      <c r="D9911">
        <f>[1]!'9911.TW-PreClose'</f>
        <v>46.05</v>
      </c>
      <c r="E9911" t="str">
        <f>[1]!'9911.TW-SimulateTime'</f>
        <v>13:29:56</v>
      </c>
      <c r="F9911">
        <f>[1]!'9911.TW-Price'</f>
        <v>46.15</v>
      </c>
    </row>
    <row r="9912" spans="1:6" x14ac:dyDescent="0.25">
      <c r="A9912" t="str">
        <f>[1]!'9912.TW-ID'</f>
        <v>9912</v>
      </c>
      <c r="B9912" t="str">
        <f>[1]!'9912.TW-Name'</f>
        <v>偉聯</v>
      </c>
      <c r="C9912" t="str">
        <f>[1]!'9912.TW-SimulatePrice'</f>
        <v>--</v>
      </c>
      <c r="D9912">
        <f>[1]!'9912.TW-PreClose'</f>
        <v>6.85</v>
      </c>
      <c r="E9912" t="str">
        <f>[1]!'9912.TW-SimulateTime'</f>
        <v>--</v>
      </c>
      <c r="F9912">
        <f>[1]!'9912.TW-Price'</f>
        <v>6.84</v>
      </c>
    </row>
    <row r="9914" spans="1:6" x14ac:dyDescent="0.25">
      <c r="A9914" t="str">
        <f>[1]!'9914.TW-ID'</f>
        <v>9914</v>
      </c>
      <c r="B9914" t="str">
        <f>[1]!'9914.TW-Name'</f>
        <v>美利達</v>
      </c>
      <c r="C9914">
        <f>[1]!'9914.TW-SimulatePrice'</f>
        <v>154</v>
      </c>
      <c r="D9914">
        <f>[1]!'9914.TW-PreClose'</f>
        <v>151.5</v>
      </c>
      <c r="E9914" t="str">
        <f>[1]!'9914.TW-SimulateTime'</f>
        <v>13:29:59</v>
      </c>
      <c r="F9914">
        <f>[1]!'9914.TW-Price'</f>
        <v>154</v>
      </c>
    </row>
    <row r="9917" spans="1:6" x14ac:dyDescent="0.25">
      <c r="A9917" t="str">
        <f>[1]!'9917.TW-ID'</f>
        <v>9917</v>
      </c>
      <c r="B9917" t="str">
        <f>[1]!'9917.TW-Name'</f>
        <v>中保科</v>
      </c>
      <c r="C9917">
        <f>[1]!'9917.TW-SimulatePrice'</f>
        <v>85.9</v>
      </c>
      <c r="D9917">
        <f>[1]!'9917.TW-PreClose'</f>
        <v>85.8</v>
      </c>
      <c r="E9917" t="str">
        <f>[1]!'9917.TW-SimulateTime'</f>
        <v>13:29:58</v>
      </c>
      <c r="F9917">
        <f>[1]!'9917.TW-Price'</f>
        <v>85.9</v>
      </c>
    </row>
    <row r="9918" spans="1:6" x14ac:dyDescent="0.25">
      <c r="A9918" t="str">
        <f>[1]!'9918.TW-ID'</f>
        <v>9918</v>
      </c>
      <c r="B9918" t="str">
        <f>[1]!'9918.TW-Name'</f>
        <v>欣天然</v>
      </c>
      <c r="C9918" t="str">
        <f>[1]!'9918.TW-SimulatePrice'</f>
        <v>--</v>
      </c>
      <c r="D9918">
        <f>[1]!'9918.TW-PreClose'</f>
        <v>34.299999999999997</v>
      </c>
      <c r="E9918" t="str">
        <f>[1]!'9918.TW-SimulateTime'</f>
        <v>--</v>
      </c>
      <c r="F9918">
        <f>[1]!'9918.TW-Price'</f>
        <v>34.450000000000003</v>
      </c>
    </row>
    <row r="9919" spans="1:6" x14ac:dyDescent="0.25">
      <c r="A9919" t="str">
        <f>[1]!'9919.TW-ID'</f>
        <v>9919</v>
      </c>
      <c r="B9919" t="str">
        <f>[1]!'9919.TW-Name'</f>
        <v>康那香</v>
      </c>
      <c r="C9919" t="str">
        <f>[1]!'9919.TW-SimulatePrice'</f>
        <v>--</v>
      </c>
      <c r="D9919">
        <f>[1]!'9919.TW-PreClose'</f>
        <v>28.25</v>
      </c>
      <c r="E9919" t="str">
        <f>[1]!'9919.TW-SimulateTime'</f>
        <v>--</v>
      </c>
      <c r="F9919">
        <f>[1]!'9919.TW-Price'</f>
        <v>26.6</v>
      </c>
    </row>
    <row r="9921" spans="1:6" x14ac:dyDescent="0.25">
      <c r="A9921" t="str">
        <f>[1]!'9921.TW-ID'</f>
        <v>9921</v>
      </c>
      <c r="B9921" t="str">
        <f>[1]!'9921.TW-Name'</f>
        <v>巨大</v>
      </c>
      <c r="C9921">
        <f>[1]!'9921.TW-SimulatePrice'</f>
        <v>199</v>
      </c>
      <c r="D9921">
        <f>[1]!'9921.TW-PreClose'</f>
        <v>187</v>
      </c>
      <c r="E9921" t="str">
        <f>[1]!'9921.TW-SimulateTime'</f>
        <v>13:29:55</v>
      </c>
      <c r="F9921">
        <f>[1]!'9921.TW-Price'</f>
        <v>199</v>
      </c>
    </row>
    <row r="9924" spans="1:6" x14ac:dyDescent="0.25">
      <c r="A9924" t="str">
        <f>[1]!'9924.TW-ID'</f>
        <v>9924</v>
      </c>
      <c r="B9924" t="str">
        <f>[1]!'9924.TW-Name'</f>
        <v>福興</v>
      </c>
      <c r="C9924">
        <f>[1]!'9924.TW-SimulatePrice'</f>
        <v>39.950000000000003</v>
      </c>
      <c r="D9924">
        <f>[1]!'9924.TW-PreClose'</f>
        <v>40.15</v>
      </c>
      <c r="E9924" t="str">
        <f>[1]!'9924.TW-SimulateTime'</f>
        <v>13:29:05</v>
      </c>
      <c r="F9924">
        <f>[1]!'9924.TW-Price'</f>
        <v>40</v>
      </c>
    </row>
    <row r="9925" spans="1:6" x14ac:dyDescent="0.25">
      <c r="A9925" t="str">
        <f>[1]!'9925.TW-ID'</f>
        <v>9925</v>
      </c>
      <c r="B9925" t="str">
        <f>[1]!'9925.TW-Name'</f>
        <v>新保</v>
      </c>
      <c r="C9925" t="str">
        <f>[1]!'9925.TW-SimulatePrice'</f>
        <v>--</v>
      </c>
      <c r="D9925">
        <f>[1]!'9925.TW-PreClose'</f>
        <v>36.049999999999997</v>
      </c>
      <c r="E9925" t="str">
        <f>[1]!'9925.TW-SimulateTime'</f>
        <v>--</v>
      </c>
      <c r="F9925">
        <f>[1]!'9925.TW-Price'</f>
        <v>36.15</v>
      </c>
    </row>
    <row r="9926" spans="1:6" x14ac:dyDescent="0.25">
      <c r="A9926" t="str">
        <f>[1]!'9926.TW-ID'</f>
        <v>9926</v>
      </c>
      <c r="B9926" t="str">
        <f>[1]!'9926.TW-Name'</f>
        <v>新海</v>
      </c>
      <c r="C9926" t="str">
        <f>[1]!'9926.TW-SimulatePrice'</f>
        <v>--</v>
      </c>
      <c r="D9926">
        <f>[1]!'9926.TW-PreClose'</f>
        <v>42.05</v>
      </c>
      <c r="E9926" t="str">
        <f>[1]!'9926.TW-SimulateTime'</f>
        <v>--</v>
      </c>
      <c r="F9926" t="str">
        <f>[1]!'9926.TW-Price'</f>
        <v>--</v>
      </c>
    </row>
    <row r="9927" spans="1:6" x14ac:dyDescent="0.25">
      <c r="A9927" t="str">
        <f>[1]!'9927.TW-ID'</f>
        <v>9927</v>
      </c>
      <c r="B9927" t="str">
        <f>[1]!'9927.TW-Name'</f>
        <v>泰銘</v>
      </c>
      <c r="C9927">
        <f>[1]!'9927.TW-SimulatePrice'</f>
        <v>29.85</v>
      </c>
      <c r="D9927">
        <f>[1]!'9927.TW-PreClose'</f>
        <v>29.75</v>
      </c>
      <c r="E9927" t="str">
        <f>[1]!'9927.TW-SimulateTime'</f>
        <v>13:29:52</v>
      </c>
      <c r="F9927">
        <f>[1]!'9927.TW-Price'</f>
        <v>29.85</v>
      </c>
    </row>
    <row r="9928" spans="1:6" x14ac:dyDescent="0.25">
      <c r="A9928" t="str">
        <f>[1]!'9928.TW-ID'</f>
        <v>9928</v>
      </c>
      <c r="B9928" t="str">
        <f>[1]!'9928.TW-Name'</f>
        <v>中視</v>
      </c>
      <c r="C9928" t="str">
        <f>[1]!'9928.TW-SimulatePrice'</f>
        <v>--</v>
      </c>
      <c r="D9928">
        <f>[1]!'9928.TW-PreClose'</f>
        <v>3.61</v>
      </c>
      <c r="E9928" t="str">
        <f>[1]!'9928.TW-SimulateTime'</f>
        <v>--</v>
      </c>
      <c r="F9928" t="str">
        <f>[1]!'9928.TW-Price'</f>
        <v>--</v>
      </c>
    </row>
    <row r="9929" spans="1:6" x14ac:dyDescent="0.25">
      <c r="A9929" t="str">
        <f>[1]!'9929.TW-ID'</f>
        <v>9929</v>
      </c>
      <c r="B9929" t="str">
        <f>[1]!'9929.TW-Name'</f>
        <v>秋雨</v>
      </c>
      <c r="C9929">
        <f>[1]!'9929.TW-SimulatePrice'</f>
        <v>12.2</v>
      </c>
      <c r="D9929">
        <f>[1]!'9929.TW-PreClose'</f>
        <v>12.1</v>
      </c>
      <c r="E9929" t="str">
        <f>[1]!'9929.TW-SimulateTime'</f>
        <v>13:29:18</v>
      </c>
      <c r="F9929">
        <f>[1]!'9929.TW-Price'</f>
        <v>12.2</v>
      </c>
    </row>
    <row r="9930" spans="1:6" x14ac:dyDescent="0.25">
      <c r="A9930" t="str">
        <f>[1]!'9930.TW-ID'</f>
        <v>9930</v>
      </c>
      <c r="B9930" t="str">
        <f>[1]!'9930.TW-Name'</f>
        <v>中聯資源</v>
      </c>
      <c r="C9930">
        <f>[1]!'9930.TW-SimulatePrice'</f>
        <v>43</v>
      </c>
      <c r="D9930">
        <f>[1]!'9930.TW-PreClose'</f>
        <v>43.4</v>
      </c>
      <c r="E9930" t="str">
        <f>[1]!'9930.TW-SimulateTime'</f>
        <v>13:29:38</v>
      </c>
      <c r="F9930">
        <f>[1]!'9930.TW-Price'</f>
        <v>43</v>
      </c>
    </row>
    <row r="9931" spans="1:6" x14ac:dyDescent="0.25">
      <c r="A9931" t="str">
        <f>[1]!'9931.TW-ID'</f>
        <v>9931</v>
      </c>
      <c r="B9931" t="str">
        <f>[1]!'9931.TW-Name'</f>
        <v>欣高</v>
      </c>
      <c r="C9931" t="str">
        <f>[1]!'9931.TW-SimulatePrice'</f>
        <v>--</v>
      </c>
      <c r="D9931">
        <f>[1]!'9931.TW-PreClose'</f>
        <v>39.950000000000003</v>
      </c>
      <c r="E9931" t="str">
        <f>[1]!'9931.TW-SimulateTime'</f>
        <v>--</v>
      </c>
      <c r="F9931">
        <f>[1]!'9931.TW-Price'</f>
        <v>40.5</v>
      </c>
    </row>
    <row r="9933" spans="1:6" x14ac:dyDescent="0.25">
      <c r="A9933" t="str">
        <f>[1]!'9933.TW-ID'</f>
        <v>9933</v>
      </c>
      <c r="B9933" t="str">
        <f>[1]!'9933.TW-Name'</f>
        <v>中鼎</v>
      </c>
      <c r="C9933">
        <f>[1]!'9933.TW-SimulatePrice'</f>
        <v>32.85</v>
      </c>
      <c r="D9933">
        <f>[1]!'9933.TW-PreClose'</f>
        <v>33.35</v>
      </c>
      <c r="E9933" t="str">
        <f>[1]!'9933.TW-SimulateTime'</f>
        <v>13:29:57</v>
      </c>
      <c r="F9933">
        <f>[1]!'9933.TW-Price'</f>
        <v>32.85</v>
      </c>
    </row>
    <row r="9934" spans="1:6" x14ac:dyDescent="0.25">
      <c r="A9934" t="str">
        <f>[1]!'9934.TW-ID'</f>
        <v>9934</v>
      </c>
      <c r="B9934" t="str">
        <f>[1]!'9934.TW-Name'</f>
        <v>成霖</v>
      </c>
      <c r="C9934">
        <f>[1]!'9934.TW-SimulatePrice'</f>
        <v>12.05</v>
      </c>
      <c r="D9934">
        <f>[1]!'9934.TW-PreClose'</f>
        <v>12.1</v>
      </c>
      <c r="E9934" t="str">
        <f>[1]!'9934.TW-SimulateTime'</f>
        <v>13:29:59</v>
      </c>
      <c r="F9934">
        <f>[1]!'9934.TW-Price'</f>
        <v>12.05</v>
      </c>
    </row>
    <row r="9935" spans="1:6" x14ac:dyDescent="0.25">
      <c r="A9935" t="str">
        <f>[1]!'9935.TW-ID'</f>
        <v>9935</v>
      </c>
      <c r="B9935" t="str">
        <f>[1]!'9935.TW-Name'</f>
        <v>慶豐富</v>
      </c>
      <c r="C9935">
        <f>[1]!'9935.TW-SimulatePrice'</f>
        <v>26.85</v>
      </c>
      <c r="D9935">
        <f>[1]!'9935.TW-PreClose'</f>
        <v>27.05</v>
      </c>
      <c r="E9935" t="str">
        <f>[1]!'9935.TW-SimulateTime'</f>
        <v>13:29:57</v>
      </c>
      <c r="F9935">
        <f>[1]!'9935.TW-Price'</f>
        <v>26.85</v>
      </c>
    </row>
    <row r="9937" spans="1:6" x14ac:dyDescent="0.25">
      <c r="A9937" t="str">
        <f>[1]!'9937.TW-ID'</f>
        <v>9937</v>
      </c>
      <c r="B9937" t="str">
        <f>[1]!'9937.TW-Name'</f>
        <v>全國</v>
      </c>
      <c r="C9937">
        <f>[1]!'9937.TW-SimulatePrice'</f>
        <v>44</v>
      </c>
      <c r="D9937">
        <f>[1]!'9937.TW-PreClose'</f>
        <v>44</v>
      </c>
      <c r="E9937" t="str">
        <f>[1]!'9937.TW-SimulateTime'</f>
        <v>13:25:45</v>
      </c>
      <c r="F9937">
        <f>[1]!'9937.TW-Price'</f>
        <v>44</v>
      </c>
    </row>
    <row r="9938" spans="1:6" x14ac:dyDescent="0.25">
      <c r="A9938" t="str">
        <f>[1]!'9938.TW-ID'</f>
        <v>9938</v>
      </c>
      <c r="B9938" t="str">
        <f>[1]!'9938.TW-Name'</f>
        <v>百和</v>
      </c>
      <c r="C9938">
        <f>[1]!'9938.TW-SimulatePrice'</f>
        <v>60.5</v>
      </c>
      <c r="D9938">
        <f>[1]!'9938.TW-PreClose'</f>
        <v>61.4</v>
      </c>
      <c r="E9938" t="str">
        <f>[1]!'9938.TW-SimulateTime'</f>
        <v>13:29:57</v>
      </c>
      <c r="F9938">
        <f>[1]!'9938.TW-Price'</f>
        <v>60.5</v>
      </c>
    </row>
    <row r="9939" spans="1:6" x14ac:dyDescent="0.25">
      <c r="A9939" t="str">
        <f>[1]!'9939.TW-ID'</f>
        <v>9939</v>
      </c>
      <c r="B9939" t="str">
        <f>[1]!'9939.TW-Name'</f>
        <v>宏全</v>
      </c>
      <c r="C9939">
        <f>[1]!'9939.TW-SimulatePrice'</f>
        <v>53.6</v>
      </c>
      <c r="D9939">
        <f>[1]!'9939.TW-PreClose'</f>
        <v>54</v>
      </c>
      <c r="E9939" t="str">
        <f>[1]!'9939.TW-SimulateTime'</f>
        <v>13:29:55</v>
      </c>
      <c r="F9939">
        <f>[1]!'9939.TW-Price'</f>
        <v>53.6</v>
      </c>
    </row>
    <row r="9940" spans="1:6" x14ac:dyDescent="0.25">
      <c r="A9940" t="str">
        <f>[1]!'9940.TW-ID'</f>
        <v>9940</v>
      </c>
      <c r="B9940" t="str">
        <f>[1]!'9940.TW-Name'</f>
        <v>信義</v>
      </c>
      <c r="C9940" t="str">
        <f>[1]!'9940.TW-SimulatePrice'</f>
        <v>--</v>
      </c>
      <c r="D9940">
        <f>[1]!'9940.TW-PreClose'</f>
        <v>25.4</v>
      </c>
      <c r="E9940" t="str">
        <f>[1]!'9940.TW-SimulateTime'</f>
        <v>--</v>
      </c>
      <c r="F9940">
        <f>[1]!'9940.TW-Price'</f>
        <v>25.4</v>
      </c>
    </row>
    <row r="9941" spans="1:6" x14ac:dyDescent="0.25">
      <c r="A9941" t="str">
        <f>[1]!'9941.TW-ID'</f>
        <v>9941</v>
      </c>
      <c r="B9941" t="str">
        <f>[1]!'9941.TW-Name'</f>
        <v>裕融</v>
      </c>
      <c r="C9941">
        <f>[1]!'9941.TW-SimulatePrice'</f>
        <v>97.4</v>
      </c>
      <c r="D9941">
        <f>[1]!'9941.TW-PreClose'</f>
        <v>97.9</v>
      </c>
      <c r="E9941" t="str">
        <f>[1]!'9941.TW-SimulateTime'</f>
        <v>13:29:57</v>
      </c>
      <c r="F9941">
        <f>[1]!'9941.TW-Price'</f>
        <v>97.4</v>
      </c>
    </row>
    <row r="9942" spans="1:6" x14ac:dyDescent="0.25">
      <c r="A9942" t="str">
        <f>[1]!'9942.TW-ID'</f>
        <v>9942</v>
      </c>
      <c r="B9942" t="str">
        <f>[1]!'9942.TW-Name'</f>
        <v>茂順</v>
      </c>
      <c r="C9942">
        <f>[1]!'9942.TW-SimulatePrice'</f>
        <v>64.2</v>
      </c>
      <c r="D9942">
        <f>[1]!'9942.TW-PreClose'</f>
        <v>64.7</v>
      </c>
      <c r="E9942" t="str">
        <f>[1]!'9942.TW-SimulateTime'</f>
        <v>13:29:26</v>
      </c>
      <c r="F9942">
        <f>[1]!'9942.TW-Price'</f>
        <v>64.2</v>
      </c>
    </row>
    <row r="9943" spans="1:6" x14ac:dyDescent="0.25">
      <c r="A9943" t="str">
        <f>[1]!'9943.TW-ID'</f>
        <v>9943</v>
      </c>
      <c r="B9943" t="str">
        <f>[1]!'9943.TW-Name'</f>
        <v>好樂迪</v>
      </c>
      <c r="C9943">
        <f>[1]!'9943.TW-SimulatePrice'</f>
        <v>62.5</v>
      </c>
      <c r="D9943">
        <f>[1]!'9943.TW-PreClose'</f>
        <v>62.8</v>
      </c>
      <c r="E9943" t="str">
        <f>[1]!'9943.TW-SimulateTime'</f>
        <v>13:29:59</v>
      </c>
      <c r="F9943">
        <f>[1]!'9943.TW-Price'</f>
        <v>62.5</v>
      </c>
    </row>
    <row r="9944" spans="1:6" x14ac:dyDescent="0.25">
      <c r="A9944" t="str">
        <f>[1]!'9944.TW-ID'</f>
        <v>9944</v>
      </c>
      <c r="B9944" t="str">
        <f>[1]!'9944.TW-Name'</f>
        <v>新麗</v>
      </c>
      <c r="C9944" t="str">
        <f>[1]!'9944.TW-SimulatePrice'</f>
        <v>--</v>
      </c>
      <c r="D9944">
        <f>[1]!'9944.TW-PreClose'</f>
        <v>19.75</v>
      </c>
      <c r="E9944" t="str">
        <f>[1]!'9944.TW-SimulateTime'</f>
        <v>--</v>
      </c>
      <c r="F9944">
        <f>[1]!'9944.TW-Price'</f>
        <v>19.8</v>
      </c>
    </row>
    <row r="9945" spans="1:6" x14ac:dyDescent="0.25">
      <c r="A9945" t="str">
        <f>[1]!'9945.TW-ID'</f>
        <v>9945</v>
      </c>
      <c r="B9945" t="str">
        <f>[1]!'9945.TW-Name'</f>
        <v>潤泰新</v>
      </c>
      <c r="C9945">
        <f>[1]!'9945.TW-SimulatePrice'</f>
        <v>44.35</v>
      </c>
      <c r="D9945">
        <f>[1]!'9945.TW-PreClose'</f>
        <v>43.65</v>
      </c>
      <c r="E9945" t="str">
        <f>[1]!'9945.TW-SimulateTime'</f>
        <v>13:29:57</v>
      </c>
      <c r="F9945">
        <f>[1]!'9945.TW-Price'</f>
        <v>44.35</v>
      </c>
    </row>
    <row r="9946" spans="1:6" x14ac:dyDescent="0.25">
      <c r="A9946" t="str">
        <f>[1]!'9946.TW-ID'</f>
        <v>9946</v>
      </c>
      <c r="B9946" t="str">
        <f>[1]!'9946.TW-Name'</f>
        <v>三發地產</v>
      </c>
      <c r="C9946">
        <f>[1]!'9946.TW-SimulatePrice'</f>
        <v>14.95</v>
      </c>
      <c r="D9946">
        <f>[1]!'9946.TW-PreClose'</f>
        <v>15.2</v>
      </c>
      <c r="E9946" t="str">
        <f>[1]!'9946.TW-SimulateTime'</f>
        <v>13:27:54</v>
      </c>
      <c r="F9946">
        <f>[1]!'9946.TW-Price'</f>
        <v>14.95</v>
      </c>
    </row>
    <row r="9955" spans="1:6" x14ac:dyDescent="0.25">
      <c r="A9955" t="str">
        <f>[1]!'9955.TW-ID'</f>
        <v>9955</v>
      </c>
      <c r="B9955" t="str">
        <f>[1]!'9955.TW-Name'</f>
        <v>佳龍</v>
      </c>
      <c r="C9955">
        <f>[1]!'9955.TW-SimulatePrice'</f>
        <v>15.7</v>
      </c>
      <c r="D9955">
        <f>[1]!'9955.TW-PreClose'</f>
        <v>15.2</v>
      </c>
      <c r="E9955" t="str">
        <f>[1]!'9955.TW-SimulateTime'</f>
        <v>13:29:44</v>
      </c>
      <c r="F9955">
        <f>[1]!'9955.TW-Price'</f>
        <v>15.7</v>
      </c>
    </row>
    <row r="9958" spans="1:6" x14ac:dyDescent="0.25">
      <c r="A9958" t="str">
        <f>[1]!'9958.TW-ID'</f>
        <v>9958</v>
      </c>
      <c r="B9958" t="str">
        <f>[1]!'9958.TW-Name'</f>
        <v>世紀鋼</v>
      </c>
      <c r="C9958">
        <f>[1]!'9958.TW-SimulatePrice'</f>
        <v>83.2</v>
      </c>
      <c r="D9958">
        <f>[1]!'9958.TW-PreClose'</f>
        <v>84.2</v>
      </c>
      <c r="E9958" t="str">
        <f>[1]!'9958.TW-SimulateTime'</f>
        <v>13:29:57</v>
      </c>
      <c r="F9958">
        <f>[1]!'9958.TW-Price'</f>
        <v>83.2</v>
      </c>
    </row>
    <row r="10000" spans="1:7" x14ac:dyDescent="0.25">
      <c r="A10000" s="1" t="e">
        <f>[1]!'TSE.TW-ID'</f>
        <v>#REF!</v>
      </c>
      <c r="B10000" s="1" t="e">
        <f>[1]!'TSE.TW-Name'</f>
        <v>#REF!</v>
      </c>
      <c r="C10000" s="1"/>
      <c r="F10000" t="e">
        <f>[1]!'TSE.TW-Price'</f>
        <v>#REF!</v>
      </c>
      <c r="G1000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BreezeCat</dc:creator>
  <cp:lastModifiedBy>BreezeCat</cp:lastModifiedBy>
  <dcterms:created xsi:type="dcterms:W3CDTF">2020-05-17T06:13:56Z</dcterms:created>
  <dcterms:modified xsi:type="dcterms:W3CDTF">2020-05-17T09:51:19Z</dcterms:modified>
</cp:coreProperties>
</file>