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MESTER 8\SKRIPSI\RAFLI\Manualisasi\"/>
    </mc:Choice>
  </mc:AlternateContent>
  <bookViews>
    <workbookView xWindow="0" yWindow="0" windowWidth="23040" windowHeight="9336" activeTab="7"/>
  </bookViews>
  <sheets>
    <sheet name="Data" sheetId="1" r:id="rId1"/>
    <sheet name="Sheet1" sheetId="9" r:id="rId2"/>
    <sheet name="Genetic Algorithm" sheetId="6" r:id="rId3"/>
    <sheet name="P1" sheetId="5" r:id="rId4"/>
    <sheet name="P2" sheetId="7" r:id="rId5"/>
    <sheet name="P3" sheetId="8" r:id="rId6"/>
    <sheet name="Data Latih" sheetId="3" r:id="rId7"/>
    <sheet name="Data Latih 2" sheetId="10" r:id="rId8"/>
    <sheet name="Rules" sheetId="11" r:id="rId9"/>
    <sheet name="Perancangan Antarmuka" sheetId="4" r:id="rId10"/>
    <sheet name="Flowchart" sheetId="2" r:id="rId1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0" l="1"/>
  <c r="J663" i="10" l="1"/>
  <c r="J662" i="10"/>
  <c r="J661" i="10"/>
  <c r="D661" i="10"/>
  <c r="D660" i="10"/>
  <c r="D659" i="10"/>
  <c r="Y646" i="10"/>
  <c r="P649" i="10"/>
  <c r="AY643" i="10"/>
  <c r="AX643" i="10"/>
  <c r="P652" i="10" s="1"/>
  <c r="AY642" i="10"/>
  <c r="R652" i="10" s="1"/>
  <c r="AX642" i="10"/>
  <c r="AY641" i="10"/>
  <c r="AX641" i="10"/>
  <c r="AY640" i="10"/>
  <c r="AX640" i="10"/>
  <c r="AS643" i="10"/>
  <c r="AR643" i="10"/>
  <c r="P651" i="10" s="1"/>
  <c r="AS642" i="10"/>
  <c r="R651" i="10" s="1"/>
  <c r="AR642" i="10"/>
  <c r="AS641" i="10"/>
  <c r="AR641" i="10"/>
  <c r="AS640" i="10"/>
  <c r="AR640" i="10"/>
  <c r="AM643" i="10"/>
  <c r="AL643" i="10"/>
  <c r="AM642" i="10"/>
  <c r="R650" i="10" s="1"/>
  <c r="AL642" i="10"/>
  <c r="P650" i="10" s="1"/>
  <c r="AM641" i="10"/>
  <c r="AL641" i="10"/>
  <c r="AM640" i="10"/>
  <c r="AL640" i="10"/>
  <c r="AG643" i="10"/>
  <c r="AF643" i="10"/>
  <c r="AG642" i="10"/>
  <c r="R649" i="10" s="1"/>
  <c r="AF642" i="10"/>
  <c r="AG641" i="10"/>
  <c r="AF641" i="10"/>
  <c r="AG640" i="10"/>
  <c r="AF640" i="10"/>
  <c r="AA643" i="10"/>
  <c r="Z643" i="10"/>
  <c r="AA642" i="10"/>
  <c r="R648" i="10" s="1"/>
  <c r="Z642" i="10"/>
  <c r="P648" i="10" s="1"/>
  <c r="AA641" i="10"/>
  <c r="Z641" i="10"/>
  <c r="AA640" i="10"/>
  <c r="Z640" i="10"/>
  <c r="V643" i="10"/>
  <c r="U643" i="10"/>
  <c r="V642" i="10"/>
  <c r="R647" i="10" s="1"/>
  <c r="U642" i="10"/>
  <c r="P647" i="10" s="1"/>
  <c r="V641" i="10"/>
  <c r="U641" i="10"/>
  <c r="V640" i="10"/>
  <c r="U640" i="10"/>
  <c r="P643" i="10"/>
  <c r="P642" i="10"/>
  <c r="R646" i="10" s="1"/>
  <c r="P641" i="10"/>
  <c r="P640" i="10"/>
  <c r="O643" i="10"/>
  <c r="O642" i="10"/>
  <c r="P646" i="10" s="1"/>
  <c r="O641" i="10"/>
  <c r="O640" i="10"/>
  <c r="J642" i="10"/>
  <c r="J641" i="10"/>
  <c r="J640" i="10"/>
  <c r="J607" i="10"/>
  <c r="J606" i="10"/>
  <c r="J605" i="10"/>
  <c r="D606" i="10"/>
  <c r="D605" i="10"/>
  <c r="D604" i="10"/>
  <c r="W586" i="10"/>
  <c r="P588" i="10"/>
  <c r="AH583" i="10"/>
  <c r="AG583" i="10"/>
  <c r="AH582" i="10"/>
  <c r="AG582" i="10"/>
  <c r="AH581" i="10"/>
  <c r="AG581" i="10"/>
  <c r="AH580" i="10"/>
  <c r="AG580" i="10"/>
  <c r="AB583" i="10"/>
  <c r="AA583" i="10"/>
  <c r="AB582" i="10"/>
  <c r="AA582" i="10"/>
  <c r="AB581" i="10"/>
  <c r="AA581" i="10"/>
  <c r="AB580" i="10"/>
  <c r="AA580" i="10"/>
  <c r="V583" i="10"/>
  <c r="U583" i="10"/>
  <c r="V582" i="10"/>
  <c r="U582" i="10"/>
  <c r="V581" i="10"/>
  <c r="U581" i="10"/>
  <c r="V580" i="10"/>
  <c r="U580" i="10"/>
  <c r="P583" i="10"/>
  <c r="P582" i="10"/>
  <c r="P581" i="10"/>
  <c r="P580" i="10"/>
  <c r="O582" i="10"/>
  <c r="O581" i="10"/>
  <c r="O580" i="10"/>
  <c r="O583" i="10"/>
  <c r="I592" i="10"/>
  <c r="I591" i="10"/>
  <c r="I590" i="10"/>
  <c r="I587" i="10"/>
  <c r="I586" i="10"/>
  <c r="J582" i="10"/>
  <c r="J581" i="10"/>
  <c r="J580" i="10"/>
  <c r="D583" i="10"/>
  <c r="D582" i="10"/>
  <c r="D581" i="10"/>
  <c r="W564" i="10"/>
  <c r="P503" i="10"/>
  <c r="AN561" i="10"/>
  <c r="AM561" i="10"/>
  <c r="AN560" i="10"/>
  <c r="AM560" i="10"/>
  <c r="AN559" i="10"/>
  <c r="AM559" i="10"/>
  <c r="AN558" i="10"/>
  <c r="AM558" i="10"/>
  <c r="AH561" i="10"/>
  <c r="AG561" i="10"/>
  <c r="AH560" i="10"/>
  <c r="AG560" i="10"/>
  <c r="AH559" i="10"/>
  <c r="AG559" i="10"/>
  <c r="AH558" i="10"/>
  <c r="AG558" i="10"/>
  <c r="AB561" i="10"/>
  <c r="AA561" i="10"/>
  <c r="AB560" i="10"/>
  <c r="AA560" i="10"/>
  <c r="AB559" i="10"/>
  <c r="AA559" i="10"/>
  <c r="AB558" i="10"/>
  <c r="AA558" i="10"/>
  <c r="V561" i="10"/>
  <c r="U561" i="10"/>
  <c r="V560" i="10"/>
  <c r="U560" i="10"/>
  <c r="V559" i="10"/>
  <c r="U559" i="10"/>
  <c r="V558" i="10"/>
  <c r="U558" i="10"/>
  <c r="O558" i="10"/>
  <c r="P561" i="10"/>
  <c r="O561" i="10"/>
  <c r="P560" i="10"/>
  <c r="O560" i="10"/>
  <c r="P559" i="10"/>
  <c r="O559" i="10"/>
  <c r="P558" i="10"/>
  <c r="J560" i="10"/>
  <c r="J559" i="10"/>
  <c r="J558" i="10"/>
  <c r="I532" i="10"/>
  <c r="I531" i="10"/>
  <c r="J523" i="10"/>
  <c r="J522" i="10"/>
  <c r="J521" i="10"/>
  <c r="D520" i="10"/>
  <c r="D519" i="10"/>
  <c r="D518" i="10"/>
  <c r="W500" i="10"/>
  <c r="AN497" i="10"/>
  <c r="AM497" i="10"/>
  <c r="AN496" i="10"/>
  <c r="AM496" i="10"/>
  <c r="AN495" i="10"/>
  <c r="AM495" i="10"/>
  <c r="AN494" i="10"/>
  <c r="AM494" i="10"/>
  <c r="AH497" i="10"/>
  <c r="AG497" i="10"/>
  <c r="AH496" i="10"/>
  <c r="AG496" i="10"/>
  <c r="AH495" i="10"/>
  <c r="AG495" i="10"/>
  <c r="AH494" i="10"/>
  <c r="AG494" i="10"/>
  <c r="AB497" i="10"/>
  <c r="AA497" i="10"/>
  <c r="AB496" i="10"/>
  <c r="AA496" i="10"/>
  <c r="AB495" i="10"/>
  <c r="AA495" i="10"/>
  <c r="AB494" i="10"/>
  <c r="AA494" i="10"/>
  <c r="U494" i="10"/>
  <c r="V497" i="10"/>
  <c r="U497" i="10"/>
  <c r="V496" i="10"/>
  <c r="U496" i="10"/>
  <c r="V495" i="10"/>
  <c r="U495" i="10"/>
  <c r="V494" i="10"/>
  <c r="P497" i="10"/>
  <c r="P496" i="10"/>
  <c r="P495" i="10"/>
  <c r="P494" i="10"/>
  <c r="O497" i="10"/>
  <c r="O496" i="10"/>
  <c r="O495" i="10"/>
  <c r="O494" i="10"/>
  <c r="D486" i="10"/>
  <c r="D485" i="10"/>
  <c r="D484" i="10"/>
  <c r="D481" i="10"/>
  <c r="D482" i="10"/>
  <c r="D480" i="10"/>
  <c r="I498" i="10"/>
  <c r="I497" i="10"/>
  <c r="I496" i="10"/>
  <c r="C496" i="10"/>
  <c r="C495" i="10"/>
  <c r="C494" i="10"/>
  <c r="W472" i="10"/>
  <c r="AS469" i="10"/>
  <c r="AR469" i="10"/>
  <c r="AS468" i="10"/>
  <c r="AR468" i="10"/>
  <c r="AS467" i="10"/>
  <c r="AR467" i="10"/>
  <c r="AS466" i="10"/>
  <c r="AR466" i="10"/>
  <c r="AM469" i="10"/>
  <c r="AL469" i="10"/>
  <c r="AM468" i="10"/>
  <c r="AL468" i="10"/>
  <c r="AM467" i="10"/>
  <c r="AL467" i="10"/>
  <c r="AM466" i="10"/>
  <c r="AL466" i="10"/>
  <c r="AG469" i="10"/>
  <c r="AF469" i="10"/>
  <c r="AG468" i="10"/>
  <c r="AF468" i="10"/>
  <c r="AG467" i="10"/>
  <c r="AF467" i="10"/>
  <c r="AG466" i="10"/>
  <c r="AF466" i="10"/>
  <c r="AA469" i="10"/>
  <c r="Z469" i="10"/>
  <c r="AA468" i="10"/>
  <c r="Z468" i="10"/>
  <c r="AA467" i="10"/>
  <c r="Z467" i="10"/>
  <c r="AA466" i="10"/>
  <c r="Z466" i="10"/>
  <c r="U469" i="10"/>
  <c r="T469" i="10"/>
  <c r="U468" i="10"/>
  <c r="T468" i="10"/>
  <c r="U467" i="10"/>
  <c r="T467" i="10"/>
  <c r="U466" i="10"/>
  <c r="T466" i="10"/>
  <c r="P467" i="10"/>
  <c r="P469" i="10"/>
  <c r="P468" i="10"/>
  <c r="O446" i="10"/>
  <c r="O469" i="10"/>
  <c r="O468" i="10"/>
  <c r="O467" i="10"/>
  <c r="O466" i="10"/>
  <c r="P466" i="10"/>
  <c r="G457" i="10"/>
  <c r="G456" i="10"/>
  <c r="G455" i="10"/>
  <c r="G453" i="10"/>
  <c r="G452" i="10"/>
  <c r="G451" i="10"/>
  <c r="I468" i="10"/>
  <c r="I467" i="10"/>
  <c r="I466" i="10"/>
  <c r="C464" i="10"/>
  <c r="C463" i="10"/>
  <c r="C462" i="10"/>
  <c r="Y449" i="10"/>
  <c r="AY446" i="10"/>
  <c r="AX446" i="10"/>
  <c r="AY445" i="10"/>
  <c r="AX445" i="10"/>
  <c r="AY444" i="10"/>
  <c r="AX444" i="10"/>
  <c r="AY443" i="10"/>
  <c r="AX443" i="10"/>
  <c r="AS446" i="10"/>
  <c r="AR446" i="10"/>
  <c r="AS445" i="10"/>
  <c r="AR445" i="10"/>
  <c r="AS444" i="10"/>
  <c r="AR444" i="10"/>
  <c r="AS443" i="10"/>
  <c r="AR443" i="10"/>
  <c r="AM446" i="10"/>
  <c r="AL446" i="10"/>
  <c r="AM445" i="10"/>
  <c r="AL445" i="10"/>
  <c r="AM444" i="10"/>
  <c r="AL444" i="10"/>
  <c r="AM443" i="10"/>
  <c r="AL443" i="10"/>
  <c r="AG446" i="10"/>
  <c r="AF446" i="10"/>
  <c r="AG445" i="10"/>
  <c r="AF445" i="10"/>
  <c r="AG444" i="10"/>
  <c r="AF444" i="10"/>
  <c r="AG443" i="10"/>
  <c r="AF443" i="10"/>
  <c r="AA446" i="10"/>
  <c r="Z446" i="10"/>
  <c r="AA445" i="10"/>
  <c r="Z445" i="10"/>
  <c r="AA444" i="10"/>
  <c r="Z444" i="10"/>
  <c r="AA443" i="10"/>
  <c r="Z443" i="10"/>
  <c r="V446" i="10"/>
  <c r="U446" i="10"/>
  <c r="V445" i="10"/>
  <c r="U445" i="10"/>
  <c r="V444" i="10"/>
  <c r="U444" i="10"/>
  <c r="V443" i="10"/>
  <c r="U443" i="10"/>
  <c r="P446" i="10"/>
  <c r="P445" i="10"/>
  <c r="P444" i="10"/>
  <c r="P443" i="10"/>
  <c r="O445" i="10"/>
  <c r="O444" i="10"/>
  <c r="O443" i="10"/>
  <c r="I441" i="10"/>
  <c r="I440" i="10"/>
  <c r="I439" i="10"/>
  <c r="I437" i="10"/>
  <c r="I436" i="10"/>
  <c r="I435" i="10"/>
  <c r="K431" i="10"/>
  <c r="K430" i="10"/>
  <c r="K429" i="10"/>
  <c r="D433" i="10"/>
  <c r="D432" i="10"/>
  <c r="D431" i="10"/>
  <c r="Y412" i="10"/>
  <c r="H408" i="10"/>
  <c r="H407" i="10"/>
  <c r="H406" i="10"/>
  <c r="BF409" i="10"/>
  <c r="BE409" i="10"/>
  <c r="BF408" i="10"/>
  <c r="BE408" i="10"/>
  <c r="BF407" i="10"/>
  <c r="BE407" i="10"/>
  <c r="BF406" i="10"/>
  <c r="BE406" i="10"/>
  <c r="AY409" i="10"/>
  <c r="AX409" i="10"/>
  <c r="AY408" i="10"/>
  <c r="AX408" i="10"/>
  <c r="AY407" i="10"/>
  <c r="AX407" i="10"/>
  <c r="AY406" i="10"/>
  <c r="AX406" i="10"/>
  <c r="AS409" i="10"/>
  <c r="AR409" i="10"/>
  <c r="AS408" i="10"/>
  <c r="AR408" i="10"/>
  <c r="AS407" i="10"/>
  <c r="AR407" i="10"/>
  <c r="AS406" i="10"/>
  <c r="AR406" i="10"/>
  <c r="AM409" i="10"/>
  <c r="AL409" i="10"/>
  <c r="AM408" i="10"/>
  <c r="AL408" i="10"/>
  <c r="AM407" i="10"/>
  <c r="AL407" i="10"/>
  <c r="AM406" i="10"/>
  <c r="AL406" i="10"/>
  <c r="AG409" i="10"/>
  <c r="AF409" i="10"/>
  <c r="AG408" i="10"/>
  <c r="AF408" i="10"/>
  <c r="AG407" i="10"/>
  <c r="AF407" i="10"/>
  <c r="AG406" i="10"/>
  <c r="AF406" i="10"/>
  <c r="AA409" i="10"/>
  <c r="Z409" i="10"/>
  <c r="AA408" i="10"/>
  <c r="Z408" i="10"/>
  <c r="AA407" i="10"/>
  <c r="Z407" i="10"/>
  <c r="AA406" i="10"/>
  <c r="Z406" i="10"/>
  <c r="V409" i="10"/>
  <c r="U409" i="10"/>
  <c r="V408" i="10"/>
  <c r="U408" i="10"/>
  <c r="V407" i="10"/>
  <c r="U407" i="10"/>
  <c r="V406" i="10"/>
  <c r="U406" i="10"/>
  <c r="P409" i="10"/>
  <c r="P408" i="10"/>
  <c r="P407" i="10"/>
  <c r="O409" i="10"/>
  <c r="O408" i="10"/>
  <c r="O407" i="10"/>
  <c r="P406" i="10"/>
  <c r="O406" i="10"/>
  <c r="I375" i="10"/>
  <c r="I374" i="10"/>
  <c r="I372" i="10"/>
  <c r="I371" i="10"/>
  <c r="I370" i="10"/>
  <c r="J366" i="10"/>
  <c r="J365" i="10"/>
  <c r="J364" i="10"/>
  <c r="D367" i="10"/>
  <c r="D366" i="10"/>
  <c r="D365" i="10"/>
  <c r="J343" i="10"/>
  <c r="P348" i="10"/>
  <c r="Y348" i="10"/>
  <c r="AS345" i="10"/>
  <c r="AR345" i="10"/>
  <c r="AS344" i="10"/>
  <c r="AR344" i="10"/>
  <c r="AS343" i="10"/>
  <c r="AR343" i="10"/>
  <c r="AS342" i="10"/>
  <c r="AR342" i="10"/>
  <c r="AM345" i="10"/>
  <c r="AL345" i="10"/>
  <c r="AM344" i="10"/>
  <c r="AL344" i="10"/>
  <c r="AM343" i="10"/>
  <c r="AL343" i="10"/>
  <c r="AM342" i="10"/>
  <c r="AL342" i="10"/>
  <c r="AG345" i="10"/>
  <c r="AF345" i="10"/>
  <c r="AG344" i="10"/>
  <c r="AF344" i="10"/>
  <c r="AG343" i="10"/>
  <c r="AF343" i="10"/>
  <c r="AG342" i="10"/>
  <c r="AF342" i="10"/>
  <c r="AA345" i="10"/>
  <c r="Z345" i="10"/>
  <c r="AA344" i="10"/>
  <c r="Z344" i="10"/>
  <c r="AA343" i="10"/>
  <c r="Z343" i="10"/>
  <c r="AA342" i="10"/>
  <c r="Z342" i="10"/>
  <c r="V345" i="10"/>
  <c r="U345" i="10"/>
  <c r="V344" i="10"/>
  <c r="U344" i="10"/>
  <c r="V343" i="10"/>
  <c r="U343" i="10"/>
  <c r="V342" i="10"/>
  <c r="U342" i="10"/>
  <c r="P345" i="10"/>
  <c r="P344" i="10"/>
  <c r="P343" i="10"/>
  <c r="P342" i="10"/>
  <c r="O345" i="10"/>
  <c r="O344" i="10"/>
  <c r="O343" i="10"/>
  <c r="O342" i="10"/>
  <c r="D344" i="10"/>
  <c r="D343" i="10"/>
  <c r="D342" i="10"/>
  <c r="J336" i="10"/>
  <c r="J335" i="10"/>
  <c r="J333" i="10"/>
  <c r="J332" i="10"/>
  <c r="J331" i="10"/>
  <c r="J344" i="10"/>
  <c r="J342" i="10"/>
  <c r="Y328" i="10"/>
  <c r="AY325" i="10"/>
  <c r="AX325" i="10"/>
  <c r="AY324" i="10"/>
  <c r="AX324" i="10"/>
  <c r="AY323" i="10"/>
  <c r="AX323" i="10"/>
  <c r="AY322" i="10"/>
  <c r="AX322" i="10"/>
  <c r="AS325" i="10"/>
  <c r="AR325" i="10"/>
  <c r="AS324" i="10"/>
  <c r="AR324" i="10"/>
  <c r="AS323" i="10"/>
  <c r="AR323" i="10"/>
  <c r="AS322" i="10"/>
  <c r="AR322" i="10"/>
  <c r="AM325" i="10"/>
  <c r="AL325" i="10"/>
  <c r="AM324" i="10"/>
  <c r="AL324" i="10"/>
  <c r="AM323" i="10"/>
  <c r="AL323" i="10"/>
  <c r="AM322" i="10"/>
  <c r="AL322" i="10"/>
  <c r="AG325" i="10"/>
  <c r="AF325" i="10"/>
  <c r="AG324" i="10"/>
  <c r="AF324" i="10"/>
  <c r="AG323" i="10"/>
  <c r="AF323" i="10"/>
  <c r="AG322" i="10"/>
  <c r="AF322" i="10"/>
  <c r="AA325" i="10"/>
  <c r="Z325" i="10"/>
  <c r="AA324" i="10"/>
  <c r="Z324" i="10"/>
  <c r="AA323" i="10"/>
  <c r="Z323" i="10"/>
  <c r="AA322" i="10"/>
  <c r="Z322" i="10"/>
  <c r="V325" i="10"/>
  <c r="U325" i="10"/>
  <c r="V324" i="10"/>
  <c r="U324" i="10"/>
  <c r="V323" i="10"/>
  <c r="U323" i="10"/>
  <c r="V322" i="10"/>
  <c r="U322" i="10"/>
  <c r="P325" i="10"/>
  <c r="P324" i="10"/>
  <c r="P323" i="10"/>
  <c r="O325" i="10"/>
  <c r="O324" i="10"/>
  <c r="O323" i="10"/>
  <c r="P322" i="10"/>
  <c r="O322" i="10"/>
  <c r="V300" i="10"/>
  <c r="V299" i="10"/>
  <c r="K293" i="10"/>
  <c r="K292" i="10"/>
  <c r="K291" i="10"/>
  <c r="K289" i="10"/>
  <c r="K288" i="10"/>
  <c r="K287" i="10"/>
  <c r="J304" i="10"/>
  <c r="J303" i="10"/>
  <c r="J302" i="10"/>
  <c r="D305" i="10"/>
  <c r="D304" i="10"/>
  <c r="D303" i="10"/>
  <c r="Y304" i="10"/>
  <c r="BE299" i="10"/>
  <c r="BF301" i="10"/>
  <c r="BE301" i="10"/>
  <c r="BF300" i="10"/>
  <c r="BE300" i="10"/>
  <c r="BF299" i="10"/>
  <c r="AY301" i="10"/>
  <c r="AX301" i="10"/>
  <c r="AY300" i="10"/>
  <c r="AX300" i="10"/>
  <c r="AY299" i="10"/>
  <c r="AX299" i="10"/>
  <c r="AS301" i="10"/>
  <c r="AR301" i="10"/>
  <c r="AS300" i="10"/>
  <c r="AR300" i="10"/>
  <c r="AS299" i="10"/>
  <c r="AR299" i="10"/>
  <c r="AM301" i="10"/>
  <c r="AL301" i="10"/>
  <c r="AM300" i="10"/>
  <c r="AL300" i="10"/>
  <c r="AM299" i="10"/>
  <c r="AL299" i="10"/>
  <c r="AG301" i="10"/>
  <c r="AF301" i="10"/>
  <c r="AG300" i="10"/>
  <c r="AF300" i="10"/>
  <c r="AG299" i="10"/>
  <c r="AF299" i="10"/>
  <c r="Z300" i="10"/>
  <c r="Z299" i="10"/>
  <c r="AA301" i="10"/>
  <c r="Z301" i="10"/>
  <c r="AA300" i="10"/>
  <c r="AA299" i="10"/>
  <c r="V301" i="10"/>
  <c r="V298" i="10"/>
  <c r="U299" i="10"/>
  <c r="U301" i="10"/>
  <c r="U300" i="10"/>
  <c r="P301" i="10"/>
  <c r="P300" i="10"/>
  <c r="P299" i="10"/>
  <c r="O301" i="10"/>
  <c r="O300" i="10"/>
  <c r="O299" i="10"/>
  <c r="V252" i="10"/>
  <c r="BF298" i="10"/>
  <c r="BE298" i="10"/>
  <c r="AY298" i="10"/>
  <c r="AX298" i="10"/>
  <c r="AS298" i="10"/>
  <c r="AR298" i="10"/>
  <c r="AM298" i="10"/>
  <c r="AL298" i="10"/>
  <c r="AG298" i="10"/>
  <c r="AF298" i="10"/>
  <c r="AA298" i="10"/>
  <c r="Z298" i="10"/>
  <c r="U298" i="10"/>
  <c r="P298" i="10"/>
  <c r="O298" i="10"/>
  <c r="R281" i="10"/>
  <c r="R280" i="10"/>
  <c r="R279" i="10"/>
  <c r="R274" i="10"/>
  <c r="R276" i="10"/>
  <c r="R275" i="10"/>
  <c r="M273" i="10"/>
  <c r="H279" i="10"/>
  <c r="R269" i="10"/>
  <c r="C278" i="10"/>
  <c r="R270" i="10"/>
  <c r="R268" i="10"/>
  <c r="C280" i="10"/>
  <c r="C279" i="10"/>
  <c r="H249" i="10"/>
  <c r="H248" i="10"/>
  <c r="H247" i="10"/>
  <c r="B163" i="10"/>
  <c r="AU246" i="10"/>
  <c r="AT246" i="10"/>
  <c r="AP246" i="10"/>
  <c r="AO246" i="10"/>
  <c r="AK246" i="10"/>
  <c r="AJ246" i="10"/>
  <c r="AF246" i="10"/>
  <c r="AE246" i="10"/>
  <c r="AA246" i="10"/>
  <c r="Z246" i="10"/>
  <c r="Q246" i="10"/>
  <c r="R246" i="10"/>
  <c r="BD245" i="10"/>
  <c r="BG245" i="10" s="1"/>
  <c r="AY245" i="10"/>
  <c r="BA245" i="10" s="1"/>
  <c r="BD244" i="10"/>
  <c r="BF244" i="10" s="1"/>
  <c r="AY244" i="10"/>
  <c r="AZ244" i="10" s="1"/>
  <c r="BD243" i="10"/>
  <c r="BE243" i="10" s="1"/>
  <c r="AY243" i="10"/>
  <c r="AZ243" i="10" s="1"/>
  <c r="W245" i="10"/>
  <c r="V245" i="10"/>
  <c r="W244" i="10"/>
  <c r="V244" i="10"/>
  <c r="W243" i="10"/>
  <c r="V243" i="10"/>
  <c r="W242" i="10"/>
  <c r="V242" i="10"/>
  <c r="H246" i="10"/>
  <c r="Y650" i="10" l="1"/>
  <c r="Y653" i="10"/>
  <c r="Y649" i="10"/>
  <c r="Y652" i="10"/>
  <c r="Y648" i="10"/>
  <c r="Y651" i="10"/>
  <c r="Y647" i="10"/>
  <c r="P589" i="10"/>
  <c r="P587" i="10"/>
  <c r="P586" i="10"/>
  <c r="R586" i="10"/>
  <c r="W587" i="10" s="1"/>
  <c r="R473" i="10"/>
  <c r="R475" i="10"/>
  <c r="R476" i="10"/>
  <c r="R477" i="10"/>
  <c r="R500" i="10"/>
  <c r="R501" i="10"/>
  <c r="P502" i="10"/>
  <c r="P565" i="10"/>
  <c r="W566" i="10" s="1"/>
  <c r="P566" i="10"/>
  <c r="R589" i="10"/>
  <c r="W590" i="10" s="1"/>
  <c r="R450" i="10"/>
  <c r="R587" i="10"/>
  <c r="R588" i="10"/>
  <c r="W589" i="10" s="1"/>
  <c r="P504" i="10"/>
  <c r="P568" i="10"/>
  <c r="P334" i="10"/>
  <c r="R349" i="10"/>
  <c r="R351" i="10"/>
  <c r="R353" i="10"/>
  <c r="P473" i="10"/>
  <c r="W474" i="10" s="1"/>
  <c r="P474" i="10"/>
  <c r="P475" i="10"/>
  <c r="P500" i="10"/>
  <c r="P501" i="10"/>
  <c r="R503" i="10"/>
  <c r="W504" i="10" s="1"/>
  <c r="R502" i="10"/>
  <c r="R504" i="10"/>
  <c r="P564" i="10"/>
  <c r="W565" i="10" s="1"/>
  <c r="R565" i="10"/>
  <c r="R566" i="10"/>
  <c r="R567" i="10"/>
  <c r="R568" i="10"/>
  <c r="R564" i="10"/>
  <c r="P567" i="10"/>
  <c r="P328" i="10"/>
  <c r="R348" i="10"/>
  <c r="Y349" i="10" s="1"/>
  <c r="R412" i="10"/>
  <c r="P449" i="10"/>
  <c r="Y450" i="10" s="1"/>
  <c r="P451" i="10"/>
  <c r="Y452" i="10" s="1"/>
  <c r="P452" i="10"/>
  <c r="Y453" i="10" s="1"/>
  <c r="P477" i="10"/>
  <c r="R328" i="10"/>
  <c r="P412" i="10"/>
  <c r="P413" i="10"/>
  <c r="P414" i="10"/>
  <c r="P415" i="10"/>
  <c r="P418" i="10"/>
  <c r="P419" i="10"/>
  <c r="R451" i="10"/>
  <c r="R452" i="10"/>
  <c r="R453" i="10"/>
  <c r="R454" i="10"/>
  <c r="R455" i="10"/>
  <c r="P329" i="10"/>
  <c r="P330" i="10"/>
  <c r="P331" i="10"/>
  <c r="P332" i="10"/>
  <c r="P333" i="10"/>
  <c r="P349" i="10"/>
  <c r="P350" i="10"/>
  <c r="P351" i="10"/>
  <c r="P352" i="10"/>
  <c r="P353" i="10"/>
  <c r="R413" i="10"/>
  <c r="R414" i="10"/>
  <c r="Y415" i="10" s="1"/>
  <c r="R415" i="10"/>
  <c r="R416" i="10"/>
  <c r="R417" i="10"/>
  <c r="R418" i="10"/>
  <c r="R419" i="10"/>
  <c r="R449" i="10"/>
  <c r="P450" i="10"/>
  <c r="Y451" i="10" s="1"/>
  <c r="P453" i="10"/>
  <c r="Y454" i="10" s="1"/>
  <c r="P454" i="10"/>
  <c r="Y455" i="10" s="1"/>
  <c r="P455" i="10"/>
  <c r="Y456" i="10" s="1"/>
  <c r="P476" i="10"/>
  <c r="W477" i="10" s="1"/>
  <c r="R329" i="10"/>
  <c r="R330" i="10"/>
  <c r="R331" i="10"/>
  <c r="R332" i="10"/>
  <c r="R333" i="10"/>
  <c r="R334" i="10"/>
  <c r="R350" i="10"/>
  <c r="R352" i="10"/>
  <c r="P416" i="10"/>
  <c r="P417" i="10"/>
  <c r="P472" i="10"/>
  <c r="R472" i="10"/>
  <c r="R474" i="10"/>
  <c r="W476" i="10"/>
  <c r="R306" i="10"/>
  <c r="P308" i="10"/>
  <c r="P310" i="10"/>
  <c r="R311" i="10"/>
  <c r="R308" i="10"/>
  <c r="R310" i="10"/>
  <c r="R304" i="10"/>
  <c r="P307" i="10"/>
  <c r="P309" i="10"/>
  <c r="P304" i="10"/>
  <c r="P305" i="10"/>
  <c r="R307" i="10"/>
  <c r="R309" i="10"/>
  <c r="R305" i="10"/>
  <c r="P311" i="10"/>
  <c r="P306" i="10"/>
  <c r="W246" i="10"/>
  <c r="V246" i="10"/>
  <c r="S274" i="10"/>
  <c r="S279" i="10"/>
  <c r="BA243" i="10"/>
  <c r="C281" i="10"/>
  <c r="S268" i="10" s="1"/>
  <c r="S275" i="10"/>
  <c r="S280" i="10"/>
  <c r="S276" i="10"/>
  <c r="S281" i="10"/>
  <c r="BA244" i="10"/>
  <c r="BF243" i="10"/>
  <c r="BG243" i="10"/>
  <c r="BG244" i="10"/>
  <c r="BE245" i="10"/>
  <c r="BE244" i="10"/>
  <c r="AZ245" i="10"/>
  <c r="AZ246" i="10" s="1"/>
  <c r="BF245" i="10"/>
  <c r="R203" i="10"/>
  <c r="R202" i="10"/>
  <c r="R201" i="10"/>
  <c r="R198" i="10"/>
  <c r="R197" i="10"/>
  <c r="R196" i="10"/>
  <c r="R192" i="10"/>
  <c r="R191" i="10"/>
  <c r="R190" i="10"/>
  <c r="O156" i="10"/>
  <c r="H187" i="10"/>
  <c r="C188" i="10"/>
  <c r="P175" i="10"/>
  <c r="R123" i="10"/>
  <c r="R172" i="10"/>
  <c r="BK163" i="10"/>
  <c r="BJ163" i="10"/>
  <c r="BJ162" i="10"/>
  <c r="BI163" i="10"/>
  <c r="BI162" i="10"/>
  <c r="BK162" i="10" s="1"/>
  <c r="BK161" i="10"/>
  <c r="BJ164" i="10"/>
  <c r="BI164" i="10"/>
  <c r="BK164" i="10" s="1"/>
  <c r="BJ161" i="10"/>
  <c r="BI161" i="10"/>
  <c r="BD163" i="10"/>
  <c r="BD162" i="10"/>
  <c r="BC163" i="10"/>
  <c r="BC162" i="10"/>
  <c r="BD164" i="10"/>
  <c r="BC164" i="10"/>
  <c r="BD161" i="10"/>
  <c r="BC161" i="10"/>
  <c r="AX163" i="10"/>
  <c r="AX162" i="10"/>
  <c r="AW163" i="10"/>
  <c r="AW162" i="10"/>
  <c r="AW161" i="10"/>
  <c r="AX164" i="10"/>
  <c r="AW164" i="10"/>
  <c r="AX161" i="10"/>
  <c r="AR163" i="10"/>
  <c r="AR162" i="10"/>
  <c r="AQ163" i="10"/>
  <c r="AQ162" i="10"/>
  <c r="AR164" i="10"/>
  <c r="AQ164" i="10"/>
  <c r="AR161" i="10"/>
  <c r="AQ161" i="10"/>
  <c r="AL163" i="10"/>
  <c r="AL162" i="10"/>
  <c r="AK164" i="10"/>
  <c r="AK163" i="10"/>
  <c r="AK162" i="10"/>
  <c r="AL164" i="10"/>
  <c r="AL161" i="10"/>
  <c r="AK161" i="10"/>
  <c r="AF163" i="10"/>
  <c r="AF162" i="10"/>
  <c r="AA163" i="10"/>
  <c r="AA162" i="10"/>
  <c r="Z164" i="10"/>
  <c r="Z162" i="10"/>
  <c r="Z163" i="10"/>
  <c r="AE164" i="10"/>
  <c r="AE163" i="10"/>
  <c r="AE162" i="10"/>
  <c r="AE161" i="10"/>
  <c r="AF164" i="10"/>
  <c r="AF161" i="10"/>
  <c r="Z161" i="10"/>
  <c r="AA164" i="10"/>
  <c r="AA161" i="10"/>
  <c r="V163" i="10"/>
  <c r="V164" i="10"/>
  <c r="V162" i="10"/>
  <c r="U163" i="10"/>
  <c r="U164" i="10"/>
  <c r="U162" i="10"/>
  <c r="V161" i="10"/>
  <c r="U161" i="10"/>
  <c r="O164" i="10"/>
  <c r="O163" i="10"/>
  <c r="O162" i="10"/>
  <c r="O158" i="10"/>
  <c r="O157" i="10"/>
  <c r="Q106" i="10"/>
  <c r="J176" i="10"/>
  <c r="C161" i="10"/>
  <c r="B165" i="10"/>
  <c r="B164" i="10"/>
  <c r="BZ134" i="10"/>
  <c r="BY134" i="10"/>
  <c r="BY135" i="10"/>
  <c r="BQ134" i="10"/>
  <c r="BZ133" i="10"/>
  <c r="BY133" i="10"/>
  <c r="BS136" i="10"/>
  <c r="BS135" i="10"/>
  <c r="BS134" i="10"/>
  <c r="BR135" i="10"/>
  <c r="BR134" i="10"/>
  <c r="BQ135" i="10"/>
  <c r="BQ133" i="10"/>
  <c r="BE133" i="10"/>
  <c r="AX135" i="10"/>
  <c r="BJ134" i="10"/>
  <c r="BK135" i="10"/>
  <c r="BK134" i="10"/>
  <c r="BJ135" i="10"/>
  <c r="BD134" i="10"/>
  <c r="BJ133" i="10"/>
  <c r="BD135" i="10"/>
  <c r="BE134" i="10"/>
  <c r="AW134" i="10"/>
  <c r="AX134" i="10"/>
  <c r="AX133" i="10"/>
  <c r="AP135" i="10"/>
  <c r="AW135" i="10"/>
  <c r="R143" i="10" s="1"/>
  <c r="W135" i="10"/>
  <c r="X134" i="10"/>
  <c r="W134" i="10"/>
  <c r="X133" i="10"/>
  <c r="W133" i="10"/>
  <c r="W502" i="10" l="1"/>
  <c r="W588" i="10"/>
  <c r="Y413" i="10"/>
  <c r="W505" i="10"/>
  <c r="Y329" i="10"/>
  <c r="W503" i="10"/>
  <c r="W501" i="10"/>
  <c r="W478" i="10"/>
  <c r="W567" i="10"/>
  <c r="Y418" i="10"/>
  <c r="Y351" i="10"/>
  <c r="Y414" i="10"/>
  <c r="Y332" i="10"/>
  <c r="Y354" i="10"/>
  <c r="Y420" i="10"/>
  <c r="Y352" i="10"/>
  <c r="W569" i="10"/>
  <c r="W475" i="10"/>
  <c r="Y350" i="10"/>
  <c r="Y335" i="10"/>
  <c r="Y331" i="10"/>
  <c r="Y416" i="10"/>
  <c r="W568" i="10"/>
  <c r="Y417" i="10"/>
  <c r="Y419" i="10"/>
  <c r="Y333" i="10"/>
  <c r="Y330" i="10"/>
  <c r="Y307" i="10"/>
  <c r="W473" i="10"/>
  <c r="Y353" i="10"/>
  <c r="Y334" i="10"/>
  <c r="Y311" i="10"/>
  <c r="Y309" i="10"/>
  <c r="Y306" i="10"/>
  <c r="Y305" i="10"/>
  <c r="Y312" i="10"/>
  <c r="Y310" i="10"/>
  <c r="Y308" i="10"/>
  <c r="BE246" i="10"/>
  <c r="S190" i="10"/>
  <c r="BA246" i="10"/>
  <c r="S197" i="10"/>
  <c r="S198" i="10"/>
  <c r="S269" i="10"/>
  <c r="S192" i="10"/>
  <c r="S270" i="10"/>
  <c r="S191" i="10"/>
  <c r="BG246" i="10"/>
  <c r="P166" i="10"/>
  <c r="BF246" i="10"/>
  <c r="R139" i="10"/>
  <c r="P156" i="10"/>
  <c r="S196" i="10"/>
  <c r="P170" i="10"/>
  <c r="R166" i="10"/>
  <c r="T173" i="10"/>
  <c r="P169" i="10"/>
  <c r="R167" i="10"/>
  <c r="P171" i="10"/>
  <c r="P172" i="10"/>
  <c r="P182" i="10" s="1"/>
  <c r="R173" i="10"/>
  <c r="P173" i="10"/>
  <c r="P168" i="10"/>
  <c r="P167" i="10"/>
  <c r="R168" i="10"/>
  <c r="R169" i="10"/>
  <c r="P157" i="10"/>
  <c r="R147" i="10"/>
  <c r="P164" i="10"/>
  <c r="P158" i="10"/>
  <c r="R146" i="10"/>
  <c r="T144" i="10"/>
  <c r="R145" i="10"/>
  <c r="R170" i="10"/>
  <c r="R171" i="10"/>
  <c r="P181" i="10" s="1"/>
  <c r="P162" i="10"/>
  <c r="P163" i="10"/>
  <c r="T143" i="10"/>
  <c r="T145" i="10"/>
  <c r="AW133" i="10"/>
  <c r="M139" i="10"/>
  <c r="H141" i="10"/>
  <c r="C133" i="10"/>
  <c r="R106" i="10" s="1"/>
  <c r="P180" i="10" l="1"/>
  <c r="P176" i="10"/>
  <c r="P177" i="10"/>
  <c r="P178" i="10"/>
  <c r="P179" i="10"/>
  <c r="P183" i="10"/>
  <c r="R128" i="10"/>
  <c r="R130" i="10"/>
  <c r="AQ136" i="10"/>
  <c r="AQ135" i="10"/>
  <c r="AQ134" i="10"/>
  <c r="AP136" i="10"/>
  <c r="AP134" i="10"/>
  <c r="AJ136" i="10"/>
  <c r="AJ135" i="10"/>
  <c r="AJ134" i="10"/>
  <c r="AI136" i="10"/>
  <c r="AI135" i="10"/>
  <c r="AI134" i="10"/>
  <c r="AD136" i="10"/>
  <c r="AD135" i="10"/>
  <c r="AD134" i="10"/>
  <c r="AC136" i="10"/>
  <c r="AC135" i="10"/>
  <c r="AC134" i="10"/>
  <c r="X136" i="10"/>
  <c r="X135" i="10"/>
  <c r="T139" i="10" s="1"/>
  <c r="R124" i="10" s="1"/>
  <c r="W136" i="10"/>
  <c r="B137" i="10"/>
  <c r="B136" i="10"/>
  <c r="B135" i="10"/>
  <c r="BS133" i="10"/>
  <c r="V147" i="10" s="1"/>
  <c r="BR133" i="10"/>
  <c r="T147" i="10" s="1"/>
  <c r="BK133" i="10"/>
  <c r="T146" i="10" s="1"/>
  <c r="BD133" i="10"/>
  <c r="R144" i="10" s="1"/>
  <c r="AQ133" i="10"/>
  <c r="AP133" i="10"/>
  <c r="AJ133" i="10"/>
  <c r="AI133" i="10"/>
  <c r="AD133" i="10"/>
  <c r="AC133" i="10"/>
  <c r="Q120" i="10"/>
  <c r="R120" i="10" s="1"/>
  <c r="Q119" i="10"/>
  <c r="R119" i="10" s="1"/>
  <c r="Q118" i="10"/>
  <c r="R118" i="10" s="1"/>
  <c r="Q114" i="10"/>
  <c r="R114" i="10" s="1"/>
  <c r="Q113" i="10"/>
  <c r="R113" i="10" s="1"/>
  <c r="Q112" i="10"/>
  <c r="R112" i="10" s="1"/>
  <c r="Q107" i="10"/>
  <c r="Q108" i="10"/>
  <c r="O56" i="5"/>
  <c r="H27" i="5"/>
  <c r="C27" i="5"/>
  <c r="D83" i="10"/>
  <c r="B81" i="10"/>
  <c r="B80" i="10"/>
  <c r="B79" i="10"/>
  <c r="H26" i="5"/>
  <c r="BM5" i="10"/>
  <c r="BO5" i="10" s="1"/>
  <c r="BM6" i="10"/>
  <c r="BM7" i="10"/>
  <c r="BM8" i="10"/>
  <c r="BM9" i="10"/>
  <c r="BN9" i="10" s="1"/>
  <c r="BM10" i="10"/>
  <c r="BM11" i="10"/>
  <c r="BM12" i="10"/>
  <c r="BM13" i="10"/>
  <c r="BN13" i="10" s="1"/>
  <c r="BM14" i="10"/>
  <c r="BM15" i="10"/>
  <c r="BM16" i="10"/>
  <c r="BM17" i="10"/>
  <c r="BP17" i="10" s="1"/>
  <c r="BM18" i="10"/>
  <c r="BM19" i="10"/>
  <c r="BM20" i="10"/>
  <c r="BM21" i="10"/>
  <c r="BO21" i="10" s="1"/>
  <c r="BM22" i="10"/>
  <c r="BM23" i="10"/>
  <c r="BM24" i="10"/>
  <c r="BM25" i="10"/>
  <c r="BN25" i="10" s="1"/>
  <c r="BM26" i="10"/>
  <c r="BM27" i="10"/>
  <c r="BM28" i="10"/>
  <c r="BM29" i="10"/>
  <c r="BN29" i="10" s="1"/>
  <c r="BM30" i="10"/>
  <c r="BM31" i="10"/>
  <c r="BM32" i="10"/>
  <c r="BM33" i="10"/>
  <c r="BP33" i="10" s="1"/>
  <c r="BM34" i="10"/>
  <c r="BM35" i="10"/>
  <c r="BM36" i="10"/>
  <c r="BM37" i="10"/>
  <c r="BO37" i="10" s="1"/>
  <c r="BM38" i="10"/>
  <c r="BM39" i="10"/>
  <c r="BM40" i="10"/>
  <c r="BM41" i="10"/>
  <c r="BN41" i="10" s="1"/>
  <c r="BM42" i="10"/>
  <c r="BM43" i="10"/>
  <c r="BM44" i="10"/>
  <c r="BM45" i="10"/>
  <c r="BN45" i="10" s="1"/>
  <c r="BM46" i="10"/>
  <c r="BM47" i="10"/>
  <c r="BM48" i="10"/>
  <c r="BM49" i="10"/>
  <c r="BP49" i="10" s="1"/>
  <c r="BM50" i="10"/>
  <c r="BM51" i="10"/>
  <c r="BM52" i="10"/>
  <c r="BM53" i="10"/>
  <c r="BO53" i="10" s="1"/>
  <c r="BM54" i="10"/>
  <c r="BM55" i="10"/>
  <c r="BM56" i="10"/>
  <c r="BM57" i="10"/>
  <c r="BN57" i="10" s="1"/>
  <c r="BM58" i="10"/>
  <c r="BN58" i="10" s="1"/>
  <c r="BM59" i="10"/>
  <c r="BM60" i="10"/>
  <c r="BM61" i="10"/>
  <c r="BO61" i="10" s="1"/>
  <c r="BM62" i="10"/>
  <c r="BN62" i="10" s="1"/>
  <c r="BM63" i="10"/>
  <c r="BM64" i="10"/>
  <c r="BM65" i="10"/>
  <c r="BP65" i="10" s="1"/>
  <c r="BM66" i="10"/>
  <c r="BN66" i="10" s="1"/>
  <c r="BM67" i="10"/>
  <c r="BM68" i="10"/>
  <c r="BM69" i="10"/>
  <c r="BO69" i="10" s="1"/>
  <c r="BM70" i="10"/>
  <c r="BN70" i="10" s="1"/>
  <c r="BM71" i="10"/>
  <c r="BM72" i="10"/>
  <c r="BM73" i="10"/>
  <c r="BN73" i="10" s="1"/>
  <c r="BM74" i="10"/>
  <c r="BN74" i="10" s="1"/>
  <c r="BM75" i="10"/>
  <c r="BM76" i="10"/>
  <c r="BM77" i="10"/>
  <c r="BO77" i="10" s="1"/>
  <c r="BM78" i="10"/>
  <c r="BM4" i="10"/>
  <c r="BH5" i="10"/>
  <c r="BJ5" i="10" s="1"/>
  <c r="BH6" i="10"/>
  <c r="BJ6" i="10" s="1"/>
  <c r="BH7" i="10"/>
  <c r="BJ7" i="10" s="1"/>
  <c r="BH8" i="10"/>
  <c r="BH9" i="10"/>
  <c r="BJ9" i="10" s="1"/>
  <c r="BH10" i="10"/>
  <c r="BJ10" i="10" s="1"/>
  <c r="BH11" i="10"/>
  <c r="BJ11" i="10" s="1"/>
  <c r="BH12" i="10"/>
  <c r="BI12" i="10" s="1"/>
  <c r="BH13" i="10"/>
  <c r="BJ13" i="10" s="1"/>
  <c r="BH14" i="10"/>
  <c r="BJ14" i="10" s="1"/>
  <c r="BH15" i="10"/>
  <c r="BJ15" i="10" s="1"/>
  <c r="BH16" i="10"/>
  <c r="BI16" i="10" s="1"/>
  <c r="BH17" i="10"/>
  <c r="BJ17" i="10" s="1"/>
  <c r="BH18" i="10"/>
  <c r="BJ18" i="10" s="1"/>
  <c r="BH19" i="10"/>
  <c r="BJ19" i="10" s="1"/>
  <c r="BH20" i="10"/>
  <c r="BJ20" i="10" s="1"/>
  <c r="BH21" i="10"/>
  <c r="BJ21" i="10" s="1"/>
  <c r="BH22" i="10"/>
  <c r="BJ22" i="10" s="1"/>
  <c r="BH23" i="10"/>
  <c r="BJ23" i="10" s="1"/>
  <c r="BH24" i="10"/>
  <c r="BH25" i="10"/>
  <c r="BJ25" i="10" s="1"/>
  <c r="BH26" i="10"/>
  <c r="BJ26" i="10" s="1"/>
  <c r="BH27" i="10"/>
  <c r="BJ27" i="10" s="1"/>
  <c r="BH28" i="10"/>
  <c r="BI28" i="10" s="1"/>
  <c r="BH29" i="10"/>
  <c r="BJ29" i="10" s="1"/>
  <c r="BH30" i="10"/>
  <c r="BJ30" i="10" s="1"/>
  <c r="BH31" i="10"/>
  <c r="BJ31" i="10" s="1"/>
  <c r="BH32" i="10"/>
  <c r="BJ32" i="10" s="1"/>
  <c r="BH33" i="10"/>
  <c r="BJ33" i="10" s="1"/>
  <c r="BH34" i="10"/>
  <c r="BJ34" i="10" s="1"/>
  <c r="BH35" i="10"/>
  <c r="BJ35" i="10" s="1"/>
  <c r="BH36" i="10"/>
  <c r="BJ36" i="10" s="1"/>
  <c r="BH37" i="10"/>
  <c r="BJ37" i="10" s="1"/>
  <c r="BH38" i="10"/>
  <c r="BJ38" i="10" s="1"/>
  <c r="BH39" i="10"/>
  <c r="BJ39" i="10" s="1"/>
  <c r="BH40" i="10"/>
  <c r="BH41" i="10"/>
  <c r="BJ41" i="10" s="1"/>
  <c r="BH42" i="10"/>
  <c r="BJ42" i="10" s="1"/>
  <c r="BH43" i="10"/>
  <c r="BJ43" i="10" s="1"/>
  <c r="BH44" i="10"/>
  <c r="BI44" i="10" s="1"/>
  <c r="BH45" i="10"/>
  <c r="BJ45" i="10" s="1"/>
  <c r="BH46" i="10"/>
  <c r="BJ46" i="10" s="1"/>
  <c r="BH47" i="10"/>
  <c r="BJ47" i="10" s="1"/>
  <c r="BH48" i="10"/>
  <c r="BI48" i="10" s="1"/>
  <c r="BH49" i="10"/>
  <c r="BJ49" i="10" s="1"/>
  <c r="BH50" i="10"/>
  <c r="BJ50" i="10" s="1"/>
  <c r="BH51" i="10"/>
  <c r="BJ51" i="10" s="1"/>
  <c r="BH52" i="10"/>
  <c r="BJ52" i="10" s="1"/>
  <c r="BH53" i="10"/>
  <c r="BJ53" i="10" s="1"/>
  <c r="BH54" i="10"/>
  <c r="BJ54" i="10" s="1"/>
  <c r="BH55" i="10"/>
  <c r="BJ55" i="10" s="1"/>
  <c r="BH56" i="10"/>
  <c r="BH57" i="10"/>
  <c r="BJ57" i="10" s="1"/>
  <c r="BH58" i="10"/>
  <c r="BJ58" i="10" s="1"/>
  <c r="BH59" i="10"/>
  <c r="BJ59" i="10" s="1"/>
  <c r="BH60" i="10"/>
  <c r="BI60" i="10" s="1"/>
  <c r="BH61" i="10"/>
  <c r="BJ61" i="10" s="1"/>
  <c r="BH62" i="10"/>
  <c r="BJ62" i="10" s="1"/>
  <c r="BH63" i="10"/>
  <c r="BJ63" i="10" s="1"/>
  <c r="BH64" i="10"/>
  <c r="BJ64" i="10" s="1"/>
  <c r="BH65" i="10"/>
  <c r="BJ65" i="10" s="1"/>
  <c r="BH66" i="10"/>
  <c r="BJ66" i="10" s="1"/>
  <c r="BH67" i="10"/>
  <c r="BJ67" i="10" s="1"/>
  <c r="BH68" i="10"/>
  <c r="BJ68" i="10" s="1"/>
  <c r="BH69" i="10"/>
  <c r="BJ69" i="10" s="1"/>
  <c r="BH70" i="10"/>
  <c r="BJ70" i="10" s="1"/>
  <c r="BH71" i="10"/>
  <c r="BJ71" i="10" s="1"/>
  <c r="BH72" i="10"/>
  <c r="BH73" i="10"/>
  <c r="BJ73" i="10" s="1"/>
  <c r="BH74" i="10"/>
  <c r="BJ74" i="10" s="1"/>
  <c r="BH75" i="10"/>
  <c r="BJ75" i="10" s="1"/>
  <c r="BH76" i="10"/>
  <c r="BI76" i="10" s="1"/>
  <c r="BH77" i="10"/>
  <c r="BJ77" i="10" s="1"/>
  <c r="BH78" i="10"/>
  <c r="BJ78" i="10" s="1"/>
  <c r="BH4" i="10"/>
  <c r="BJ4" i="10" s="1"/>
  <c r="BC5" i="10"/>
  <c r="BE5" i="10" s="1"/>
  <c r="BC6" i="10"/>
  <c r="BE6" i="10" s="1"/>
  <c r="BC7" i="10"/>
  <c r="BE7" i="10" s="1"/>
  <c r="BC8" i="10"/>
  <c r="BE8" i="10" s="1"/>
  <c r="BC9" i="10"/>
  <c r="BD9" i="10" s="1"/>
  <c r="BC10" i="10"/>
  <c r="BE10" i="10" s="1"/>
  <c r="BC11" i="10"/>
  <c r="BE11" i="10" s="1"/>
  <c r="BC12" i="10"/>
  <c r="BE12" i="10" s="1"/>
  <c r="BC13" i="10"/>
  <c r="BE13" i="10" s="1"/>
  <c r="BC14" i="10"/>
  <c r="BE14" i="10" s="1"/>
  <c r="BC15" i="10"/>
  <c r="BE15" i="10" s="1"/>
  <c r="BC16" i="10"/>
  <c r="BE16" i="10" s="1"/>
  <c r="BC17" i="10"/>
  <c r="BE17" i="10" s="1"/>
  <c r="BC18" i="10"/>
  <c r="BE18" i="10" s="1"/>
  <c r="BC19" i="10"/>
  <c r="BE19" i="10" s="1"/>
  <c r="BC20" i="10"/>
  <c r="BE20" i="10" s="1"/>
  <c r="BC21" i="10"/>
  <c r="BE21" i="10" s="1"/>
  <c r="BC22" i="10"/>
  <c r="BE22" i="10" s="1"/>
  <c r="BC23" i="10"/>
  <c r="BE23" i="10" s="1"/>
  <c r="BC24" i="10"/>
  <c r="BE24" i="10" s="1"/>
  <c r="BC25" i="10"/>
  <c r="BD25" i="10" s="1"/>
  <c r="BC26" i="10"/>
  <c r="BE26" i="10" s="1"/>
  <c r="BC27" i="10"/>
  <c r="BE27" i="10" s="1"/>
  <c r="BC28" i="10"/>
  <c r="BE28" i="10" s="1"/>
  <c r="BC29" i="10"/>
  <c r="BE29" i="10" s="1"/>
  <c r="BC30" i="10"/>
  <c r="BE30" i="10" s="1"/>
  <c r="BC31" i="10"/>
  <c r="BE31" i="10" s="1"/>
  <c r="BC32" i="10"/>
  <c r="BE32" i="10" s="1"/>
  <c r="BC33" i="10"/>
  <c r="BE33" i="10" s="1"/>
  <c r="BC34" i="10"/>
  <c r="BE34" i="10" s="1"/>
  <c r="BC35" i="10"/>
  <c r="BE35" i="10" s="1"/>
  <c r="BC36" i="10"/>
  <c r="BE36" i="10" s="1"/>
  <c r="BC37" i="10"/>
  <c r="BE37" i="10" s="1"/>
  <c r="BC38" i="10"/>
  <c r="BE38" i="10" s="1"/>
  <c r="BC39" i="10"/>
  <c r="BE39" i="10" s="1"/>
  <c r="BC40" i="10"/>
  <c r="BE40" i="10" s="1"/>
  <c r="BC41" i="10"/>
  <c r="BD41" i="10" s="1"/>
  <c r="BC42" i="10"/>
  <c r="BE42" i="10" s="1"/>
  <c r="BC43" i="10"/>
  <c r="BE43" i="10" s="1"/>
  <c r="BC44" i="10"/>
  <c r="BE44" i="10" s="1"/>
  <c r="BC45" i="10"/>
  <c r="BE45" i="10" s="1"/>
  <c r="BC46" i="10"/>
  <c r="BE46" i="10" s="1"/>
  <c r="BC47" i="10"/>
  <c r="BE47" i="10" s="1"/>
  <c r="BC48" i="10"/>
  <c r="BE48" i="10" s="1"/>
  <c r="BC49" i="10"/>
  <c r="BE49" i="10" s="1"/>
  <c r="BC50" i="10"/>
  <c r="BE50" i="10" s="1"/>
  <c r="BC51" i="10"/>
  <c r="BE51" i="10" s="1"/>
  <c r="BC52" i="10"/>
  <c r="BE52" i="10" s="1"/>
  <c r="BC53" i="10"/>
  <c r="BE53" i="10" s="1"/>
  <c r="BC54" i="10"/>
  <c r="BE54" i="10" s="1"/>
  <c r="BC55" i="10"/>
  <c r="BE55" i="10" s="1"/>
  <c r="BC56" i="10"/>
  <c r="BD56" i="10" s="1"/>
  <c r="BC57" i="10"/>
  <c r="BE57" i="10" s="1"/>
  <c r="BC58" i="10"/>
  <c r="BE58" i="10" s="1"/>
  <c r="BC59" i="10"/>
  <c r="BE59" i="10" s="1"/>
  <c r="BC60" i="10"/>
  <c r="BE60" i="10" s="1"/>
  <c r="BC61" i="10"/>
  <c r="BE61" i="10" s="1"/>
  <c r="BC62" i="10"/>
  <c r="BE62" i="10" s="1"/>
  <c r="BC63" i="10"/>
  <c r="BE63" i="10" s="1"/>
  <c r="BC64" i="10"/>
  <c r="BD64" i="10" s="1"/>
  <c r="BC65" i="10"/>
  <c r="BE65" i="10" s="1"/>
  <c r="BC66" i="10"/>
  <c r="BE66" i="10" s="1"/>
  <c r="BC67" i="10"/>
  <c r="BE67" i="10" s="1"/>
  <c r="BC68" i="10"/>
  <c r="BE68" i="10" s="1"/>
  <c r="BC69" i="10"/>
  <c r="BE69" i="10" s="1"/>
  <c r="BC70" i="10"/>
  <c r="BE70" i="10" s="1"/>
  <c r="BC71" i="10"/>
  <c r="BE71" i="10" s="1"/>
  <c r="BC72" i="10"/>
  <c r="BD72" i="10" s="1"/>
  <c r="BC73" i="10"/>
  <c r="BE73" i="10" s="1"/>
  <c r="BC74" i="10"/>
  <c r="BE74" i="10" s="1"/>
  <c r="BC75" i="10"/>
  <c r="BE75" i="10" s="1"/>
  <c r="BC76" i="10"/>
  <c r="BD76" i="10" s="1"/>
  <c r="BC77" i="10"/>
  <c r="BE77" i="10" s="1"/>
  <c r="BC78" i="10"/>
  <c r="BE78" i="10" s="1"/>
  <c r="BC4" i="10"/>
  <c r="BD4" i="10" s="1"/>
  <c r="AX4" i="10"/>
  <c r="AZ4" i="10" s="1"/>
  <c r="AX5" i="10"/>
  <c r="AY5" i="10" s="1"/>
  <c r="AX6" i="10"/>
  <c r="AZ6" i="10" s="1"/>
  <c r="AX7" i="10"/>
  <c r="AZ7" i="10" s="1"/>
  <c r="AX8" i="10"/>
  <c r="AX9" i="10"/>
  <c r="AY9" i="10" s="1"/>
  <c r="AX10" i="10"/>
  <c r="AY10" i="10" s="1"/>
  <c r="AX11" i="10"/>
  <c r="AZ11" i="10" s="1"/>
  <c r="AX12" i="10"/>
  <c r="AX13" i="10"/>
  <c r="AY13" i="10" s="1"/>
  <c r="AX14" i="10"/>
  <c r="AZ14" i="10" s="1"/>
  <c r="AX15" i="10"/>
  <c r="AZ15" i="10" s="1"/>
  <c r="AX16" i="10"/>
  <c r="AX17" i="10"/>
  <c r="AY17" i="10" s="1"/>
  <c r="AX18" i="10"/>
  <c r="AY18" i="10" s="1"/>
  <c r="AX19" i="10"/>
  <c r="AZ19" i="10" s="1"/>
  <c r="AX20" i="10"/>
  <c r="AX21" i="10"/>
  <c r="AY21" i="10" s="1"/>
  <c r="AX22" i="10"/>
  <c r="AZ22" i="10" s="1"/>
  <c r="AX23" i="10"/>
  <c r="AZ23" i="10" s="1"/>
  <c r="AX24" i="10"/>
  <c r="AX25" i="10"/>
  <c r="AY25" i="10" s="1"/>
  <c r="AX26" i="10"/>
  <c r="AY26" i="10" s="1"/>
  <c r="AX27" i="10"/>
  <c r="AZ27" i="10" s="1"/>
  <c r="AX28" i="10"/>
  <c r="AX29" i="10"/>
  <c r="AY29" i="10" s="1"/>
  <c r="AX30" i="10"/>
  <c r="AZ30" i="10" s="1"/>
  <c r="AX31" i="10"/>
  <c r="AZ31" i="10" s="1"/>
  <c r="AX32" i="10"/>
  <c r="AX33" i="10"/>
  <c r="AY33" i="10" s="1"/>
  <c r="AX34" i="10"/>
  <c r="AY34" i="10" s="1"/>
  <c r="AX35" i="10"/>
  <c r="AZ35" i="10" s="1"/>
  <c r="AX36" i="10"/>
  <c r="AX37" i="10"/>
  <c r="AY37" i="10" s="1"/>
  <c r="AX38" i="10"/>
  <c r="AZ38" i="10" s="1"/>
  <c r="AX39" i="10"/>
  <c r="AZ39" i="10" s="1"/>
  <c r="AX40" i="10"/>
  <c r="AX41" i="10"/>
  <c r="AY41" i="10" s="1"/>
  <c r="AX42" i="10"/>
  <c r="AY42" i="10" s="1"/>
  <c r="AX43" i="10"/>
  <c r="AZ43" i="10" s="1"/>
  <c r="AX44" i="10"/>
  <c r="AX45" i="10"/>
  <c r="AY45" i="10" s="1"/>
  <c r="AX46" i="10"/>
  <c r="AZ46" i="10" s="1"/>
  <c r="AX47" i="10"/>
  <c r="AZ47" i="10" s="1"/>
  <c r="AX48" i="10"/>
  <c r="AX49" i="10"/>
  <c r="AY49" i="10" s="1"/>
  <c r="AX50" i="10"/>
  <c r="AY50" i="10" s="1"/>
  <c r="AX51" i="10"/>
  <c r="AZ51" i="10" s="1"/>
  <c r="AX52" i="10"/>
  <c r="AX53" i="10"/>
  <c r="AY53" i="10" s="1"/>
  <c r="AX54" i="10"/>
  <c r="AZ54" i="10" s="1"/>
  <c r="AX55" i="10"/>
  <c r="AZ55" i="10" s="1"/>
  <c r="AX56" i="10"/>
  <c r="AX57" i="10"/>
  <c r="AY57" i="10" s="1"/>
  <c r="AX58" i="10"/>
  <c r="AY58" i="10" s="1"/>
  <c r="AX59" i="10"/>
  <c r="AZ59" i="10" s="1"/>
  <c r="AX60" i="10"/>
  <c r="AX61" i="10"/>
  <c r="AY61" i="10" s="1"/>
  <c r="AX62" i="10"/>
  <c r="AZ62" i="10" s="1"/>
  <c r="AX63" i="10"/>
  <c r="AZ63" i="10" s="1"/>
  <c r="AX64" i="10"/>
  <c r="AX65" i="10"/>
  <c r="AY65" i="10" s="1"/>
  <c r="AX66" i="10"/>
  <c r="AY66" i="10" s="1"/>
  <c r="AX67" i="10"/>
  <c r="AZ67" i="10" s="1"/>
  <c r="AX68" i="10"/>
  <c r="AX69" i="10"/>
  <c r="AY69" i="10" s="1"/>
  <c r="AX70" i="10"/>
  <c r="AZ70" i="10" s="1"/>
  <c r="AX71" i="10"/>
  <c r="AZ71" i="10" s="1"/>
  <c r="AX72" i="10"/>
  <c r="AX73" i="10"/>
  <c r="AY73" i="10" s="1"/>
  <c r="AX74" i="10"/>
  <c r="AY74" i="10" s="1"/>
  <c r="AX75" i="10"/>
  <c r="AZ75" i="10" s="1"/>
  <c r="AX76" i="10"/>
  <c r="AX77" i="10"/>
  <c r="AY77" i="10" s="1"/>
  <c r="AX78" i="10"/>
  <c r="AZ78" i="10" s="1"/>
  <c r="AS5" i="10"/>
  <c r="AT5" i="10" s="1"/>
  <c r="AS6" i="10"/>
  <c r="AU6" i="10" s="1"/>
  <c r="AS7" i="10"/>
  <c r="AS8" i="10"/>
  <c r="AU8" i="10" s="1"/>
  <c r="AS9" i="10"/>
  <c r="AT9" i="10" s="1"/>
  <c r="AS10" i="10"/>
  <c r="AU10" i="10" s="1"/>
  <c r="AS11" i="10"/>
  <c r="AS12" i="10"/>
  <c r="AU12" i="10" s="1"/>
  <c r="AS13" i="10"/>
  <c r="AU13" i="10" s="1"/>
  <c r="AS14" i="10"/>
  <c r="AT14" i="10" s="1"/>
  <c r="AS15" i="10"/>
  <c r="AS16" i="10"/>
  <c r="AU16" i="10" s="1"/>
  <c r="AS17" i="10"/>
  <c r="AU17" i="10" s="1"/>
  <c r="AS18" i="10"/>
  <c r="AT18" i="10" s="1"/>
  <c r="AS19" i="10"/>
  <c r="AS20" i="10"/>
  <c r="AU20" i="10" s="1"/>
  <c r="AS21" i="10"/>
  <c r="AT21" i="10" s="1"/>
  <c r="AS22" i="10"/>
  <c r="AU22" i="10" s="1"/>
  <c r="AS23" i="10"/>
  <c r="AS24" i="10"/>
  <c r="AU24" i="10" s="1"/>
  <c r="AS25" i="10"/>
  <c r="AT25" i="10" s="1"/>
  <c r="AS26" i="10"/>
  <c r="AU26" i="10" s="1"/>
  <c r="AS27" i="10"/>
  <c r="AS28" i="10"/>
  <c r="AU28" i="10" s="1"/>
  <c r="AS29" i="10"/>
  <c r="AU29" i="10" s="1"/>
  <c r="AS30" i="10"/>
  <c r="AT30" i="10" s="1"/>
  <c r="AS31" i="10"/>
  <c r="AS32" i="10"/>
  <c r="AU32" i="10" s="1"/>
  <c r="AS33" i="10"/>
  <c r="AU33" i="10" s="1"/>
  <c r="AS34" i="10"/>
  <c r="AT34" i="10" s="1"/>
  <c r="AS35" i="10"/>
  <c r="AS36" i="10"/>
  <c r="AU36" i="10" s="1"/>
  <c r="AS37" i="10"/>
  <c r="AT37" i="10" s="1"/>
  <c r="AS38" i="10"/>
  <c r="AU38" i="10" s="1"/>
  <c r="AS39" i="10"/>
  <c r="AS40" i="10"/>
  <c r="AU40" i="10" s="1"/>
  <c r="AS41" i="10"/>
  <c r="AT41" i="10" s="1"/>
  <c r="AS42" i="10"/>
  <c r="AU42" i="10" s="1"/>
  <c r="AS43" i="10"/>
  <c r="AS44" i="10"/>
  <c r="AU44" i="10" s="1"/>
  <c r="AS45" i="10"/>
  <c r="AU45" i="10" s="1"/>
  <c r="AS46" i="10"/>
  <c r="AT46" i="10" s="1"/>
  <c r="AS47" i="10"/>
  <c r="AS48" i="10"/>
  <c r="AU48" i="10" s="1"/>
  <c r="AS49" i="10"/>
  <c r="AU49" i="10" s="1"/>
  <c r="AS50" i="10"/>
  <c r="AT50" i="10" s="1"/>
  <c r="AS51" i="10"/>
  <c r="AS52" i="10"/>
  <c r="AU52" i="10" s="1"/>
  <c r="AS53" i="10"/>
  <c r="AT53" i="10" s="1"/>
  <c r="AS54" i="10"/>
  <c r="AU54" i="10" s="1"/>
  <c r="AS55" i="10"/>
  <c r="AS56" i="10"/>
  <c r="AU56" i="10" s="1"/>
  <c r="AS57" i="10"/>
  <c r="AT57" i="10" s="1"/>
  <c r="AS58" i="10"/>
  <c r="AU58" i="10" s="1"/>
  <c r="AS59" i="10"/>
  <c r="AS60" i="10"/>
  <c r="AU60" i="10" s="1"/>
  <c r="AS61" i="10"/>
  <c r="AU61" i="10" s="1"/>
  <c r="AS62" i="10"/>
  <c r="AT62" i="10" s="1"/>
  <c r="AS63" i="10"/>
  <c r="AS64" i="10"/>
  <c r="AU64" i="10" s="1"/>
  <c r="AS65" i="10"/>
  <c r="AU65" i="10" s="1"/>
  <c r="AS66" i="10"/>
  <c r="AT66" i="10" s="1"/>
  <c r="AS67" i="10"/>
  <c r="AS68" i="10"/>
  <c r="AU68" i="10" s="1"/>
  <c r="AS69" i="10"/>
  <c r="AT69" i="10" s="1"/>
  <c r="AS70" i="10"/>
  <c r="AU70" i="10" s="1"/>
  <c r="AS71" i="10"/>
  <c r="AS72" i="10"/>
  <c r="AU72" i="10" s="1"/>
  <c r="AS73" i="10"/>
  <c r="AT73" i="10" s="1"/>
  <c r="AS74" i="10"/>
  <c r="AU74" i="10" s="1"/>
  <c r="AS75" i="10"/>
  <c r="AS76" i="10"/>
  <c r="AU76" i="10" s="1"/>
  <c r="AS77" i="10"/>
  <c r="AU77" i="10" s="1"/>
  <c r="AS78" i="10"/>
  <c r="AT78" i="10" s="1"/>
  <c r="AS4" i="10"/>
  <c r="AU4" i="10" s="1"/>
  <c r="AB5" i="5"/>
  <c r="AA5" i="5"/>
  <c r="W57" i="5"/>
  <c r="AN5" i="10"/>
  <c r="AP5" i="10" s="1"/>
  <c r="AN6" i="10"/>
  <c r="AP6" i="10" s="1"/>
  <c r="AN7" i="10"/>
  <c r="AP7" i="10" s="1"/>
  <c r="AN8" i="10"/>
  <c r="AP8" i="10" s="1"/>
  <c r="AN9" i="10"/>
  <c r="AP9" i="10" s="1"/>
  <c r="AN10" i="10"/>
  <c r="AO10" i="10" s="1"/>
  <c r="AN11" i="10"/>
  <c r="AO11" i="10" s="1"/>
  <c r="AN12" i="10"/>
  <c r="AP12" i="10" s="1"/>
  <c r="AN13" i="10"/>
  <c r="AP13" i="10" s="1"/>
  <c r="AN14" i="10"/>
  <c r="AP14" i="10" s="1"/>
  <c r="AN15" i="10"/>
  <c r="AP15" i="10" s="1"/>
  <c r="AN16" i="10"/>
  <c r="AP16" i="10" s="1"/>
  <c r="AN17" i="10"/>
  <c r="AP17" i="10" s="1"/>
  <c r="AN18" i="10"/>
  <c r="AP18" i="10" s="1"/>
  <c r="AN19" i="10"/>
  <c r="AO19" i="10" s="1"/>
  <c r="AN20" i="10"/>
  <c r="AP20" i="10" s="1"/>
  <c r="AN21" i="10"/>
  <c r="AP21" i="10" s="1"/>
  <c r="AN22" i="10"/>
  <c r="AP22" i="10" s="1"/>
  <c r="AN23" i="10"/>
  <c r="AP23" i="10" s="1"/>
  <c r="AN24" i="10"/>
  <c r="AP24" i="10" s="1"/>
  <c r="AN25" i="10"/>
  <c r="AP25" i="10" s="1"/>
  <c r="AN26" i="10"/>
  <c r="AO26" i="10" s="1"/>
  <c r="AN27" i="10"/>
  <c r="AO27" i="10" s="1"/>
  <c r="AN28" i="10"/>
  <c r="AP28" i="10" s="1"/>
  <c r="AN29" i="10"/>
  <c r="AP29" i="10" s="1"/>
  <c r="AN30" i="10"/>
  <c r="AP30" i="10" s="1"/>
  <c r="AN31" i="10"/>
  <c r="AP31" i="10" s="1"/>
  <c r="AN32" i="10"/>
  <c r="AP32" i="10" s="1"/>
  <c r="AN33" i="10"/>
  <c r="AP33" i="10" s="1"/>
  <c r="AN34" i="10"/>
  <c r="AP34" i="10" s="1"/>
  <c r="AN35" i="10"/>
  <c r="AO35" i="10" s="1"/>
  <c r="AN36" i="10"/>
  <c r="AP36" i="10" s="1"/>
  <c r="AN37" i="10"/>
  <c r="AP37" i="10" s="1"/>
  <c r="AN38" i="10"/>
  <c r="AP38" i="10" s="1"/>
  <c r="AN39" i="10"/>
  <c r="AP39" i="10" s="1"/>
  <c r="AN40" i="10"/>
  <c r="AP40" i="10" s="1"/>
  <c r="AN41" i="10"/>
  <c r="AP41" i="10" s="1"/>
  <c r="AN42" i="10"/>
  <c r="AO42" i="10" s="1"/>
  <c r="AN43" i="10"/>
  <c r="AO43" i="10" s="1"/>
  <c r="AN44" i="10"/>
  <c r="AP44" i="10" s="1"/>
  <c r="AN45" i="10"/>
  <c r="AP45" i="10" s="1"/>
  <c r="AN46" i="10"/>
  <c r="AP46" i="10" s="1"/>
  <c r="AN47" i="10"/>
  <c r="AP47" i="10" s="1"/>
  <c r="AN48" i="10"/>
  <c r="AP48" i="10" s="1"/>
  <c r="AN49" i="10"/>
  <c r="AP49" i="10" s="1"/>
  <c r="AN50" i="10"/>
  <c r="AP50" i="10" s="1"/>
  <c r="AN51" i="10"/>
  <c r="AO51" i="10" s="1"/>
  <c r="AN52" i="10"/>
  <c r="AP52" i="10" s="1"/>
  <c r="AN53" i="10"/>
  <c r="AP53" i="10" s="1"/>
  <c r="AN54" i="10"/>
  <c r="AP54" i="10" s="1"/>
  <c r="AN55" i="10"/>
  <c r="AP55" i="10" s="1"/>
  <c r="AN56" i="10"/>
  <c r="AP56" i="10" s="1"/>
  <c r="AN57" i="10"/>
  <c r="AP57" i="10" s="1"/>
  <c r="AN58" i="10"/>
  <c r="AO58" i="10" s="1"/>
  <c r="AN59" i="10"/>
  <c r="AO59" i="10" s="1"/>
  <c r="AN60" i="10"/>
  <c r="AP60" i="10" s="1"/>
  <c r="AN61" i="10"/>
  <c r="AP61" i="10" s="1"/>
  <c r="AN62" i="10"/>
  <c r="AP62" i="10" s="1"/>
  <c r="AN63" i="10"/>
  <c r="AP63" i="10" s="1"/>
  <c r="AN64" i="10"/>
  <c r="AP64" i="10" s="1"/>
  <c r="AN65" i="10"/>
  <c r="AP65" i="10" s="1"/>
  <c r="AN66" i="10"/>
  <c r="AP66" i="10" s="1"/>
  <c r="AN67" i="10"/>
  <c r="AO67" i="10" s="1"/>
  <c r="AN68" i="10"/>
  <c r="AP68" i="10" s="1"/>
  <c r="AN69" i="10"/>
  <c r="AP69" i="10" s="1"/>
  <c r="AN70" i="10"/>
  <c r="AP70" i="10" s="1"/>
  <c r="AN71" i="10"/>
  <c r="AP71" i="10" s="1"/>
  <c r="AN72" i="10"/>
  <c r="AP72" i="10" s="1"/>
  <c r="AN73" i="10"/>
  <c r="AP73" i="10" s="1"/>
  <c r="AN74" i="10"/>
  <c r="AO74" i="10" s="1"/>
  <c r="AN75" i="10"/>
  <c r="AO75" i="10" s="1"/>
  <c r="AN76" i="10"/>
  <c r="AP76" i="10" s="1"/>
  <c r="AN77" i="10"/>
  <c r="AP77" i="10" s="1"/>
  <c r="AN78" i="10"/>
  <c r="AO78" i="10" s="1"/>
  <c r="AN4" i="10"/>
  <c r="AP4" i="10" s="1"/>
  <c r="W56" i="5"/>
  <c r="V56" i="5"/>
  <c r="AI5" i="10"/>
  <c r="AK5" i="10" s="1"/>
  <c r="AI6" i="10"/>
  <c r="AI7" i="10"/>
  <c r="AJ7" i="10" s="1"/>
  <c r="AI8" i="10"/>
  <c r="AJ8" i="10" s="1"/>
  <c r="AI9" i="10"/>
  <c r="AK9" i="10" s="1"/>
  <c r="AI10" i="10"/>
  <c r="AI11" i="10"/>
  <c r="AK11" i="10" s="1"/>
  <c r="AI12" i="10"/>
  <c r="AJ12" i="10" s="1"/>
  <c r="AI13" i="10"/>
  <c r="AK13" i="10" s="1"/>
  <c r="AI14" i="10"/>
  <c r="AI15" i="10"/>
  <c r="AK15" i="10" s="1"/>
  <c r="AI16" i="10"/>
  <c r="AK16" i="10" s="1"/>
  <c r="AI17" i="10"/>
  <c r="AJ17" i="10" s="1"/>
  <c r="AI18" i="10"/>
  <c r="AI19" i="10"/>
  <c r="AK19" i="10" s="1"/>
  <c r="AI20" i="10"/>
  <c r="AJ20" i="10" s="1"/>
  <c r="AI21" i="10"/>
  <c r="AK21" i="10" s="1"/>
  <c r="AI22" i="10"/>
  <c r="AK22" i="10" s="1"/>
  <c r="AI23" i="10"/>
  <c r="AJ23" i="10" s="1"/>
  <c r="AI24" i="10"/>
  <c r="AJ24" i="10" s="1"/>
  <c r="AI25" i="10"/>
  <c r="AK25" i="10" s="1"/>
  <c r="AI26" i="10"/>
  <c r="AK26" i="10" s="1"/>
  <c r="AI27" i="10"/>
  <c r="AJ27" i="10" s="1"/>
  <c r="AI28" i="10"/>
  <c r="AJ28" i="10" s="1"/>
  <c r="AI29" i="10"/>
  <c r="AK29" i="10" s="1"/>
  <c r="AI30" i="10"/>
  <c r="AK30" i="10" s="1"/>
  <c r="AI31" i="10"/>
  <c r="AK31" i="10" s="1"/>
  <c r="AI32" i="10"/>
  <c r="AK32" i="10" s="1"/>
  <c r="AI33" i="10"/>
  <c r="AK33" i="10" s="1"/>
  <c r="AI34" i="10"/>
  <c r="AK34" i="10" s="1"/>
  <c r="AI35" i="10"/>
  <c r="AK35" i="10" s="1"/>
  <c r="AI36" i="10"/>
  <c r="AJ36" i="10" s="1"/>
  <c r="AI37" i="10"/>
  <c r="AK37" i="10" s="1"/>
  <c r="AI38" i="10"/>
  <c r="AK38" i="10" s="1"/>
  <c r="AI39" i="10"/>
  <c r="AJ39" i="10" s="1"/>
  <c r="AI40" i="10"/>
  <c r="AJ40" i="10" s="1"/>
  <c r="AI41" i="10"/>
  <c r="AK41" i="10" s="1"/>
  <c r="AI42" i="10"/>
  <c r="AK42" i="10" s="1"/>
  <c r="AI43" i="10"/>
  <c r="AJ43" i="10" s="1"/>
  <c r="AI44" i="10"/>
  <c r="AJ44" i="10" s="1"/>
  <c r="AI45" i="10"/>
  <c r="AK45" i="10" s="1"/>
  <c r="AI46" i="10"/>
  <c r="AK46" i="10" s="1"/>
  <c r="AI47" i="10"/>
  <c r="AK47" i="10" s="1"/>
  <c r="AI48" i="10"/>
  <c r="AK48" i="10" s="1"/>
  <c r="AI49" i="10"/>
  <c r="AK49" i="10" s="1"/>
  <c r="AI50" i="10"/>
  <c r="AK50" i="10" s="1"/>
  <c r="AI51" i="10"/>
  <c r="AK51" i="10" s="1"/>
  <c r="AI52" i="10"/>
  <c r="AJ52" i="10" s="1"/>
  <c r="AI53" i="10"/>
  <c r="AK53" i="10" s="1"/>
  <c r="AI54" i="10"/>
  <c r="AK54" i="10" s="1"/>
  <c r="AI55" i="10"/>
  <c r="AJ55" i="10" s="1"/>
  <c r="AI56" i="10"/>
  <c r="AJ56" i="10" s="1"/>
  <c r="AI57" i="10"/>
  <c r="AK57" i="10" s="1"/>
  <c r="AI58" i="10"/>
  <c r="AK58" i="10" s="1"/>
  <c r="AI59" i="10"/>
  <c r="AJ59" i="10" s="1"/>
  <c r="AI60" i="10"/>
  <c r="AJ60" i="10" s="1"/>
  <c r="AI61" i="10"/>
  <c r="AK61" i="10" s="1"/>
  <c r="AI62" i="10"/>
  <c r="AK62" i="10" s="1"/>
  <c r="AI63" i="10"/>
  <c r="AK63" i="10" s="1"/>
  <c r="AI64" i="10"/>
  <c r="AK64" i="10" s="1"/>
  <c r="AI65" i="10"/>
  <c r="AK65" i="10" s="1"/>
  <c r="AI66" i="10"/>
  <c r="AK66" i="10" s="1"/>
  <c r="AI67" i="10"/>
  <c r="AK67" i="10" s="1"/>
  <c r="AI68" i="10"/>
  <c r="AJ68" i="10" s="1"/>
  <c r="AI69" i="10"/>
  <c r="AK69" i="10" s="1"/>
  <c r="AI70" i="10"/>
  <c r="AK70" i="10" s="1"/>
  <c r="AI71" i="10"/>
  <c r="AJ71" i="10" s="1"/>
  <c r="AI72" i="10"/>
  <c r="AJ72" i="10" s="1"/>
  <c r="AI73" i="10"/>
  <c r="AK73" i="10" s="1"/>
  <c r="AI74" i="10"/>
  <c r="AK74" i="10" s="1"/>
  <c r="AI75" i="10"/>
  <c r="AJ75" i="10" s="1"/>
  <c r="AI76" i="10"/>
  <c r="AJ76" i="10" s="1"/>
  <c r="AI77" i="10"/>
  <c r="AK77" i="10" s="1"/>
  <c r="AI78" i="10"/>
  <c r="AK4" i="10"/>
  <c r="I4" i="3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72" i="10"/>
  <c r="AG73" i="10"/>
  <c r="AG74" i="10"/>
  <c r="AG75" i="10"/>
  <c r="AG76" i="10"/>
  <c r="AG77" i="10"/>
  <c r="AG78" i="10"/>
  <c r="AG5" i="10"/>
  <c r="AG6" i="10"/>
  <c r="AG7" i="10"/>
  <c r="AG4" i="10"/>
  <c r="W31" i="5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4" i="10"/>
  <c r="V31" i="5"/>
  <c r="T141" i="10" l="1"/>
  <c r="R129" i="10"/>
  <c r="R141" i="10"/>
  <c r="T142" i="10"/>
  <c r="T140" i="10"/>
  <c r="R140" i="10"/>
  <c r="R142" i="10"/>
  <c r="R132" i="10"/>
  <c r="R131" i="10"/>
  <c r="R107" i="10"/>
  <c r="AZ26" i="10"/>
  <c r="AK12" i="10"/>
  <c r="AY47" i="10"/>
  <c r="BD14" i="10"/>
  <c r="AZ58" i="10"/>
  <c r="AY15" i="10"/>
  <c r="AO20" i="10"/>
  <c r="AK76" i="10"/>
  <c r="AO52" i="10"/>
  <c r="AO12" i="10"/>
  <c r="AY71" i="10"/>
  <c r="AY39" i="10"/>
  <c r="AY7" i="10"/>
  <c r="AZ50" i="10"/>
  <c r="AZ18" i="10"/>
  <c r="BJ48" i="10"/>
  <c r="AO56" i="10"/>
  <c r="AK56" i="10"/>
  <c r="AO76" i="10"/>
  <c r="AO36" i="10"/>
  <c r="AO8" i="10"/>
  <c r="AY63" i="10"/>
  <c r="AY31" i="10"/>
  <c r="AZ74" i="10"/>
  <c r="AZ42" i="10"/>
  <c r="AZ10" i="10"/>
  <c r="BE4" i="10"/>
  <c r="AJ16" i="10"/>
  <c r="AK36" i="10"/>
  <c r="AO72" i="10"/>
  <c r="AO28" i="10"/>
  <c r="AY55" i="10"/>
  <c r="AY23" i="10"/>
  <c r="AZ66" i="10"/>
  <c r="AZ34" i="10"/>
  <c r="BI36" i="10"/>
  <c r="AK72" i="10"/>
  <c r="AK52" i="10"/>
  <c r="AK28" i="10"/>
  <c r="AK8" i="10"/>
  <c r="AO68" i="10"/>
  <c r="AO44" i="10"/>
  <c r="AO24" i="10"/>
  <c r="AT77" i="10"/>
  <c r="AT61" i="10"/>
  <c r="AT45" i="10"/>
  <c r="AT29" i="10"/>
  <c r="AT13" i="10"/>
  <c r="AU73" i="10"/>
  <c r="AU57" i="10"/>
  <c r="AU41" i="10"/>
  <c r="AU25" i="10"/>
  <c r="AU9" i="10"/>
  <c r="AY78" i="10"/>
  <c r="AY70" i="10"/>
  <c r="AY62" i="10"/>
  <c r="AY54" i="10"/>
  <c r="AY46" i="10"/>
  <c r="AY38" i="10"/>
  <c r="AY30" i="10"/>
  <c r="AY22" i="10"/>
  <c r="AY14" i="10"/>
  <c r="AY6" i="10"/>
  <c r="AZ73" i="10"/>
  <c r="AZ65" i="10"/>
  <c r="AZ57" i="10"/>
  <c r="AZ49" i="10"/>
  <c r="AZ41" i="10"/>
  <c r="AZ33" i="10"/>
  <c r="AZ25" i="10"/>
  <c r="AZ17" i="10"/>
  <c r="AZ9" i="10"/>
  <c r="BD6" i="10"/>
  <c r="BE56" i="10"/>
  <c r="BE82" i="10" s="1"/>
  <c r="BI68" i="10"/>
  <c r="BJ16" i="10"/>
  <c r="AT65" i="10"/>
  <c r="AT49" i="10"/>
  <c r="AT33" i="10"/>
  <c r="AT17" i="10"/>
  <c r="BE64" i="10"/>
  <c r="AK68" i="10"/>
  <c r="AK44" i="10"/>
  <c r="AK24" i="10"/>
  <c r="AO60" i="10"/>
  <c r="AO40" i="10"/>
  <c r="AU69" i="10"/>
  <c r="AU53" i="10"/>
  <c r="AU37" i="10"/>
  <c r="AU21" i="10"/>
  <c r="AU5" i="10"/>
  <c r="AY75" i="10"/>
  <c r="AY67" i="10"/>
  <c r="AY59" i="10"/>
  <c r="AY51" i="10"/>
  <c r="AY43" i="10"/>
  <c r="AY35" i="10"/>
  <c r="AY27" i="10"/>
  <c r="AY19" i="10"/>
  <c r="AY11" i="10"/>
  <c r="BE76" i="10"/>
  <c r="AK60" i="10"/>
  <c r="AK40" i="10"/>
  <c r="AK20" i="10"/>
  <c r="AZ77" i="10"/>
  <c r="AZ69" i="10"/>
  <c r="AZ61" i="10"/>
  <c r="AZ53" i="10"/>
  <c r="AZ45" i="10"/>
  <c r="AZ37" i="10"/>
  <c r="AZ29" i="10"/>
  <c r="AZ21" i="10"/>
  <c r="AZ13" i="10"/>
  <c r="AZ5" i="10"/>
  <c r="BE72" i="10"/>
  <c r="AF81" i="10"/>
  <c r="AF79" i="10"/>
  <c r="AG79" i="10"/>
  <c r="AG81" i="10"/>
  <c r="AF80" i="10"/>
  <c r="AK78" i="10"/>
  <c r="AJ78" i="10"/>
  <c r="AG80" i="10"/>
  <c r="AJ77" i="10"/>
  <c r="AJ73" i="10"/>
  <c r="AJ69" i="10"/>
  <c r="AJ65" i="10"/>
  <c r="AJ61" i="10"/>
  <c r="AJ57" i="10"/>
  <c r="AJ53" i="10"/>
  <c r="AJ49" i="10"/>
  <c r="AJ45" i="10"/>
  <c r="AJ41" i="10"/>
  <c r="AJ37" i="10"/>
  <c r="AJ33" i="10"/>
  <c r="AJ29" i="10"/>
  <c r="AJ25" i="10"/>
  <c r="AJ21" i="10"/>
  <c r="AJ11" i="10"/>
  <c r="AJ5" i="10"/>
  <c r="AK71" i="10"/>
  <c r="AK55" i="10"/>
  <c r="AK39" i="10"/>
  <c r="AK23" i="10"/>
  <c r="AK17" i="10"/>
  <c r="AK7" i="10"/>
  <c r="AO71" i="10"/>
  <c r="AO66" i="10"/>
  <c r="AO55" i="10"/>
  <c r="AO50" i="10"/>
  <c r="AO39" i="10"/>
  <c r="AO34" i="10"/>
  <c r="AO23" i="10"/>
  <c r="AO18" i="10"/>
  <c r="AO7" i="10"/>
  <c r="AT76" i="10"/>
  <c r="AT70" i="10"/>
  <c r="AT60" i="10"/>
  <c r="AT54" i="10"/>
  <c r="AT44" i="10"/>
  <c r="AT38" i="10"/>
  <c r="AT28" i="10"/>
  <c r="AT22" i="10"/>
  <c r="AT12" i="10"/>
  <c r="AT6" i="10"/>
  <c r="AP75" i="10"/>
  <c r="AP67" i="10"/>
  <c r="AP59" i="10"/>
  <c r="AP51" i="10"/>
  <c r="AP43" i="10"/>
  <c r="AP35" i="10"/>
  <c r="AP27" i="10"/>
  <c r="AP19" i="10"/>
  <c r="AP11" i="10"/>
  <c r="AU78" i="10"/>
  <c r="AU62" i="10"/>
  <c r="AU46" i="10"/>
  <c r="AU30" i="10"/>
  <c r="AU14" i="10"/>
  <c r="AY76" i="10"/>
  <c r="AZ76" i="10"/>
  <c r="AY72" i="10"/>
  <c r="AZ72" i="10"/>
  <c r="AY68" i="10"/>
  <c r="AZ68" i="10"/>
  <c r="AY64" i="10"/>
  <c r="AZ64" i="10"/>
  <c r="AY60" i="10"/>
  <c r="AZ60" i="10"/>
  <c r="AY56" i="10"/>
  <c r="AZ56" i="10"/>
  <c r="AY52" i="10"/>
  <c r="AZ52" i="10"/>
  <c r="AY48" i="10"/>
  <c r="AZ48" i="10"/>
  <c r="AY44" i="10"/>
  <c r="AZ44" i="10"/>
  <c r="AY40" i="10"/>
  <c r="AZ40" i="10"/>
  <c r="AY36" i="10"/>
  <c r="AZ36" i="10"/>
  <c r="AY32" i="10"/>
  <c r="AZ32" i="10"/>
  <c r="AY28" i="10"/>
  <c r="AZ28" i="10"/>
  <c r="AY24" i="10"/>
  <c r="AZ24" i="10"/>
  <c r="AY20" i="10"/>
  <c r="AZ20" i="10"/>
  <c r="AY16" i="10"/>
  <c r="AZ16" i="10"/>
  <c r="AY12" i="10"/>
  <c r="AZ12" i="10"/>
  <c r="AY8" i="10"/>
  <c r="AZ8" i="10"/>
  <c r="AT4" i="10"/>
  <c r="BD78" i="10"/>
  <c r="BD70" i="10"/>
  <c r="BD62" i="10"/>
  <c r="BD54" i="10"/>
  <c r="BD46" i="10"/>
  <c r="BD38" i="10"/>
  <c r="BD30" i="10"/>
  <c r="BD22" i="10"/>
  <c r="BE25" i="10"/>
  <c r="AF82" i="10"/>
  <c r="AG82" i="10"/>
  <c r="AJ64" i="10"/>
  <c r="AJ48" i="10"/>
  <c r="AJ32" i="10"/>
  <c r="AJ15" i="10"/>
  <c r="AJ9" i="10"/>
  <c r="AK75" i="10"/>
  <c r="AK59" i="10"/>
  <c r="AK43" i="10"/>
  <c r="AK27" i="10"/>
  <c r="AO70" i="10"/>
  <c r="AO64" i="10"/>
  <c r="AO54" i="10"/>
  <c r="AO48" i="10"/>
  <c r="AO38" i="10"/>
  <c r="AO32" i="10"/>
  <c r="AO22" i="10"/>
  <c r="AO16" i="10"/>
  <c r="AO6" i="10"/>
  <c r="AT74" i="10"/>
  <c r="AT64" i="10"/>
  <c r="AT58" i="10"/>
  <c r="AT48" i="10"/>
  <c r="AT42" i="10"/>
  <c r="AT32" i="10"/>
  <c r="AT26" i="10"/>
  <c r="AT16" i="10"/>
  <c r="AT10" i="10"/>
  <c r="AP74" i="10"/>
  <c r="AP58" i="10"/>
  <c r="AP42" i="10"/>
  <c r="AP26" i="10"/>
  <c r="AP10" i="10"/>
  <c r="BD77" i="10"/>
  <c r="BD69" i="10"/>
  <c r="BD61" i="10"/>
  <c r="BD53" i="10"/>
  <c r="BD45" i="10"/>
  <c r="BD37" i="10"/>
  <c r="BD29" i="10"/>
  <c r="BD21" i="10"/>
  <c r="BD13" i="10"/>
  <c r="BD5" i="10"/>
  <c r="BI64" i="10"/>
  <c r="BI32" i="10"/>
  <c r="BJ76" i="10"/>
  <c r="BJ44" i="10"/>
  <c r="BJ12" i="10"/>
  <c r="AJ4" i="10"/>
  <c r="AJ67" i="10"/>
  <c r="AJ63" i="10"/>
  <c r="AJ51" i="10"/>
  <c r="AJ47" i="10"/>
  <c r="AJ35" i="10"/>
  <c r="AJ31" i="10"/>
  <c r="AJ19" i="10"/>
  <c r="AJ13" i="10"/>
  <c r="AO63" i="10"/>
  <c r="AO47" i="10"/>
  <c r="AO31" i="10"/>
  <c r="AO15" i="10"/>
  <c r="AT68" i="10"/>
  <c r="AT52" i="10"/>
  <c r="AT36" i="10"/>
  <c r="AT20" i="10"/>
  <c r="AP78" i="10"/>
  <c r="AU66" i="10"/>
  <c r="AU50" i="10"/>
  <c r="AU34" i="10"/>
  <c r="AU18" i="10"/>
  <c r="BD74" i="10"/>
  <c r="BD66" i="10"/>
  <c r="BD58" i="10"/>
  <c r="BD50" i="10"/>
  <c r="BD42" i="10"/>
  <c r="BD34" i="10"/>
  <c r="BD26" i="10"/>
  <c r="BD18" i="10"/>
  <c r="BD10" i="10"/>
  <c r="BE41" i="10"/>
  <c r="BE9" i="10"/>
  <c r="BI52" i="10"/>
  <c r="BI20" i="10"/>
  <c r="AK18" i="10"/>
  <c r="AJ18" i="10"/>
  <c r="AK14" i="10"/>
  <c r="AJ14" i="10"/>
  <c r="AK10" i="10"/>
  <c r="AJ10" i="10"/>
  <c r="AK6" i="10"/>
  <c r="AJ6" i="10"/>
  <c r="AJ74" i="10"/>
  <c r="AJ70" i="10"/>
  <c r="AJ66" i="10"/>
  <c r="AJ62" i="10"/>
  <c r="AJ58" i="10"/>
  <c r="AJ54" i="10"/>
  <c r="AJ50" i="10"/>
  <c r="AJ46" i="10"/>
  <c r="AJ42" i="10"/>
  <c r="AJ38" i="10"/>
  <c r="AJ34" i="10"/>
  <c r="AJ30" i="10"/>
  <c r="AJ26" i="10"/>
  <c r="AJ22" i="10"/>
  <c r="AO62" i="10"/>
  <c r="AO46" i="10"/>
  <c r="AO30" i="10"/>
  <c r="AO14" i="10"/>
  <c r="AU75" i="10"/>
  <c r="AT75" i="10"/>
  <c r="AU71" i="10"/>
  <c r="AT71" i="10"/>
  <c r="AU67" i="10"/>
  <c r="AT67" i="10"/>
  <c r="AU63" i="10"/>
  <c r="AT63" i="10"/>
  <c r="AU59" i="10"/>
  <c r="AT59" i="10"/>
  <c r="AU55" i="10"/>
  <c r="AT55" i="10"/>
  <c r="AU51" i="10"/>
  <c r="AT51" i="10"/>
  <c r="AU47" i="10"/>
  <c r="AT47" i="10"/>
  <c r="AU43" i="10"/>
  <c r="AT43" i="10"/>
  <c r="AU39" i="10"/>
  <c r="AT39" i="10"/>
  <c r="AU35" i="10"/>
  <c r="AT35" i="10"/>
  <c r="AU31" i="10"/>
  <c r="AT31" i="10"/>
  <c r="AU27" i="10"/>
  <c r="AT27" i="10"/>
  <c r="AU23" i="10"/>
  <c r="AT23" i="10"/>
  <c r="AU19" i="10"/>
  <c r="AT19" i="10"/>
  <c r="AU15" i="10"/>
  <c r="AT15" i="10"/>
  <c r="AU11" i="10"/>
  <c r="AT11" i="10"/>
  <c r="AU7" i="10"/>
  <c r="AT7" i="10"/>
  <c r="AT72" i="10"/>
  <c r="AT56" i="10"/>
  <c r="AT40" i="10"/>
  <c r="AT24" i="10"/>
  <c r="AT8" i="10"/>
  <c r="BD73" i="10"/>
  <c r="BD65" i="10"/>
  <c r="BD57" i="10"/>
  <c r="BD49" i="10"/>
  <c r="BD33" i="10"/>
  <c r="BD17" i="10"/>
  <c r="BI72" i="10"/>
  <c r="BJ72" i="10"/>
  <c r="BI56" i="10"/>
  <c r="BJ56" i="10"/>
  <c r="BI40" i="10"/>
  <c r="BJ40" i="10"/>
  <c r="BI24" i="10"/>
  <c r="BJ24" i="10"/>
  <c r="BI8" i="10"/>
  <c r="BJ8" i="10"/>
  <c r="AO4" i="10"/>
  <c r="BJ60" i="10"/>
  <c r="BJ28" i="10"/>
  <c r="AO77" i="10"/>
  <c r="AO73" i="10"/>
  <c r="AO69" i="10"/>
  <c r="AO65" i="10"/>
  <c r="AO61" i="10"/>
  <c r="AO57" i="10"/>
  <c r="AO53" i="10"/>
  <c r="AO49" i="10"/>
  <c r="AO45" i="10"/>
  <c r="AO41" i="10"/>
  <c r="AO37" i="10"/>
  <c r="AO33" i="10"/>
  <c r="AO29" i="10"/>
  <c r="AO25" i="10"/>
  <c r="AO21" i="10"/>
  <c r="AO17" i="10"/>
  <c r="AO13" i="10"/>
  <c r="AO9" i="10"/>
  <c r="AO5" i="10"/>
  <c r="AY4" i="10"/>
  <c r="BD68" i="10"/>
  <c r="BD60" i="10"/>
  <c r="BD52" i="10"/>
  <c r="BD48" i="10"/>
  <c r="BD44" i="10"/>
  <c r="BD40" i="10"/>
  <c r="BD36" i="10"/>
  <c r="BD32" i="10"/>
  <c r="BD28" i="10"/>
  <c r="BD24" i="10"/>
  <c r="BD20" i="10"/>
  <c r="BD16" i="10"/>
  <c r="BD12" i="10"/>
  <c r="BD8" i="10"/>
  <c r="BD75" i="10"/>
  <c r="BD71" i="10"/>
  <c r="BD67" i="10"/>
  <c r="BD63" i="10"/>
  <c r="BD59" i="10"/>
  <c r="BD55" i="10"/>
  <c r="BD51" i="10"/>
  <c r="BD47" i="10"/>
  <c r="BD43" i="10"/>
  <c r="BD39" i="10"/>
  <c r="BD35" i="10"/>
  <c r="BD31" i="10"/>
  <c r="BD27" i="10"/>
  <c r="BD23" i="10"/>
  <c r="BD19" i="10"/>
  <c r="BD15" i="10"/>
  <c r="BD11" i="10"/>
  <c r="BD7" i="10"/>
  <c r="BP4" i="10"/>
  <c r="BO4" i="10"/>
  <c r="BN4" i="10"/>
  <c r="BP75" i="10"/>
  <c r="BO75" i="10"/>
  <c r="BN75" i="10"/>
  <c r="BP71" i="10"/>
  <c r="BO71" i="10"/>
  <c r="BN71" i="10"/>
  <c r="BP67" i="10"/>
  <c r="BO67" i="10"/>
  <c r="BN67" i="10"/>
  <c r="BP63" i="10"/>
  <c r="BO63" i="10"/>
  <c r="BN63" i="10"/>
  <c r="BP59" i="10"/>
  <c r="BO59" i="10"/>
  <c r="BN59" i="10"/>
  <c r="BP55" i="10"/>
  <c r="BO55" i="10"/>
  <c r="BN55" i="10"/>
  <c r="BP51" i="10"/>
  <c r="BO51" i="10"/>
  <c r="BN51" i="10"/>
  <c r="BP47" i="10"/>
  <c r="BO47" i="10"/>
  <c r="BN47" i="10"/>
  <c r="BP43" i="10"/>
  <c r="BO43" i="10"/>
  <c r="BN43" i="10"/>
  <c r="BP39" i="10"/>
  <c r="BO39" i="10"/>
  <c r="BN39" i="10"/>
  <c r="BP35" i="10"/>
  <c r="BO35" i="10"/>
  <c r="BN35" i="10"/>
  <c r="BP31" i="10"/>
  <c r="BO31" i="10"/>
  <c r="BN31" i="10"/>
  <c r="BP27" i="10"/>
  <c r="BO27" i="10"/>
  <c r="BN27" i="10"/>
  <c r="BP23" i="10"/>
  <c r="BO23" i="10"/>
  <c r="BN23" i="10"/>
  <c r="BP19" i="10"/>
  <c r="BO19" i="10"/>
  <c r="BN19" i="10"/>
  <c r="BP15" i="10"/>
  <c r="BO15" i="10"/>
  <c r="BN15" i="10"/>
  <c r="BI78" i="10"/>
  <c r="BI74" i="10"/>
  <c r="BI70" i="10"/>
  <c r="BI66" i="10"/>
  <c r="BI62" i="10"/>
  <c r="BI58" i="10"/>
  <c r="BI54" i="10"/>
  <c r="BI50" i="10"/>
  <c r="BI46" i="10"/>
  <c r="BI42" i="10"/>
  <c r="BI38" i="10"/>
  <c r="BI34" i="10"/>
  <c r="BI30" i="10"/>
  <c r="BI26" i="10"/>
  <c r="BI22" i="10"/>
  <c r="BI18" i="10"/>
  <c r="BI14" i="10"/>
  <c r="BI10" i="10"/>
  <c r="BI6" i="10"/>
  <c r="BN77" i="10"/>
  <c r="BN53" i="10"/>
  <c r="BN37" i="10"/>
  <c r="BN21" i="10"/>
  <c r="BN5" i="10"/>
  <c r="BO65" i="10"/>
  <c r="BO49" i="10"/>
  <c r="BO33" i="10"/>
  <c r="BO17" i="10"/>
  <c r="BP77" i="10"/>
  <c r="BP61" i="10"/>
  <c r="BP45" i="10"/>
  <c r="BP29" i="10"/>
  <c r="BP13" i="10"/>
  <c r="BI77" i="10"/>
  <c r="BI73" i="10"/>
  <c r="BI69" i="10"/>
  <c r="BI65" i="10"/>
  <c r="BI61" i="10"/>
  <c r="BI57" i="10"/>
  <c r="BI53" i="10"/>
  <c r="BI49" i="10"/>
  <c r="BI45" i="10"/>
  <c r="BI41" i="10"/>
  <c r="BI37" i="10"/>
  <c r="BI33" i="10"/>
  <c r="BI29" i="10"/>
  <c r="BI25" i="10"/>
  <c r="BI21" i="10"/>
  <c r="BI17" i="10"/>
  <c r="BI13" i="10"/>
  <c r="BI9" i="10"/>
  <c r="BI5" i="10"/>
  <c r="BP76" i="10"/>
  <c r="BO76" i="10"/>
  <c r="BN76" i="10"/>
  <c r="BP72" i="10"/>
  <c r="BO72" i="10"/>
  <c r="BN72" i="10"/>
  <c r="BP68" i="10"/>
  <c r="BO68" i="10"/>
  <c r="BN68" i="10"/>
  <c r="BP64" i="10"/>
  <c r="BO64" i="10"/>
  <c r="BN64" i="10"/>
  <c r="BP60" i="10"/>
  <c r="BO60" i="10"/>
  <c r="BN60" i="10"/>
  <c r="BP56" i="10"/>
  <c r="BO56" i="10"/>
  <c r="BN56" i="10"/>
  <c r="BP52" i="10"/>
  <c r="BO52" i="10"/>
  <c r="BN52" i="10"/>
  <c r="BP48" i="10"/>
  <c r="BO48" i="10"/>
  <c r="BN48" i="10"/>
  <c r="BP44" i="10"/>
  <c r="BO44" i="10"/>
  <c r="BN44" i="10"/>
  <c r="BP40" i="10"/>
  <c r="BO40" i="10"/>
  <c r="BN40" i="10"/>
  <c r="BP36" i="10"/>
  <c r="BO36" i="10"/>
  <c r="BN36" i="10"/>
  <c r="BP32" i="10"/>
  <c r="BO32" i="10"/>
  <c r="BN32" i="10"/>
  <c r="BP28" i="10"/>
  <c r="BO28" i="10"/>
  <c r="BN28" i="10"/>
  <c r="BP24" i="10"/>
  <c r="BO24" i="10"/>
  <c r="BN24" i="10"/>
  <c r="BP20" i="10"/>
  <c r="BO20" i="10"/>
  <c r="BN20" i="10"/>
  <c r="BP16" i="10"/>
  <c r="BO16" i="10"/>
  <c r="BN16" i="10"/>
  <c r="BP12" i="10"/>
  <c r="BO12" i="10"/>
  <c r="BN12" i="10"/>
  <c r="BP8" i="10"/>
  <c r="BO8" i="10"/>
  <c r="BN8" i="10"/>
  <c r="BN69" i="10"/>
  <c r="BN61" i="10"/>
  <c r="BN49" i="10"/>
  <c r="BN33" i="10"/>
  <c r="BN17" i="10"/>
  <c r="BO45" i="10"/>
  <c r="BO29" i="10"/>
  <c r="BO13" i="10"/>
  <c r="BP73" i="10"/>
  <c r="BP57" i="10"/>
  <c r="BP41" i="10"/>
  <c r="BP25" i="10"/>
  <c r="BP9" i="10"/>
  <c r="BP11" i="10"/>
  <c r="BO11" i="10"/>
  <c r="BN11" i="10"/>
  <c r="BP7" i="10"/>
  <c r="BO7" i="10"/>
  <c r="BN7" i="10"/>
  <c r="BO73" i="10"/>
  <c r="BO57" i="10"/>
  <c r="BO41" i="10"/>
  <c r="BO25" i="10"/>
  <c r="BO9" i="10"/>
  <c r="BP69" i="10"/>
  <c r="BP53" i="10"/>
  <c r="BP37" i="10"/>
  <c r="BP21" i="10"/>
  <c r="BP5" i="10"/>
  <c r="BI4" i="10"/>
  <c r="BI75" i="10"/>
  <c r="BI71" i="10"/>
  <c r="BI67" i="10"/>
  <c r="BI63" i="10"/>
  <c r="BI59" i="10"/>
  <c r="BI55" i="10"/>
  <c r="BI51" i="10"/>
  <c r="BI47" i="10"/>
  <c r="BI43" i="10"/>
  <c r="BI39" i="10"/>
  <c r="BI35" i="10"/>
  <c r="BI31" i="10"/>
  <c r="BI27" i="10"/>
  <c r="BI23" i="10"/>
  <c r="BI19" i="10"/>
  <c r="BI15" i="10"/>
  <c r="BI11" i="10"/>
  <c r="BI7" i="10"/>
  <c r="BP78" i="10"/>
  <c r="BO78" i="10"/>
  <c r="BP74" i="10"/>
  <c r="BO74" i="10"/>
  <c r="BP70" i="10"/>
  <c r="BO70" i="10"/>
  <c r="BP66" i="10"/>
  <c r="BO66" i="10"/>
  <c r="BP62" i="10"/>
  <c r="BO62" i="10"/>
  <c r="BP58" i="10"/>
  <c r="BO58" i="10"/>
  <c r="BP54" i="10"/>
  <c r="BO54" i="10"/>
  <c r="BN54" i="10"/>
  <c r="BP50" i="10"/>
  <c r="BO50" i="10"/>
  <c r="BN50" i="10"/>
  <c r="BP46" i="10"/>
  <c r="BO46" i="10"/>
  <c r="BN46" i="10"/>
  <c r="BP42" i="10"/>
  <c r="BO42" i="10"/>
  <c r="BN42" i="10"/>
  <c r="BP38" i="10"/>
  <c r="BO38" i="10"/>
  <c r="BN38" i="10"/>
  <c r="BP34" i="10"/>
  <c r="BO34" i="10"/>
  <c r="BN34" i="10"/>
  <c r="BP30" i="10"/>
  <c r="BO30" i="10"/>
  <c r="BN30" i="10"/>
  <c r="BP26" i="10"/>
  <c r="BO26" i="10"/>
  <c r="BN26" i="10"/>
  <c r="BP22" i="10"/>
  <c r="BO22" i="10"/>
  <c r="BN22" i="10"/>
  <c r="BP18" i="10"/>
  <c r="BO18" i="10"/>
  <c r="BN18" i="10"/>
  <c r="BP14" i="10"/>
  <c r="BO14" i="10"/>
  <c r="BN14" i="10"/>
  <c r="BP10" i="10"/>
  <c r="BO10" i="10"/>
  <c r="BN10" i="10"/>
  <c r="BP6" i="10"/>
  <c r="BO6" i="10"/>
  <c r="BN6" i="10"/>
  <c r="BN78" i="10"/>
  <c r="BN65" i="10"/>
  <c r="R30" i="3"/>
  <c r="Q30" i="3"/>
  <c r="P30" i="3"/>
  <c r="P31" i="3"/>
  <c r="Z5" i="10"/>
  <c r="AC5" i="10" s="1"/>
  <c r="Z6" i="10"/>
  <c r="AB6" i="10" s="1"/>
  <c r="Z7" i="10"/>
  <c r="AA7" i="10" s="1"/>
  <c r="Z8" i="10"/>
  <c r="AA8" i="10" s="1"/>
  <c r="Z9" i="10"/>
  <c r="AC9" i="10" s="1"/>
  <c r="Z10" i="10"/>
  <c r="AB10" i="10" s="1"/>
  <c r="Z11" i="10"/>
  <c r="AA11" i="10" s="1"/>
  <c r="Z12" i="10"/>
  <c r="AA12" i="10" s="1"/>
  <c r="Z13" i="10"/>
  <c r="AC13" i="10" s="1"/>
  <c r="Z14" i="10"/>
  <c r="AB14" i="10" s="1"/>
  <c r="Z15" i="10"/>
  <c r="AA15" i="10" s="1"/>
  <c r="Z16" i="10"/>
  <c r="AA16" i="10" s="1"/>
  <c r="Z17" i="10"/>
  <c r="AC17" i="10" s="1"/>
  <c r="Z18" i="10"/>
  <c r="AB18" i="10" s="1"/>
  <c r="Z19" i="10"/>
  <c r="AA19" i="10" s="1"/>
  <c r="Z20" i="10"/>
  <c r="AA20" i="10" s="1"/>
  <c r="Z21" i="10"/>
  <c r="AC21" i="10" s="1"/>
  <c r="Z22" i="10"/>
  <c r="AB22" i="10" s="1"/>
  <c r="Z23" i="10"/>
  <c r="AA23" i="10" s="1"/>
  <c r="Z24" i="10"/>
  <c r="AA24" i="10" s="1"/>
  <c r="Z25" i="10"/>
  <c r="AC25" i="10" s="1"/>
  <c r="Z26" i="10"/>
  <c r="AB26" i="10" s="1"/>
  <c r="Z27" i="10"/>
  <c r="AA27" i="10" s="1"/>
  <c r="Z28" i="10"/>
  <c r="AA28" i="10" s="1"/>
  <c r="Z29" i="10"/>
  <c r="AC29" i="10" s="1"/>
  <c r="Z30" i="10"/>
  <c r="AB30" i="10" s="1"/>
  <c r="Z31" i="10"/>
  <c r="AA31" i="10" s="1"/>
  <c r="Z32" i="10"/>
  <c r="AA32" i="10" s="1"/>
  <c r="Z33" i="10"/>
  <c r="AC33" i="10" s="1"/>
  <c r="Z34" i="10"/>
  <c r="AB34" i="10" s="1"/>
  <c r="Z35" i="10"/>
  <c r="AA35" i="10" s="1"/>
  <c r="Z36" i="10"/>
  <c r="AA36" i="10" s="1"/>
  <c r="Z37" i="10"/>
  <c r="AC37" i="10" s="1"/>
  <c r="Z38" i="10"/>
  <c r="AB38" i="10" s="1"/>
  <c r="Z39" i="10"/>
  <c r="AA39" i="10" s="1"/>
  <c r="Z40" i="10"/>
  <c r="AA40" i="10" s="1"/>
  <c r="Z41" i="10"/>
  <c r="AC41" i="10" s="1"/>
  <c r="Z42" i="10"/>
  <c r="AB42" i="10" s="1"/>
  <c r="Z43" i="10"/>
  <c r="AA43" i="10" s="1"/>
  <c r="Z44" i="10"/>
  <c r="AA44" i="10" s="1"/>
  <c r="Z45" i="10"/>
  <c r="AC45" i="10" s="1"/>
  <c r="Z46" i="10"/>
  <c r="AB46" i="10" s="1"/>
  <c r="Z47" i="10"/>
  <c r="AA47" i="10" s="1"/>
  <c r="Z48" i="10"/>
  <c r="AA48" i="10" s="1"/>
  <c r="Z49" i="10"/>
  <c r="AC49" i="10" s="1"/>
  <c r="Z50" i="10"/>
  <c r="AB50" i="10" s="1"/>
  <c r="Z51" i="10"/>
  <c r="AA51" i="10" s="1"/>
  <c r="Z52" i="10"/>
  <c r="AA52" i="10" s="1"/>
  <c r="Z53" i="10"/>
  <c r="AC53" i="10" s="1"/>
  <c r="Z54" i="10"/>
  <c r="AB54" i="10" s="1"/>
  <c r="Z55" i="10"/>
  <c r="AA55" i="10" s="1"/>
  <c r="Z56" i="10"/>
  <c r="AA56" i="10" s="1"/>
  <c r="Z57" i="10"/>
  <c r="AC57" i="10" s="1"/>
  <c r="Z58" i="10"/>
  <c r="AB58" i="10" s="1"/>
  <c r="Z59" i="10"/>
  <c r="AA59" i="10" s="1"/>
  <c r="Z60" i="10"/>
  <c r="AA60" i="10" s="1"/>
  <c r="Z61" i="10"/>
  <c r="AC61" i="10" s="1"/>
  <c r="Z62" i="10"/>
  <c r="AB62" i="10" s="1"/>
  <c r="Z63" i="10"/>
  <c r="AA63" i="10" s="1"/>
  <c r="Z64" i="10"/>
  <c r="AA64" i="10" s="1"/>
  <c r="Z65" i="10"/>
  <c r="AC65" i="10" s="1"/>
  <c r="Z66" i="10"/>
  <c r="AB66" i="10" s="1"/>
  <c r="Z67" i="10"/>
  <c r="AA67" i="10" s="1"/>
  <c r="Z68" i="10"/>
  <c r="AA68" i="10" s="1"/>
  <c r="Z69" i="10"/>
  <c r="AC69" i="10" s="1"/>
  <c r="Z70" i="10"/>
  <c r="AB70" i="10" s="1"/>
  <c r="Z71" i="10"/>
  <c r="AA71" i="10" s="1"/>
  <c r="Z72" i="10"/>
  <c r="AA72" i="10" s="1"/>
  <c r="Z73" i="10"/>
  <c r="AC73" i="10" s="1"/>
  <c r="Z74" i="10"/>
  <c r="AB74" i="10" s="1"/>
  <c r="Z75" i="10"/>
  <c r="AA75" i="10" s="1"/>
  <c r="Z76" i="10"/>
  <c r="AA76" i="10" s="1"/>
  <c r="Z77" i="10"/>
  <c r="AC77" i="10" s="1"/>
  <c r="Z78" i="10"/>
  <c r="AB78" i="10" s="1"/>
  <c r="Z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4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W5" i="3"/>
  <c r="V5" i="5"/>
  <c r="V5" i="3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BE81" i="10" l="1"/>
  <c r="AP81" i="10"/>
  <c r="R126" i="10"/>
  <c r="R125" i="10"/>
  <c r="R127" i="10"/>
  <c r="BJ80" i="10"/>
  <c r="AP80" i="10"/>
  <c r="BE79" i="10"/>
  <c r="AU80" i="10"/>
  <c r="AZ79" i="10"/>
  <c r="AZ82" i="10"/>
  <c r="AY82" i="10"/>
  <c r="AZ80" i="10"/>
  <c r="AP79" i="10"/>
  <c r="AY80" i="10"/>
  <c r="AK81" i="10"/>
  <c r="BO82" i="10"/>
  <c r="BD80" i="10"/>
  <c r="BJ79" i="10"/>
  <c r="AU79" i="10"/>
  <c r="BJ82" i="10"/>
  <c r="AT82" i="10"/>
  <c r="AZ81" i="10"/>
  <c r="BN80" i="10"/>
  <c r="AK82" i="10"/>
  <c r="BO80" i="10"/>
  <c r="BD81" i="10"/>
  <c r="BP80" i="10"/>
  <c r="AU82" i="10"/>
  <c r="AK80" i="10"/>
  <c r="AP82" i="10"/>
  <c r="U79" i="10"/>
  <c r="U81" i="10"/>
  <c r="AA78" i="10"/>
  <c r="AA74" i="10"/>
  <c r="AA70" i="10"/>
  <c r="AA66" i="10"/>
  <c r="AA62" i="10"/>
  <c r="AA58" i="10"/>
  <c r="AA54" i="10"/>
  <c r="AA50" i="10"/>
  <c r="AA46" i="10"/>
  <c r="AA42" i="10"/>
  <c r="AA38" i="10"/>
  <c r="AA34" i="10"/>
  <c r="AA30" i="10"/>
  <c r="AA26" i="10"/>
  <c r="AA22" i="10"/>
  <c r="AA18" i="10"/>
  <c r="AA14" i="10"/>
  <c r="AA10" i="10"/>
  <c r="AA6" i="10"/>
  <c r="AB77" i="10"/>
  <c r="AB73" i="10"/>
  <c r="AB69" i="10"/>
  <c r="AB65" i="10"/>
  <c r="AB61" i="10"/>
  <c r="AB57" i="10"/>
  <c r="AB53" i="10"/>
  <c r="AB49" i="10"/>
  <c r="AB45" i="10"/>
  <c r="AB41" i="10"/>
  <c r="AB37" i="10"/>
  <c r="AB33" i="10"/>
  <c r="AB29" i="10"/>
  <c r="AB25" i="10"/>
  <c r="AB21" i="10"/>
  <c r="AB17" i="10"/>
  <c r="AB13" i="10"/>
  <c r="AB9" i="10"/>
  <c r="AB5" i="10"/>
  <c r="AC76" i="10"/>
  <c r="AC72" i="10"/>
  <c r="AC68" i="10"/>
  <c r="AC64" i="10"/>
  <c r="AC60" i="10"/>
  <c r="AC56" i="10"/>
  <c r="AC52" i="10"/>
  <c r="AC48" i="10"/>
  <c r="AC44" i="10"/>
  <c r="AC40" i="10"/>
  <c r="AC36" i="10"/>
  <c r="AC32" i="10"/>
  <c r="AC28" i="10"/>
  <c r="AC24" i="10"/>
  <c r="AC20" i="10"/>
  <c r="AC16" i="10"/>
  <c r="AC12" i="10"/>
  <c r="AC8" i="10"/>
  <c r="BP82" i="10"/>
  <c r="BI80" i="10"/>
  <c r="BO81" i="10"/>
  <c r="BO79" i="10"/>
  <c r="AU81" i="10"/>
  <c r="BD82" i="10"/>
  <c r="AT81" i="10"/>
  <c r="AT79" i="10"/>
  <c r="T80" i="10"/>
  <c r="U80" i="10"/>
  <c r="AA77" i="10"/>
  <c r="AA73" i="10"/>
  <c r="AA69" i="10"/>
  <c r="AA65" i="10"/>
  <c r="AA61" i="10"/>
  <c r="AA57" i="10"/>
  <c r="AA53" i="10"/>
  <c r="AA49" i="10"/>
  <c r="AA45" i="10"/>
  <c r="AA41" i="10"/>
  <c r="AA37" i="10"/>
  <c r="AA33" i="10"/>
  <c r="AA29" i="10"/>
  <c r="AA25" i="10"/>
  <c r="AA21" i="10"/>
  <c r="AA17" i="10"/>
  <c r="AA13" i="10"/>
  <c r="AA9" i="10"/>
  <c r="AA5" i="10"/>
  <c r="AB76" i="10"/>
  <c r="AB72" i="10"/>
  <c r="AB68" i="10"/>
  <c r="AB64" i="10"/>
  <c r="AB60" i="10"/>
  <c r="AB56" i="10"/>
  <c r="AB52" i="10"/>
  <c r="AB48" i="10"/>
  <c r="AB44" i="10"/>
  <c r="AB40" i="10"/>
  <c r="AB36" i="10"/>
  <c r="AB32" i="10"/>
  <c r="AB28" i="10"/>
  <c r="AB24" i="10"/>
  <c r="AB20" i="10"/>
  <c r="AB16" i="10"/>
  <c r="AB12" i="10"/>
  <c r="AB8" i="10"/>
  <c r="AC75" i="10"/>
  <c r="AC71" i="10"/>
  <c r="AC67" i="10"/>
  <c r="AC63" i="10"/>
  <c r="AC59" i="10"/>
  <c r="AC55" i="10"/>
  <c r="AC51" i="10"/>
  <c r="AC47" i="10"/>
  <c r="AC43" i="10"/>
  <c r="AC39" i="10"/>
  <c r="AC35" i="10"/>
  <c r="AC31" i="10"/>
  <c r="AC27" i="10"/>
  <c r="AC23" i="10"/>
  <c r="AC19" i="10"/>
  <c r="AC15" i="10"/>
  <c r="AC11" i="10"/>
  <c r="AC7" i="10"/>
  <c r="BP79" i="10"/>
  <c r="BP81" i="10"/>
  <c r="BJ81" i="10"/>
  <c r="AY81" i="10"/>
  <c r="AY79" i="10"/>
  <c r="BE80" i="10"/>
  <c r="K91" i="10" s="1"/>
  <c r="AO80" i="10"/>
  <c r="AJ82" i="10"/>
  <c r="I86" i="10"/>
  <c r="T82" i="10"/>
  <c r="U82" i="10"/>
  <c r="AB75" i="10"/>
  <c r="AB71" i="10"/>
  <c r="AB67" i="10"/>
  <c r="AB63" i="10"/>
  <c r="AB59" i="10"/>
  <c r="AB55" i="10"/>
  <c r="AB51" i="10"/>
  <c r="AB47" i="10"/>
  <c r="AB43" i="10"/>
  <c r="AB39" i="10"/>
  <c r="AB35" i="10"/>
  <c r="AB31" i="10"/>
  <c r="AB27" i="10"/>
  <c r="AB23" i="10"/>
  <c r="AB19" i="10"/>
  <c r="AB15" i="10"/>
  <c r="AB11" i="10"/>
  <c r="AB7" i="10"/>
  <c r="AC78" i="10"/>
  <c r="AC74" i="10"/>
  <c r="AC70" i="10"/>
  <c r="AC66" i="10"/>
  <c r="AC62" i="10"/>
  <c r="AC58" i="10"/>
  <c r="AC54" i="10"/>
  <c r="AC50" i="10"/>
  <c r="AC46" i="10"/>
  <c r="AC42" i="10"/>
  <c r="AC38" i="10"/>
  <c r="AC34" i="10"/>
  <c r="AC30" i="10"/>
  <c r="AC26" i="10"/>
  <c r="AC22" i="10"/>
  <c r="AC18" i="10"/>
  <c r="AC14" i="10"/>
  <c r="AC10" i="10"/>
  <c r="AC6" i="10"/>
  <c r="AO82" i="10"/>
  <c r="AJ81" i="10"/>
  <c r="AJ79" i="10"/>
  <c r="BD79" i="10"/>
  <c r="K86" i="10"/>
  <c r="D86" i="10" s="1"/>
  <c r="AK79" i="10"/>
  <c r="T79" i="10"/>
  <c r="T81" i="10"/>
  <c r="AC4" i="10"/>
  <c r="AB4" i="10"/>
  <c r="AA4" i="10"/>
  <c r="BI79" i="10"/>
  <c r="BI81" i="10"/>
  <c r="BI82" i="10"/>
  <c r="BN82" i="10"/>
  <c r="BN81" i="10"/>
  <c r="BN79" i="10"/>
  <c r="AO79" i="10"/>
  <c r="AO81" i="10"/>
  <c r="AJ80" i="10"/>
  <c r="AT80" i="10"/>
  <c r="W5" i="5"/>
  <c r="AF37" i="9"/>
  <c r="AF30" i="9"/>
  <c r="AF31" i="9"/>
  <c r="AF32" i="9"/>
  <c r="AF33" i="9"/>
  <c r="AF34" i="9"/>
  <c r="AF35" i="9"/>
  <c r="AF36" i="9"/>
  <c r="AF29" i="9"/>
  <c r="AE36" i="9"/>
  <c r="AE35" i="9"/>
  <c r="AE34" i="9"/>
  <c r="AE32" i="9"/>
  <c r="AE31" i="9"/>
  <c r="AE30" i="9"/>
  <c r="AE29" i="9"/>
  <c r="AE33" i="9"/>
  <c r="AJ25" i="9"/>
  <c r="AF25" i="9"/>
  <c r="AJ24" i="9"/>
  <c r="AJ17" i="9"/>
  <c r="AJ18" i="9"/>
  <c r="AJ19" i="9"/>
  <c r="AJ20" i="9"/>
  <c r="AJ21" i="9"/>
  <c r="AJ22" i="9"/>
  <c r="AJ23" i="9"/>
  <c r="AJ16" i="9"/>
  <c r="AI23" i="9"/>
  <c r="AI22" i="9"/>
  <c r="AI21" i="9"/>
  <c r="AI19" i="9"/>
  <c r="AI18" i="9"/>
  <c r="AI20" i="9"/>
  <c r="AI17" i="9"/>
  <c r="AI16" i="9"/>
  <c r="V30" i="9"/>
  <c r="V31" i="9"/>
  <c r="V32" i="9"/>
  <c r="V33" i="9"/>
  <c r="V34" i="9"/>
  <c r="V35" i="9"/>
  <c r="V36" i="9"/>
  <c r="V29" i="9"/>
  <c r="S30" i="9"/>
  <c r="S31" i="9"/>
  <c r="S32" i="9"/>
  <c r="S33" i="9"/>
  <c r="S34" i="9"/>
  <c r="S35" i="9"/>
  <c r="S36" i="9"/>
  <c r="S29" i="9"/>
  <c r="Q29" i="9"/>
  <c r="O30" i="9"/>
  <c r="O31" i="9"/>
  <c r="O32" i="9"/>
  <c r="O33" i="9"/>
  <c r="O34" i="9"/>
  <c r="O35" i="9"/>
  <c r="O36" i="9"/>
  <c r="O29" i="9"/>
  <c r="Q30" i="9"/>
  <c r="Q31" i="9"/>
  <c r="Q32" i="9"/>
  <c r="Q33" i="9"/>
  <c r="Q34" i="9"/>
  <c r="Q35" i="9"/>
  <c r="Q36" i="9"/>
  <c r="V28" i="9"/>
  <c r="AD34" i="9"/>
  <c r="AD32" i="9"/>
  <c r="AD31" i="9"/>
  <c r="AD30" i="9"/>
  <c r="AE18" i="9"/>
  <c r="AF18" i="9" s="1"/>
  <c r="G11" i="9"/>
  <c r="AD17" i="9"/>
  <c r="AE17" i="9" s="1"/>
  <c r="AF17" i="9" s="1"/>
  <c r="AD18" i="9"/>
  <c r="AD19" i="9"/>
  <c r="AE19" i="9" s="1"/>
  <c r="AF19" i="9" s="1"/>
  <c r="AD20" i="9"/>
  <c r="AE20" i="9" s="1"/>
  <c r="AF20" i="9" s="1"/>
  <c r="AD21" i="9"/>
  <c r="AE21" i="9" s="1"/>
  <c r="AF21" i="9" s="1"/>
  <c r="AD22" i="9"/>
  <c r="AE22" i="9" s="1"/>
  <c r="AF22" i="9" s="1"/>
  <c r="AD23" i="9"/>
  <c r="AE23" i="9" s="1"/>
  <c r="AF23" i="9" s="1"/>
  <c r="AD16" i="9"/>
  <c r="V17" i="9"/>
  <c r="V18" i="9"/>
  <c r="V20" i="9"/>
  <c r="V21" i="9"/>
  <c r="V22" i="9"/>
  <c r="S17" i="9"/>
  <c r="S18" i="9"/>
  <c r="S19" i="9"/>
  <c r="S21" i="9"/>
  <c r="S22" i="9"/>
  <c r="Q17" i="9"/>
  <c r="Q18" i="9"/>
  <c r="Q19" i="9"/>
  <c r="Q20" i="9"/>
  <c r="Q21" i="9"/>
  <c r="Q22" i="9"/>
  <c r="Q23" i="9"/>
  <c r="O17" i="9"/>
  <c r="O18" i="9"/>
  <c r="O19" i="9"/>
  <c r="O21" i="9"/>
  <c r="O22" i="9"/>
  <c r="V4" i="9"/>
  <c r="I40" i="9"/>
  <c r="F40" i="9"/>
  <c r="H40" i="9"/>
  <c r="F39" i="9"/>
  <c r="F38" i="9"/>
  <c r="G38" i="9" s="1"/>
  <c r="F37" i="9"/>
  <c r="G37" i="9" s="1"/>
  <c r="H37" i="9" s="1"/>
  <c r="F36" i="9"/>
  <c r="G36" i="9" s="1"/>
  <c r="H36" i="9" s="1"/>
  <c r="F35" i="9"/>
  <c r="F34" i="9"/>
  <c r="G34" i="9" s="1"/>
  <c r="F33" i="9"/>
  <c r="G33" i="9" s="1"/>
  <c r="H33" i="9" s="1"/>
  <c r="F32" i="9"/>
  <c r="G32" i="9" s="1"/>
  <c r="H32" i="9" s="1"/>
  <c r="G21" i="9"/>
  <c r="G28" i="9"/>
  <c r="H28" i="9" s="1"/>
  <c r="H27" i="9"/>
  <c r="G27" i="9"/>
  <c r="G26" i="9"/>
  <c r="H26" i="9" s="1"/>
  <c r="H25" i="9"/>
  <c r="G25" i="9"/>
  <c r="G24" i="9"/>
  <c r="H24" i="9" s="1"/>
  <c r="H23" i="9"/>
  <c r="G23" i="9"/>
  <c r="G22" i="9"/>
  <c r="H22" i="9" s="1"/>
  <c r="H21" i="9"/>
  <c r="G15" i="9"/>
  <c r="H15" i="9" s="1"/>
  <c r="G12" i="9"/>
  <c r="H12" i="9" s="1"/>
  <c r="G14" i="9"/>
  <c r="F22" i="9"/>
  <c r="F23" i="9"/>
  <c r="F24" i="9"/>
  <c r="F25" i="9"/>
  <c r="F26" i="9"/>
  <c r="F27" i="9"/>
  <c r="F28" i="9"/>
  <c r="F21" i="9"/>
  <c r="H14" i="9"/>
  <c r="H11" i="9"/>
  <c r="F12" i="9"/>
  <c r="F13" i="9"/>
  <c r="G13" i="9" s="1"/>
  <c r="H13" i="9" s="1"/>
  <c r="F14" i="9"/>
  <c r="F15" i="9"/>
  <c r="F16" i="9"/>
  <c r="G16" i="9" s="1"/>
  <c r="H16" i="9" s="1"/>
  <c r="F17" i="9"/>
  <c r="F18" i="9"/>
  <c r="G18" i="9" s="1"/>
  <c r="H18" i="9" s="1"/>
  <c r="F11" i="9"/>
  <c r="AY126" i="5"/>
  <c r="AR126" i="5"/>
  <c r="AY123" i="5"/>
  <c r="N56" i="5"/>
  <c r="K92" i="10" l="1"/>
  <c r="I84" i="10"/>
  <c r="AA80" i="10"/>
  <c r="AC80" i="10"/>
  <c r="AA82" i="10"/>
  <c r="K89" i="10"/>
  <c r="K93" i="10"/>
  <c r="K90" i="10"/>
  <c r="I89" i="10"/>
  <c r="K87" i="10"/>
  <c r="K88" i="10"/>
  <c r="AC82" i="10"/>
  <c r="M93" i="10"/>
  <c r="AB80" i="10"/>
  <c r="I87" i="10"/>
  <c r="AA79" i="10"/>
  <c r="AA81" i="10"/>
  <c r="AB81" i="10"/>
  <c r="AB79" i="10"/>
  <c r="I93" i="10"/>
  <c r="K84" i="10"/>
  <c r="I90" i="10"/>
  <c r="I88" i="10"/>
  <c r="I92" i="10"/>
  <c r="D92" i="10" s="1"/>
  <c r="I91" i="10"/>
  <c r="D91" i="10" s="1"/>
  <c r="AC81" i="10"/>
  <c r="AC79" i="10"/>
  <c r="AB82" i="10"/>
  <c r="AD24" i="9"/>
  <c r="AE16" i="9"/>
  <c r="AF16" i="9" s="1"/>
  <c r="AF24" i="9" s="1"/>
  <c r="AD29" i="9"/>
  <c r="AD33" i="9"/>
  <c r="AD35" i="9"/>
  <c r="AD36" i="9"/>
  <c r="H17" i="9"/>
  <c r="G17" i="9"/>
  <c r="F19" i="9"/>
  <c r="G35" i="9"/>
  <c r="H35" i="9" s="1"/>
  <c r="H34" i="9"/>
  <c r="H38" i="9"/>
  <c r="G39" i="9"/>
  <c r="H39" i="9" s="1"/>
  <c r="H29" i="9"/>
  <c r="H19" i="9"/>
  <c r="AM52" i="5"/>
  <c r="BT110" i="5"/>
  <c r="BT97" i="5"/>
  <c r="BT85" i="5"/>
  <c r="BT73" i="5"/>
  <c r="BT61" i="5"/>
  <c r="BI109" i="5"/>
  <c r="BI97" i="5"/>
  <c r="BI85" i="5"/>
  <c r="BI73" i="5"/>
  <c r="BI61" i="5"/>
  <c r="BI49" i="5"/>
  <c r="BI37" i="5"/>
  <c r="D89" i="10" l="1"/>
  <c r="D87" i="10"/>
  <c r="D90" i="10"/>
  <c r="D84" i="10"/>
  <c r="D88" i="10"/>
  <c r="D93" i="10"/>
  <c r="M85" i="10"/>
  <c r="K85" i="10"/>
  <c r="I85" i="10"/>
  <c r="AD37" i="9"/>
  <c r="H20" i="9"/>
  <c r="BU93" i="5"/>
  <c r="BU45" i="5"/>
  <c r="BU106" i="5"/>
  <c r="BU69" i="5"/>
  <c r="BJ57" i="5"/>
  <c r="BG45" i="5"/>
  <c r="BJ45" i="5"/>
  <c r="BR113" i="5"/>
  <c r="BR112" i="5"/>
  <c r="BR111" i="5"/>
  <c r="BR110" i="5"/>
  <c r="BR109" i="5"/>
  <c r="BR108" i="5"/>
  <c r="BR107" i="5"/>
  <c r="BR106" i="5"/>
  <c r="BR114" i="5" s="1"/>
  <c r="BR100" i="5"/>
  <c r="BR99" i="5"/>
  <c r="BR98" i="5"/>
  <c r="BR97" i="5"/>
  <c r="BR96" i="5"/>
  <c r="BR95" i="5"/>
  <c r="BR94" i="5"/>
  <c r="BR93" i="5"/>
  <c r="BR88" i="5"/>
  <c r="BR87" i="5"/>
  <c r="BR86" i="5"/>
  <c r="BR85" i="5"/>
  <c r="BR84" i="5"/>
  <c r="BR83" i="5"/>
  <c r="BR82" i="5"/>
  <c r="BR81" i="5"/>
  <c r="BR76" i="5"/>
  <c r="BR75" i="5"/>
  <c r="BR74" i="5"/>
  <c r="BR73" i="5"/>
  <c r="BR72" i="5"/>
  <c r="BR71" i="5"/>
  <c r="BR70" i="5"/>
  <c r="BR69" i="5"/>
  <c r="BR77" i="5" s="1"/>
  <c r="BR64" i="5"/>
  <c r="BR63" i="5"/>
  <c r="BR62" i="5"/>
  <c r="BR61" i="5"/>
  <c r="BR60" i="5"/>
  <c r="BR59" i="5"/>
  <c r="BR58" i="5"/>
  <c r="BR57" i="5"/>
  <c r="BR52" i="5"/>
  <c r="BR51" i="5"/>
  <c r="BR50" i="5"/>
  <c r="BR49" i="5"/>
  <c r="BR48" i="5"/>
  <c r="BR47" i="5"/>
  <c r="BR46" i="5"/>
  <c r="BR45" i="5"/>
  <c r="BR40" i="5"/>
  <c r="BR39" i="5"/>
  <c r="BR38" i="5"/>
  <c r="BR37" i="5"/>
  <c r="BR36" i="5"/>
  <c r="BR35" i="5"/>
  <c r="BR34" i="5"/>
  <c r="BR33" i="5"/>
  <c r="BR29" i="5"/>
  <c r="BR28" i="5"/>
  <c r="BR27" i="5"/>
  <c r="BR26" i="5"/>
  <c r="BR25" i="5"/>
  <c r="BR24" i="5"/>
  <c r="BR23" i="5"/>
  <c r="BR22" i="5"/>
  <c r="BG112" i="5"/>
  <c r="BG111" i="5"/>
  <c r="BG110" i="5"/>
  <c r="BG109" i="5"/>
  <c r="BG108" i="5"/>
  <c r="BG107" i="5"/>
  <c r="BG106" i="5"/>
  <c r="BG105" i="5"/>
  <c r="BG100" i="5"/>
  <c r="BG99" i="5"/>
  <c r="BG98" i="5"/>
  <c r="BG97" i="5"/>
  <c r="BG96" i="5"/>
  <c r="BG95" i="5"/>
  <c r="BG94" i="5"/>
  <c r="BG93" i="5"/>
  <c r="BG88" i="5"/>
  <c r="BG87" i="5"/>
  <c r="BG86" i="5"/>
  <c r="BG85" i="5"/>
  <c r="BG84" i="5"/>
  <c r="BG83" i="5"/>
  <c r="BG82" i="5"/>
  <c r="BG81" i="5"/>
  <c r="BG76" i="5"/>
  <c r="BG75" i="5"/>
  <c r="BG74" i="5"/>
  <c r="BG73" i="5"/>
  <c r="BG72" i="5"/>
  <c r="BG71" i="5"/>
  <c r="BG70" i="5"/>
  <c r="BG69" i="5"/>
  <c r="BG64" i="5"/>
  <c r="BG63" i="5"/>
  <c r="BG62" i="5"/>
  <c r="BG61" i="5"/>
  <c r="BG60" i="5"/>
  <c r="BG59" i="5"/>
  <c r="BG58" i="5"/>
  <c r="BG57" i="5"/>
  <c r="BG52" i="5"/>
  <c r="BG51" i="5"/>
  <c r="BG50" i="5"/>
  <c r="BG49" i="5"/>
  <c r="BG48" i="5"/>
  <c r="BG47" i="5"/>
  <c r="BG46" i="5"/>
  <c r="BJ33" i="5"/>
  <c r="BG34" i="5"/>
  <c r="BG40" i="5"/>
  <c r="BG39" i="5"/>
  <c r="BG38" i="5"/>
  <c r="BG37" i="5"/>
  <c r="BG36" i="5"/>
  <c r="BG35" i="5"/>
  <c r="BG33" i="5"/>
  <c r="W44" i="5"/>
  <c r="BI25" i="5"/>
  <c r="BJ21" i="5"/>
  <c r="BG22" i="5"/>
  <c r="BG23" i="5"/>
  <c r="BG24" i="5"/>
  <c r="BG25" i="5"/>
  <c r="BG26" i="5"/>
  <c r="BG27" i="5"/>
  <c r="BG29" i="5" s="1"/>
  <c r="BG28" i="5"/>
  <c r="BG21" i="5"/>
  <c r="V443" i="8"/>
  <c r="V442" i="8"/>
  <c r="W442" i="8" s="1"/>
  <c r="Z444" i="8"/>
  <c r="Z443" i="8"/>
  <c r="Z442" i="8"/>
  <c r="V444" i="8"/>
  <c r="X437" i="8"/>
  <c r="AA431" i="8" s="1"/>
  <c r="W437" i="8"/>
  <c r="AA430" i="8"/>
  <c r="AK401" i="8"/>
  <c r="AK400" i="8"/>
  <c r="AK399" i="8"/>
  <c r="AG401" i="8"/>
  <c r="AG400" i="8"/>
  <c r="AG399" i="8"/>
  <c r="AH400" i="8"/>
  <c r="AL399" i="8"/>
  <c r="AI389" i="8"/>
  <c r="AI388" i="8"/>
  <c r="AI387" i="8"/>
  <c r="AB399" i="8"/>
  <c r="AB398" i="8"/>
  <c r="AB389" i="8"/>
  <c r="AB388" i="8"/>
  <c r="Y405" i="8"/>
  <c r="X405" i="8"/>
  <c r="Y395" i="8"/>
  <c r="X395" i="8"/>
  <c r="AR346" i="8"/>
  <c r="AR345" i="8"/>
  <c r="AR344" i="8"/>
  <c r="AM346" i="8"/>
  <c r="AM345" i="8"/>
  <c r="AM344" i="8"/>
  <c r="AI344" i="8"/>
  <c r="AB362" i="8"/>
  <c r="AA362" i="8"/>
  <c r="AK339" i="8"/>
  <c r="AE351" i="8"/>
  <c r="AK338" i="8" s="1"/>
  <c r="AK337" i="8"/>
  <c r="AF367" i="8"/>
  <c r="AF366" i="8"/>
  <c r="AF365" i="8"/>
  <c r="AE352" i="8"/>
  <c r="AK336" i="8"/>
  <c r="AE338" i="8"/>
  <c r="AE337" i="8"/>
  <c r="AI346" i="8"/>
  <c r="AJ346" i="8" s="1"/>
  <c r="AI345" i="8"/>
  <c r="AJ345" i="8" s="1"/>
  <c r="AJ344" i="8"/>
  <c r="AC376" i="8"/>
  <c r="AB376" i="8"/>
  <c r="AA376" i="8"/>
  <c r="AB348" i="8"/>
  <c r="AA348" i="8"/>
  <c r="S306" i="8"/>
  <c r="S305" i="8"/>
  <c r="S304" i="8"/>
  <c r="O306" i="8"/>
  <c r="O305" i="8"/>
  <c r="O304" i="8"/>
  <c r="Y304" i="8"/>
  <c r="X304" i="8"/>
  <c r="T259" i="8"/>
  <c r="T258" i="8"/>
  <c r="T257" i="8"/>
  <c r="P259" i="8"/>
  <c r="P258" i="8"/>
  <c r="P257" i="8"/>
  <c r="R269" i="8"/>
  <c r="Q269" i="8"/>
  <c r="AI230" i="8"/>
  <c r="AI229" i="8"/>
  <c r="AI228" i="8"/>
  <c r="AJ228" i="8"/>
  <c r="AD230" i="8"/>
  <c r="AD229" i="8"/>
  <c r="AD228" i="8"/>
  <c r="Z228" i="8"/>
  <c r="Z229" i="8"/>
  <c r="P209" i="8"/>
  <c r="T218" i="8"/>
  <c r="P208" i="8" s="1"/>
  <c r="AB221" i="8" s="1"/>
  <c r="U218" i="8"/>
  <c r="AB220" i="8"/>
  <c r="P222" i="8"/>
  <c r="AA229" i="8"/>
  <c r="Z230" i="8"/>
  <c r="AE230" i="8"/>
  <c r="T232" i="8"/>
  <c r="U232" i="8"/>
  <c r="V232" i="8"/>
  <c r="P223" i="8" s="1"/>
  <c r="R172" i="8"/>
  <c r="R171" i="8"/>
  <c r="R170" i="8"/>
  <c r="N171" i="8"/>
  <c r="N170" i="8"/>
  <c r="O170" i="8" s="1"/>
  <c r="T162" i="8"/>
  <c r="P166" i="8"/>
  <c r="O166" i="8"/>
  <c r="T161" i="8" s="1"/>
  <c r="AG120" i="8"/>
  <c r="AH118" i="8" s="1"/>
  <c r="AG119" i="8"/>
  <c r="AG118" i="8"/>
  <c r="AC118" i="8"/>
  <c r="AD120" i="8" s="1"/>
  <c r="AC119" i="8"/>
  <c r="AC120" i="8"/>
  <c r="Y118" i="8"/>
  <c r="V119" i="8"/>
  <c r="AA107" i="8"/>
  <c r="S124" i="8"/>
  <c r="R124" i="8"/>
  <c r="V118" i="8" s="1"/>
  <c r="Q124" i="8"/>
  <c r="V117" i="8" s="1"/>
  <c r="R114" i="8"/>
  <c r="Q114" i="8"/>
  <c r="V108" i="8" s="1"/>
  <c r="AD102" i="8"/>
  <c r="AD101" i="8"/>
  <c r="AD100" i="8"/>
  <c r="Z102" i="8"/>
  <c r="Z101" i="8"/>
  <c r="Z100" i="8"/>
  <c r="AB92" i="8"/>
  <c r="P95" i="8"/>
  <c r="P94" i="8"/>
  <c r="P80" i="8"/>
  <c r="AB90" i="8"/>
  <c r="AF81" i="8" s="1"/>
  <c r="AA90" i="8"/>
  <c r="AF80" i="8" s="1"/>
  <c r="V104" i="8"/>
  <c r="U104" i="8"/>
  <c r="T104" i="8"/>
  <c r="P93" i="8" s="1"/>
  <c r="U90" i="8"/>
  <c r="P81" i="8" s="1"/>
  <c r="T90" i="8"/>
  <c r="V109" i="8"/>
  <c r="AB70" i="8"/>
  <c r="AA70" i="8"/>
  <c r="U70" i="8"/>
  <c r="W70" i="8" s="1"/>
  <c r="AB69" i="8"/>
  <c r="AA69" i="8"/>
  <c r="U69" i="8"/>
  <c r="W69" i="8" s="1"/>
  <c r="AB68" i="8"/>
  <c r="AA68" i="8"/>
  <c r="U68" i="8"/>
  <c r="W68" i="8" s="1"/>
  <c r="AB67" i="8"/>
  <c r="AA67" i="8"/>
  <c r="U67" i="8"/>
  <c r="V67" i="8" s="1"/>
  <c r="AB66" i="8"/>
  <c r="AA66" i="8"/>
  <c r="U66" i="8"/>
  <c r="V66" i="8" s="1"/>
  <c r="AB65" i="8"/>
  <c r="AA65" i="8"/>
  <c r="U65" i="8"/>
  <c r="W65" i="8" s="1"/>
  <c r="AB64" i="8"/>
  <c r="AA64" i="8"/>
  <c r="U64" i="8"/>
  <c r="W64" i="8" s="1"/>
  <c r="AB63" i="8"/>
  <c r="AA63" i="8"/>
  <c r="U63" i="8"/>
  <c r="W63" i="8" s="1"/>
  <c r="AB62" i="8"/>
  <c r="AA62" i="8"/>
  <c r="U62" i="8"/>
  <c r="V62" i="8" s="1"/>
  <c r="AB61" i="8"/>
  <c r="AA61" i="8"/>
  <c r="W61" i="8"/>
  <c r="V61" i="8"/>
  <c r="U61" i="8"/>
  <c r="AB60" i="8"/>
  <c r="AA60" i="8"/>
  <c r="W60" i="8"/>
  <c r="U60" i="8"/>
  <c r="V60" i="8" s="1"/>
  <c r="AB59" i="8"/>
  <c r="AA59" i="8"/>
  <c r="U59" i="8"/>
  <c r="W59" i="8" s="1"/>
  <c r="AB58" i="8"/>
  <c r="AA58" i="8"/>
  <c r="U58" i="8"/>
  <c r="W58" i="8" s="1"/>
  <c r="AB57" i="8"/>
  <c r="AA57" i="8"/>
  <c r="U57" i="8"/>
  <c r="W57" i="8" s="1"/>
  <c r="AB56" i="8"/>
  <c r="AA56" i="8"/>
  <c r="U56" i="8"/>
  <c r="V56" i="8" s="1"/>
  <c r="AG45" i="8"/>
  <c r="AF45" i="8"/>
  <c r="AB45" i="8"/>
  <c r="AA45" i="8"/>
  <c r="W45" i="8"/>
  <c r="V45" i="8"/>
  <c r="AG44" i="8"/>
  <c r="AF44" i="8"/>
  <c r="AB44" i="8"/>
  <c r="AA44" i="8"/>
  <c r="W44" i="8"/>
  <c r="V44" i="8"/>
  <c r="O44" i="8"/>
  <c r="R44" i="8" s="1"/>
  <c r="AG43" i="8"/>
  <c r="AF43" i="8"/>
  <c r="AB43" i="8"/>
  <c r="AA43" i="8"/>
  <c r="W43" i="8"/>
  <c r="V43" i="8"/>
  <c r="O43" i="8"/>
  <c r="R43" i="8" s="1"/>
  <c r="AG42" i="8"/>
  <c r="AF42" i="8"/>
  <c r="AB42" i="8"/>
  <c r="AA42" i="8"/>
  <c r="W42" i="8"/>
  <c r="V42" i="8"/>
  <c r="O42" i="8"/>
  <c r="R42" i="8" s="1"/>
  <c r="AG41" i="8"/>
  <c r="AF41" i="8"/>
  <c r="AB41" i="8"/>
  <c r="AA41" i="8"/>
  <c r="W41" i="8"/>
  <c r="V41" i="8"/>
  <c r="O41" i="8"/>
  <c r="R41" i="8" s="1"/>
  <c r="AG40" i="8"/>
  <c r="AF40" i="8"/>
  <c r="AB40" i="8"/>
  <c r="AA40" i="8"/>
  <c r="W40" i="8"/>
  <c r="V40" i="8"/>
  <c r="R40" i="8"/>
  <c r="O40" i="8"/>
  <c r="P40" i="8" s="1"/>
  <c r="AG39" i="8"/>
  <c r="AF39" i="8"/>
  <c r="AB39" i="8"/>
  <c r="AA39" i="8"/>
  <c r="W39" i="8"/>
  <c r="V39" i="8"/>
  <c r="O39" i="8"/>
  <c r="R39" i="8" s="1"/>
  <c r="AG38" i="8"/>
  <c r="AF38" i="8"/>
  <c r="AB38" i="8"/>
  <c r="AA38" i="8"/>
  <c r="W38" i="8"/>
  <c r="V38" i="8"/>
  <c r="O38" i="8"/>
  <c r="R38" i="8" s="1"/>
  <c r="AG37" i="8"/>
  <c r="AF37" i="8"/>
  <c r="AB37" i="8"/>
  <c r="AA37" i="8"/>
  <c r="W37" i="8"/>
  <c r="V37" i="8"/>
  <c r="O37" i="8"/>
  <c r="R37" i="8" s="1"/>
  <c r="AG36" i="8"/>
  <c r="AF36" i="8"/>
  <c r="AB36" i="8"/>
  <c r="AA36" i="8"/>
  <c r="W36" i="8"/>
  <c r="V36" i="8"/>
  <c r="O36" i="8"/>
  <c r="R36" i="8" s="1"/>
  <c r="AG35" i="8"/>
  <c r="AF35" i="8"/>
  <c r="AB35" i="8"/>
  <c r="AA35" i="8"/>
  <c r="W35" i="8"/>
  <c r="V35" i="8"/>
  <c r="O35" i="8"/>
  <c r="R35" i="8" s="1"/>
  <c r="AG34" i="8"/>
  <c r="AF34" i="8"/>
  <c r="AB34" i="8"/>
  <c r="AA34" i="8"/>
  <c r="W34" i="8"/>
  <c r="V34" i="8"/>
  <c r="O34" i="8"/>
  <c r="P34" i="8" s="1"/>
  <c r="AG33" i="8"/>
  <c r="AF33" i="8"/>
  <c r="AB33" i="8"/>
  <c r="AA33" i="8"/>
  <c r="W33" i="8"/>
  <c r="V33" i="8"/>
  <c r="O33" i="8"/>
  <c r="R33" i="8" s="1"/>
  <c r="AG32" i="8"/>
  <c r="AF32" i="8"/>
  <c r="AB32" i="8"/>
  <c r="AA32" i="8"/>
  <c r="W32" i="8"/>
  <c r="V32" i="8"/>
  <c r="O32" i="8"/>
  <c r="P32" i="8" s="1"/>
  <c r="AG31" i="8"/>
  <c r="AF31" i="8"/>
  <c r="AB31" i="8"/>
  <c r="AA31" i="8"/>
  <c r="W31" i="8"/>
  <c r="V31" i="8"/>
  <c r="Q31" i="8"/>
  <c r="O31" i="8"/>
  <c r="R31" i="8" s="1"/>
  <c r="R30" i="8"/>
  <c r="Q30" i="8"/>
  <c r="O30" i="8"/>
  <c r="P30" i="8" s="1"/>
  <c r="H26" i="8"/>
  <c r="I22" i="8"/>
  <c r="I21" i="8"/>
  <c r="I20" i="8"/>
  <c r="AG19" i="8"/>
  <c r="AF19" i="8"/>
  <c r="AB19" i="8"/>
  <c r="AA19" i="8"/>
  <c r="W19" i="8"/>
  <c r="V19" i="8"/>
  <c r="I19" i="8"/>
  <c r="AG18" i="8"/>
  <c r="AF18" i="8"/>
  <c r="AB18" i="8"/>
  <c r="AA18" i="8"/>
  <c r="W18" i="8"/>
  <c r="V18" i="8"/>
  <c r="I18" i="8"/>
  <c r="AG17" i="8"/>
  <c r="AF17" i="8"/>
  <c r="AB17" i="8"/>
  <c r="AA17" i="8"/>
  <c r="W17" i="8"/>
  <c r="V17" i="8"/>
  <c r="I17" i="8"/>
  <c r="BD16" i="8"/>
  <c r="BF16" i="8" s="1"/>
  <c r="AX16" i="8"/>
  <c r="BA16" i="8" s="1"/>
  <c r="AU16" i="8"/>
  <c r="AT16" i="8"/>
  <c r="AP16" i="8"/>
  <c r="AO16" i="8"/>
  <c r="AG16" i="8"/>
  <c r="AF16" i="8"/>
  <c r="AB16" i="8"/>
  <c r="AA16" i="8"/>
  <c r="W16" i="8"/>
  <c r="V16" i="8"/>
  <c r="I16" i="8"/>
  <c r="AG15" i="8"/>
  <c r="AF15" i="8"/>
  <c r="AB15" i="8"/>
  <c r="AA15" i="8"/>
  <c r="W15" i="8"/>
  <c r="V15" i="8"/>
  <c r="I15" i="8"/>
  <c r="AG14" i="8"/>
  <c r="AF14" i="8"/>
  <c r="AB14" i="8"/>
  <c r="AA14" i="8"/>
  <c r="W14" i="8"/>
  <c r="V14" i="8"/>
  <c r="I14" i="8"/>
  <c r="AG13" i="8"/>
  <c r="AF13" i="8"/>
  <c r="AB13" i="8"/>
  <c r="AA13" i="8"/>
  <c r="W13" i="8"/>
  <c r="V13" i="8"/>
  <c r="I13" i="8"/>
  <c r="AG12" i="8"/>
  <c r="AF12" i="8"/>
  <c r="AB12" i="8"/>
  <c r="AA12" i="8"/>
  <c r="W12" i="8"/>
  <c r="V12" i="8"/>
  <c r="I12" i="8"/>
  <c r="AG11" i="8"/>
  <c r="AF11" i="8"/>
  <c r="AB11" i="8"/>
  <c r="AA11" i="8"/>
  <c r="W11" i="8"/>
  <c r="V11" i="8"/>
  <c r="I11" i="8"/>
  <c r="AG10" i="8"/>
  <c r="AF10" i="8"/>
  <c r="AB10" i="8"/>
  <c r="AA10" i="8"/>
  <c r="W10" i="8"/>
  <c r="V10" i="8"/>
  <c r="I10" i="8"/>
  <c r="AG9" i="8"/>
  <c r="AF9" i="8"/>
  <c r="AB9" i="8"/>
  <c r="AA9" i="8"/>
  <c r="W9" i="8"/>
  <c r="V9" i="8"/>
  <c r="I9" i="8"/>
  <c r="AG8" i="8"/>
  <c r="AF8" i="8"/>
  <c r="AB8" i="8"/>
  <c r="AA8" i="8"/>
  <c r="W8" i="8"/>
  <c r="V8" i="8"/>
  <c r="I8" i="8"/>
  <c r="AG7" i="8"/>
  <c r="AF7" i="8"/>
  <c r="AB7" i="8"/>
  <c r="AA7" i="8"/>
  <c r="W7" i="8"/>
  <c r="V7" i="8"/>
  <c r="AG6" i="8"/>
  <c r="AF6" i="8"/>
  <c r="AB6" i="8"/>
  <c r="AA6" i="8"/>
  <c r="W6" i="8"/>
  <c r="V6" i="8"/>
  <c r="AG5" i="8"/>
  <c r="AF5" i="8"/>
  <c r="AB5" i="8"/>
  <c r="AA5" i="8"/>
  <c r="W5" i="8"/>
  <c r="V5" i="8"/>
  <c r="S292" i="7"/>
  <c r="S291" i="7"/>
  <c r="S290" i="7"/>
  <c r="O291" i="7"/>
  <c r="T291" i="7"/>
  <c r="O290" i="7"/>
  <c r="T281" i="7"/>
  <c r="T280" i="7"/>
  <c r="Q286" i="7"/>
  <c r="P286" i="7"/>
  <c r="T245" i="7"/>
  <c r="T244" i="7"/>
  <c r="P244" i="7"/>
  <c r="Q244" i="7" s="1"/>
  <c r="P243" i="7"/>
  <c r="U245" i="7"/>
  <c r="Q245" i="7"/>
  <c r="Q243" i="7"/>
  <c r="U236" i="7"/>
  <c r="U235" i="7"/>
  <c r="R239" i="7"/>
  <c r="Q239" i="7"/>
  <c r="V219" i="7"/>
  <c r="V218" i="7"/>
  <c r="V217" i="7"/>
  <c r="R219" i="7"/>
  <c r="S217" i="7"/>
  <c r="S219" i="7"/>
  <c r="R218" i="7"/>
  <c r="R217" i="7"/>
  <c r="W218" i="7"/>
  <c r="AB192" i="7"/>
  <c r="AB191" i="7"/>
  <c r="AA109" i="7"/>
  <c r="AA108" i="7"/>
  <c r="AA107" i="7"/>
  <c r="AB190" i="7"/>
  <c r="T192" i="7"/>
  <c r="T191" i="7"/>
  <c r="T204" i="7"/>
  <c r="T203" i="7"/>
  <c r="Q211" i="7"/>
  <c r="P211" i="7"/>
  <c r="Q199" i="7"/>
  <c r="P199" i="7"/>
  <c r="R158" i="7"/>
  <c r="R157" i="7"/>
  <c r="S157" i="7" s="1"/>
  <c r="R156" i="7"/>
  <c r="N158" i="7"/>
  <c r="N157" i="7"/>
  <c r="S158" i="7"/>
  <c r="O156" i="7"/>
  <c r="T148" i="7"/>
  <c r="T147" i="7"/>
  <c r="P152" i="7"/>
  <c r="O152" i="7"/>
  <c r="AC120" i="7"/>
  <c r="AC119" i="7"/>
  <c r="AC118" i="7"/>
  <c r="Y119" i="7"/>
  <c r="Y118" i="7"/>
  <c r="R123" i="7"/>
  <c r="V118" i="7" s="1"/>
  <c r="Q123" i="7"/>
  <c r="V117" i="7" s="1"/>
  <c r="R114" i="7"/>
  <c r="V109" i="7" s="1"/>
  <c r="Q114" i="7"/>
  <c r="V108" i="7" s="1"/>
  <c r="AH102" i="7"/>
  <c r="AH101" i="7"/>
  <c r="AD101" i="7"/>
  <c r="AD102" i="7"/>
  <c r="AB92" i="7"/>
  <c r="AB90" i="7"/>
  <c r="AF81" i="7" s="1"/>
  <c r="AA90" i="7"/>
  <c r="AF80" i="7" s="1"/>
  <c r="V102" i="7"/>
  <c r="V101" i="7"/>
  <c r="U90" i="7"/>
  <c r="P81" i="7" s="1"/>
  <c r="T90" i="7"/>
  <c r="P80" i="7" s="1"/>
  <c r="N64" i="7"/>
  <c r="N63" i="7"/>
  <c r="N62" i="7"/>
  <c r="N56" i="7"/>
  <c r="N58" i="7"/>
  <c r="N57" i="7"/>
  <c r="AB70" i="7"/>
  <c r="AA70" i="7"/>
  <c r="U70" i="7"/>
  <c r="W70" i="7" s="1"/>
  <c r="AB69" i="7"/>
  <c r="AA69" i="7"/>
  <c r="U69" i="7"/>
  <c r="V69" i="7" s="1"/>
  <c r="AB68" i="7"/>
  <c r="AA68" i="7"/>
  <c r="U68" i="7"/>
  <c r="V68" i="7" s="1"/>
  <c r="AB67" i="7"/>
  <c r="AA67" i="7"/>
  <c r="U67" i="7"/>
  <c r="W67" i="7" s="1"/>
  <c r="AB66" i="7"/>
  <c r="AA66" i="7"/>
  <c r="U66" i="7"/>
  <c r="V66" i="7" s="1"/>
  <c r="AB65" i="7"/>
  <c r="AA65" i="7"/>
  <c r="U65" i="7"/>
  <c r="V65" i="7" s="1"/>
  <c r="AB64" i="7"/>
  <c r="AA64" i="7"/>
  <c r="U64" i="7"/>
  <c r="W64" i="7" s="1"/>
  <c r="AB63" i="7"/>
  <c r="AA63" i="7"/>
  <c r="U63" i="7"/>
  <c r="V63" i="7" s="1"/>
  <c r="AB62" i="7"/>
  <c r="AA62" i="7"/>
  <c r="U62" i="7"/>
  <c r="V62" i="7" s="1"/>
  <c r="AB61" i="7"/>
  <c r="AA61" i="7"/>
  <c r="U61" i="7"/>
  <c r="V61" i="7" s="1"/>
  <c r="AB60" i="7"/>
  <c r="AA60" i="7"/>
  <c r="U60" i="7"/>
  <c r="V60" i="7" s="1"/>
  <c r="AB59" i="7"/>
  <c r="AA59" i="7"/>
  <c r="U59" i="7"/>
  <c r="V59" i="7" s="1"/>
  <c r="AB58" i="7"/>
  <c r="AA58" i="7"/>
  <c r="U58" i="7"/>
  <c r="W58" i="7" s="1"/>
  <c r="AB57" i="7"/>
  <c r="AA57" i="7"/>
  <c r="U57" i="7"/>
  <c r="V57" i="7" s="1"/>
  <c r="AB56" i="7"/>
  <c r="AA56" i="7"/>
  <c r="U56" i="7"/>
  <c r="V56" i="7" s="1"/>
  <c r="AG45" i="7"/>
  <c r="AF45" i="7"/>
  <c r="AB45" i="7"/>
  <c r="AA45" i="7"/>
  <c r="W45" i="7"/>
  <c r="V45" i="7"/>
  <c r="AG44" i="7"/>
  <c r="AF44" i="7"/>
  <c r="AB44" i="7"/>
  <c r="AA44" i="7"/>
  <c r="W44" i="7"/>
  <c r="V44" i="7"/>
  <c r="O44" i="7"/>
  <c r="P44" i="7" s="1"/>
  <c r="AG43" i="7"/>
  <c r="AF43" i="7"/>
  <c r="AB43" i="7"/>
  <c r="AA43" i="7"/>
  <c r="W43" i="7"/>
  <c r="V43" i="7"/>
  <c r="O43" i="7"/>
  <c r="P43" i="7" s="1"/>
  <c r="AG42" i="7"/>
  <c r="AF42" i="7"/>
  <c r="AB42" i="7"/>
  <c r="AA42" i="7"/>
  <c r="W42" i="7"/>
  <c r="V42" i="7"/>
  <c r="O42" i="7"/>
  <c r="R42" i="7" s="1"/>
  <c r="AG41" i="7"/>
  <c r="AF41" i="7"/>
  <c r="AB41" i="7"/>
  <c r="AA41" i="7"/>
  <c r="W41" i="7"/>
  <c r="V41" i="7"/>
  <c r="O41" i="7"/>
  <c r="P41" i="7" s="1"/>
  <c r="AG40" i="7"/>
  <c r="AF40" i="7"/>
  <c r="AB40" i="7"/>
  <c r="AA40" i="7"/>
  <c r="W40" i="7"/>
  <c r="V40" i="7"/>
  <c r="O40" i="7"/>
  <c r="P40" i="7" s="1"/>
  <c r="AG39" i="7"/>
  <c r="AF39" i="7"/>
  <c r="AB39" i="7"/>
  <c r="AA39" i="7"/>
  <c r="W39" i="7"/>
  <c r="V39" i="7"/>
  <c r="O39" i="7"/>
  <c r="P39" i="7" s="1"/>
  <c r="AG38" i="7"/>
  <c r="AF38" i="7"/>
  <c r="AB38" i="7"/>
  <c r="AA38" i="7"/>
  <c r="W38" i="7"/>
  <c r="V38" i="7"/>
  <c r="O38" i="7"/>
  <c r="P38" i="7" s="1"/>
  <c r="AG37" i="7"/>
  <c r="AF37" i="7"/>
  <c r="AB37" i="7"/>
  <c r="AA37" i="7"/>
  <c r="W37" i="7"/>
  <c r="V37" i="7"/>
  <c r="O37" i="7"/>
  <c r="R37" i="7" s="1"/>
  <c r="AG36" i="7"/>
  <c r="AF36" i="7"/>
  <c r="AB36" i="7"/>
  <c r="AA36" i="7"/>
  <c r="W36" i="7"/>
  <c r="V36" i="7"/>
  <c r="O36" i="7"/>
  <c r="Q36" i="7" s="1"/>
  <c r="AG35" i="7"/>
  <c r="AF35" i="7"/>
  <c r="AB35" i="7"/>
  <c r="AA35" i="7"/>
  <c r="W35" i="7"/>
  <c r="V35" i="7"/>
  <c r="O35" i="7"/>
  <c r="P35" i="7" s="1"/>
  <c r="AG34" i="7"/>
  <c r="AF34" i="7"/>
  <c r="AB34" i="7"/>
  <c r="AA34" i="7"/>
  <c r="W34" i="7"/>
  <c r="V34" i="7"/>
  <c r="O34" i="7"/>
  <c r="P34" i="7" s="1"/>
  <c r="AG33" i="7"/>
  <c r="AF33" i="7"/>
  <c r="AB33" i="7"/>
  <c r="AA33" i="7"/>
  <c r="W33" i="7"/>
  <c r="V33" i="7"/>
  <c r="O33" i="7"/>
  <c r="Q33" i="7" s="1"/>
  <c r="AG32" i="7"/>
  <c r="AF32" i="7"/>
  <c r="AB32" i="7"/>
  <c r="AA32" i="7"/>
  <c r="W32" i="7"/>
  <c r="V32" i="7"/>
  <c r="O32" i="7"/>
  <c r="P32" i="7" s="1"/>
  <c r="AG31" i="7"/>
  <c r="AF31" i="7"/>
  <c r="AB31" i="7"/>
  <c r="AA31" i="7"/>
  <c r="W31" i="7"/>
  <c r="V31" i="7"/>
  <c r="O31" i="7"/>
  <c r="P31" i="7" s="1"/>
  <c r="O30" i="7"/>
  <c r="P30" i="7" s="1"/>
  <c r="H26" i="7"/>
  <c r="I22" i="7"/>
  <c r="I21" i="7"/>
  <c r="I20" i="7"/>
  <c r="AG19" i="7"/>
  <c r="AF19" i="7"/>
  <c r="AB19" i="7"/>
  <c r="AA19" i="7"/>
  <c r="W19" i="7"/>
  <c r="V19" i="7"/>
  <c r="I19" i="7"/>
  <c r="AG18" i="7"/>
  <c r="AF18" i="7"/>
  <c r="AB18" i="7"/>
  <c r="AA18" i="7"/>
  <c r="W18" i="7"/>
  <c r="V18" i="7"/>
  <c r="I18" i="7"/>
  <c r="AG17" i="7"/>
  <c r="AF17" i="7"/>
  <c r="AB17" i="7"/>
  <c r="AA17" i="7"/>
  <c r="W17" i="7"/>
  <c r="V17" i="7"/>
  <c r="I17" i="7"/>
  <c r="BD16" i="7"/>
  <c r="BF16" i="7" s="1"/>
  <c r="AX16" i="7"/>
  <c r="AZ16" i="7" s="1"/>
  <c r="AU16" i="7"/>
  <c r="AT16" i="7"/>
  <c r="AP16" i="7"/>
  <c r="AO16" i="7"/>
  <c r="AG16" i="7"/>
  <c r="AF16" i="7"/>
  <c r="AB16" i="7"/>
  <c r="AA16" i="7"/>
  <c r="W16" i="7"/>
  <c r="V16" i="7"/>
  <c r="I16" i="7"/>
  <c r="AG15" i="7"/>
  <c r="AF15" i="7"/>
  <c r="AB15" i="7"/>
  <c r="AA15" i="7"/>
  <c r="W15" i="7"/>
  <c r="V15" i="7"/>
  <c r="I15" i="7"/>
  <c r="AG14" i="7"/>
  <c r="AF14" i="7"/>
  <c r="AB14" i="7"/>
  <c r="AA14" i="7"/>
  <c r="W14" i="7"/>
  <c r="V14" i="7"/>
  <c r="I14" i="7"/>
  <c r="AG13" i="7"/>
  <c r="AF13" i="7"/>
  <c r="AB13" i="7"/>
  <c r="AA13" i="7"/>
  <c r="W13" i="7"/>
  <c r="V13" i="7"/>
  <c r="I13" i="7"/>
  <c r="AG12" i="7"/>
  <c r="AF12" i="7"/>
  <c r="AB12" i="7"/>
  <c r="AA12" i="7"/>
  <c r="W12" i="7"/>
  <c r="V12" i="7"/>
  <c r="I12" i="7"/>
  <c r="AG11" i="7"/>
  <c r="AF11" i="7"/>
  <c r="AB11" i="7"/>
  <c r="AA11" i="7"/>
  <c r="W11" i="7"/>
  <c r="V11" i="7"/>
  <c r="I11" i="7"/>
  <c r="AG10" i="7"/>
  <c r="AF10" i="7"/>
  <c r="AB10" i="7"/>
  <c r="AA10" i="7"/>
  <c r="W10" i="7"/>
  <c r="V10" i="7"/>
  <c r="I10" i="7"/>
  <c r="AG9" i="7"/>
  <c r="AF9" i="7"/>
  <c r="AB9" i="7"/>
  <c r="AA9" i="7"/>
  <c r="W9" i="7"/>
  <c r="V9" i="7"/>
  <c r="I9" i="7"/>
  <c r="AG8" i="7"/>
  <c r="AF8" i="7"/>
  <c r="AB8" i="7"/>
  <c r="AA8" i="7"/>
  <c r="W8" i="7"/>
  <c r="V8" i="7"/>
  <c r="I8" i="7"/>
  <c r="AG7" i="7"/>
  <c r="AF7" i="7"/>
  <c r="AB7" i="7"/>
  <c r="AA7" i="7"/>
  <c r="W7" i="7"/>
  <c r="V7" i="7"/>
  <c r="AG6" i="7"/>
  <c r="AF6" i="7"/>
  <c r="AB6" i="7"/>
  <c r="AA6" i="7"/>
  <c r="W6" i="7"/>
  <c r="V6" i="7"/>
  <c r="AG5" i="7"/>
  <c r="AF5" i="7"/>
  <c r="AB5" i="7"/>
  <c r="AA5" i="7"/>
  <c r="W5" i="7"/>
  <c r="V5" i="7"/>
  <c r="U56" i="5"/>
  <c r="AM380" i="5"/>
  <c r="AM379" i="5"/>
  <c r="AM378" i="5"/>
  <c r="AI380" i="5"/>
  <c r="AI379" i="5"/>
  <c r="AI378" i="5"/>
  <c r="AR359" i="5"/>
  <c r="AU350" i="5" s="1"/>
  <c r="N64" i="5"/>
  <c r="N62" i="5"/>
  <c r="N63" i="5"/>
  <c r="O64" i="5" s="1"/>
  <c r="N58" i="5"/>
  <c r="O58" i="5" s="1"/>
  <c r="N57" i="5"/>
  <c r="BA274" i="5"/>
  <c r="AU289" i="5"/>
  <c r="AR298" i="5"/>
  <c r="AQ298" i="5"/>
  <c r="AU288" i="5" s="1"/>
  <c r="AR279" i="5"/>
  <c r="AR285" i="5" s="1"/>
  <c r="AQ279" i="5"/>
  <c r="AQ285" i="5" s="1"/>
  <c r="AK301" i="5"/>
  <c r="AK300" i="5"/>
  <c r="AG301" i="5"/>
  <c r="AH301" i="5" s="1"/>
  <c r="AG300" i="5"/>
  <c r="AR223" i="5"/>
  <c r="AR224" i="5"/>
  <c r="AN224" i="5"/>
  <c r="AO224" i="5" s="1"/>
  <c r="AN223" i="5"/>
  <c r="AR225" i="5"/>
  <c r="AP211" i="5"/>
  <c r="AS209" i="5" s="1"/>
  <c r="AO211" i="5"/>
  <c r="AS208" i="5" s="1"/>
  <c r="AF202" i="5"/>
  <c r="AB202" i="5"/>
  <c r="AC202" i="5" s="1"/>
  <c r="AB201" i="5"/>
  <c r="AC201" i="5" s="1"/>
  <c r="AF203" i="5"/>
  <c r="AG202" i="5" s="1"/>
  <c r="AR175" i="5"/>
  <c r="AX168" i="5"/>
  <c r="AO178" i="5"/>
  <c r="AR176" i="5" s="1"/>
  <c r="AN178" i="5"/>
  <c r="AO172" i="5"/>
  <c r="AR170" i="5" s="1"/>
  <c r="AN172" i="5"/>
  <c r="AR169" i="5" s="1"/>
  <c r="D85" i="10" l="1"/>
  <c r="BR101" i="5"/>
  <c r="BR89" i="5"/>
  <c r="BU81" i="5" s="1"/>
  <c r="BR65" i="5"/>
  <c r="BU57" i="5" s="1"/>
  <c r="BR53" i="5"/>
  <c r="BT49" i="5" s="1"/>
  <c r="BG41" i="5"/>
  <c r="BR41" i="5"/>
  <c r="BU33" i="5" s="1"/>
  <c r="BT37" i="5" s="1"/>
  <c r="BR30" i="5"/>
  <c r="BU22" i="5" s="1"/>
  <c r="BT26" i="5" s="1"/>
  <c r="BG113" i="5"/>
  <c r="BG101" i="5"/>
  <c r="BJ93" i="5" s="1"/>
  <c r="BG89" i="5"/>
  <c r="BJ81" i="5" s="1"/>
  <c r="BG77" i="5"/>
  <c r="BJ69" i="5" s="1"/>
  <c r="BG65" i="5"/>
  <c r="BG53" i="5"/>
  <c r="AG201" i="5"/>
  <c r="BA276" i="5"/>
  <c r="AS224" i="5"/>
  <c r="O57" i="5"/>
  <c r="O63" i="5"/>
  <c r="AU276" i="5"/>
  <c r="AX170" i="5"/>
  <c r="AS225" i="5"/>
  <c r="AO223" i="5"/>
  <c r="AU275" i="5"/>
  <c r="BA275" i="5" s="1"/>
  <c r="O62" i="5"/>
  <c r="AS223" i="5"/>
  <c r="W443" i="8"/>
  <c r="AA444" i="8"/>
  <c r="AA442" i="8"/>
  <c r="AA443" i="8"/>
  <c r="W444" i="8"/>
  <c r="AL401" i="8"/>
  <c r="AL400" i="8"/>
  <c r="AH399" i="8"/>
  <c r="AH401" i="8"/>
  <c r="AS346" i="8"/>
  <c r="AN346" i="8"/>
  <c r="AS344" i="8"/>
  <c r="AN345" i="8"/>
  <c r="AN344" i="8"/>
  <c r="AS345" i="8"/>
  <c r="AJ229" i="8"/>
  <c r="AJ230" i="8"/>
  <c r="AE228" i="8"/>
  <c r="AA228" i="8"/>
  <c r="AE229" i="8"/>
  <c r="AA230" i="8"/>
  <c r="P221" i="8"/>
  <c r="AB222" i="8" s="1"/>
  <c r="AB93" i="8"/>
  <c r="AA108" i="8"/>
  <c r="AA109" i="8"/>
  <c r="Q44" i="8"/>
  <c r="W66" i="8"/>
  <c r="T304" i="8"/>
  <c r="AB95" i="8"/>
  <c r="S170" i="8"/>
  <c r="P31" i="8"/>
  <c r="Q42" i="8"/>
  <c r="P305" i="8"/>
  <c r="O171" i="8"/>
  <c r="S172" i="8"/>
  <c r="O172" i="8"/>
  <c r="S171" i="8"/>
  <c r="AH119" i="8"/>
  <c r="AH120" i="8"/>
  <c r="Z119" i="8"/>
  <c r="Z120" i="8"/>
  <c r="AD119" i="8"/>
  <c r="V70" i="8"/>
  <c r="AD118" i="8"/>
  <c r="N62" i="8"/>
  <c r="AB20" i="8"/>
  <c r="R32" i="8"/>
  <c r="P33" i="8"/>
  <c r="Q34" i="8"/>
  <c r="P36" i="8"/>
  <c r="P37" i="8"/>
  <c r="P39" i="8"/>
  <c r="W56" i="8"/>
  <c r="W71" i="8" s="1"/>
  <c r="C32" i="8" s="1"/>
  <c r="W62" i="8"/>
  <c r="N64" i="8" s="1"/>
  <c r="W67" i="8"/>
  <c r="V68" i="8"/>
  <c r="U258" i="8"/>
  <c r="P306" i="8"/>
  <c r="BE16" i="8"/>
  <c r="Q32" i="8"/>
  <c r="V58" i="8"/>
  <c r="V64" i="8"/>
  <c r="AE100" i="8"/>
  <c r="AA20" i="8"/>
  <c r="AY16" i="8"/>
  <c r="R34" i="8"/>
  <c r="Q37" i="8"/>
  <c r="Q39" i="8"/>
  <c r="Q40" i="8"/>
  <c r="P42" i="8"/>
  <c r="P44" i="8"/>
  <c r="Z118" i="8"/>
  <c r="Q259" i="8"/>
  <c r="P304" i="8"/>
  <c r="T305" i="8"/>
  <c r="V46" i="8"/>
  <c r="C40" i="8" s="1"/>
  <c r="W46" i="8"/>
  <c r="C41" i="8" s="1"/>
  <c r="W20" i="8"/>
  <c r="C28" i="8" s="1"/>
  <c r="V20" i="8"/>
  <c r="C27" i="8" s="1"/>
  <c r="T306" i="8"/>
  <c r="AZ16" i="8"/>
  <c r="Q33" i="8"/>
  <c r="P35" i="8"/>
  <c r="Q36" i="8"/>
  <c r="P38" i="8"/>
  <c r="P41" i="8"/>
  <c r="P43" i="8"/>
  <c r="V57" i="8"/>
  <c r="V59" i="8"/>
  <c r="V63" i="8"/>
  <c r="V65" i="8"/>
  <c r="N57" i="8" s="1"/>
  <c r="V69" i="8"/>
  <c r="AB94" i="8"/>
  <c r="Q257" i="8"/>
  <c r="U259" i="8"/>
  <c r="Q258" i="8"/>
  <c r="Q35" i="8"/>
  <c r="Q38" i="8"/>
  <c r="Q41" i="8"/>
  <c r="Q43" i="8"/>
  <c r="U257" i="8"/>
  <c r="T290" i="7"/>
  <c r="T292" i="7"/>
  <c r="P290" i="7"/>
  <c r="P292" i="7"/>
  <c r="P291" i="7"/>
  <c r="U244" i="7"/>
  <c r="U243" i="7"/>
  <c r="W219" i="7"/>
  <c r="W217" i="7"/>
  <c r="S218" i="7"/>
  <c r="S156" i="7"/>
  <c r="O157" i="7"/>
  <c r="O158" i="7"/>
  <c r="O57" i="7"/>
  <c r="AD120" i="7"/>
  <c r="AB95" i="7"/>
  <c r="AB93" i="7"/>
  <c r="V46" i="7"/>
  <c r="C40" i="7" s="1"/>
  <c r="W56" i="7"/>
  <c r="R30" i="7"/>
  <c r="AD118" i="7"/>
  <c r="Z118" i="7"/>
  <c r="AD119" i="7"/>
  <c r="Z120" i="7"/>
  <c r="Z119" i="7"/>
  <c r="R44" i="7"/>
  <c r="V70" i="7"/>
  <c r="Q32" i="7"/>
  <c r="Q40" i="7"/>
  <c r="P42" i="7"/>
  <c r="W66" i="7"/>
  <c r="V67" i="7"/>
  <c r="R32" i="7"/>
  <c r="P33" i="7"/>
  <c r="Q34" i="7"/>
  <c r="P36" i="7"/>
  <c r="P37" i="7"/>
  <c r="R40" i="7"/>
  <c r="Q42" i="7"/>
  <c r="Q44" i="7"/>
  <c r="R34" i="7"/>
  <c r="Q37" i="7"/>
  <c r="AB20" i="7"/>
  <c r="Q30" i="7"/>
  <c r="Q31" i="7"/>
  <c r="Q39" i="7"/>
  <c r="W61" i="7"/>
  <c r="W62" i="7"/>
  <c r="AA20" i="7"/>
  <c r="R31" i="7"/>
  <c r="R39" i="7"/>
  <c r="AH100" i="7"/>
  <c r="AI100" i="7" s="1"/>
  <c r="V58" i="7"/>
  <c r="W60" i="7"/>
  <c r="V64" i="7"/>
  <c r="W68" i="7"/>
  <c r="V103" i="7"/>
  <c r="P95" i="7" s="1"/>
  <c r="T102" i="7"/>
  <c r="U102" i="7"/>
  <c r="T101" i="7"/>
  <c r="U101" i="7"/>
  <c r="O64" i="7"/>
  <c r="O63" i="7"/>
  <c r="O62" i="7"/>
  <c r="O56" i="7"/>
  <c r="O58" i="7"/>
  <c r="W46" i="7"/>
  <c r="C41" i="7" s="1"/>
  <c r="W20" i="7"/>
  <c r="C28" i="7" s="1"/>
  <c r="V20" i="7"/>
  <c r="C27" i="7" s="1"/>
  <c r="BA16" i="7"/>
  <c r="R33" i="7"/>
  <c r="Q35" i="7"/>
  <c r="R36" i="7"/>
  <c r="Q38" i="7"/>
  <c r="Q41" i="7"/>
  <c r="Q43" i="7"/>
  <c r="W57" i="7"/>
  <c r="W59" i="7"/>
  <c r="W63" i="7"/>
  <c r="W65" i="7"/>
  <c r="W69" i="7"/>
  <c r="R35" i="7"/>
  <c r="R38" i="7"/>
  <c r="R41" i="7"/>
  <c r="R43" i="7"/>
  <c r="BE16" i="7"/>
  <c r="AY16" i="7"/>
  <c r="AG203" i="5"/>
  <c r="AX169" i="5"/>
  <c r="AH148" i="5"/>
  <c r="AI148" i="5" s="1"/>
  <c r="AH146" i="5"/>
  <c r="AH147" i="5"/>
  <c r="AD147" i="5"/>
  <c r="AD146" i="5"/>
  <c r="AE146" i="5" s="1"/>
  <c r="AR153" i="5"/>
  <c r="AR152" i="5"/>
  <c r="AO162" i="5"/>
  <c r="AN162" i="5"/>
  <c r="AM143" i="5"/>
  <c r="AM142" i="5"/>
  <c r="AO130" i="5"/>
  <c r="AO136" i="5" s="1"/>
  <c r="AN130" i="5"/>
  <c r="AN136" i="5" s="1"/>
  <c r="N70" i="5"/>
  <c r="N69" i="5"/>
  <c r="N68" i="5"/>
  <c r="V6" i="5"/>
  <c r="W6" i="5"/>
  <c r="AA6" i="5"/>
  <c r="AB6" i="5"/>
  <c r="V7" i="5"/>
  <c r="W7" i="5"/>
  <c r="AA7" i="5"/>
  <c r="AB7" i="5"/>
  <c r="V8" i="5"/>
  <c r="W8" i="5"/>
  <c r="AA8" i="5"/>
  <c r="AB8" i="5"/>
  <c r="V9" i="5"/>
  <c r="W9" i="5"/>
  <c r="AA9" i="5"/>
  <c r="AB9" i="5"/>
  <c r="V10" i="5"/>
  <c r="W10" i="5"/>
  <c r="AA10" i="5"/>
  <c r="AB10" i="5"/>
  <c r="V11" i="5"/>
  <c r="W11" i="5"/>
  <c r="AA11" i="5"/>
  <c r="AB11" i="5"/>
  <c r="V12" i="5"/>
  <c r="W12" i="5"/>
  <c r="AA12" i="5"/>
  <c r="AB12" i="5"/>
  <c r="V13" i="5"/>
  <c r="W13" i="5"/>
  <c r="AA13" i="5"/>
  <c r="AB13" i="5"/>
  <c r="V14" i="5"/>
  <c r="W14" i="5"/>
  <c r="AA14" i="5"/>
  <c r="AB14" i="5"/>
  <c r="V15" i="5"/>
  <c r="W15" i="5"/>
  <c r="AA15" i="5"/>
  <c r="AB15" i="5"/>
  <c r="V16" i="5"/>
  <c r="W16" i="5"/>
  <c r="AA16" i="5"/>
  <c r="AB16" i="5"/>
  <c r="V17" i="5"/>
  <c r="W17" i="5"/>
  <c r="AA17" i="5"/>
  <c r="AB17" i="5"/>
  <c r="V18" i="5"/>
  <c r="W18" i="5"/>
  <c r="AA18" i="5"/>
  <c r="AB18" i="5"/>
  <c r="V19" i="5"/>
  <c r="W19" i="5"/>
  <c r="AA19" i="5"/>
  <c r="AB19" i="5"/>
  <c r="AA31" i="5"/>
  <c r="AB31" i="5"/>
  <c r="V32" i="5"/>
  <c r="W32" i="5"/>
  <c r="AA32" i="5"/>
  <c r="AB32" i="5"/>
  <c r="V33" i="5"/>
  <c r="W33" i="5"/>
  <c r="AA33" i="5"/>
  <c r="AB33" i="5"/>
  <c r="V34" i="5"/>
  <c r="W34" i="5"/>
  <c r="AA34" i="5"/>
  <c r="AB34" i="5"/>
  <c r="V35" i="5"/>
  <c r="W35" i="5"/>
  <c r="AA35" i="5"/>
  <c r="AB35" i="5"/>
  <c r="V36" i="5"/>
  <c r="W36" i="5"/>
  <c r="AA36" i="5"/>
  <c r="AB36" i="5"/>
  <c r="V37" i="5"/>
  <c r="W37" i="5"/>
  <c r="AA37" i="5"/>
  <c r="AB37" i="5"/>
  <c r="V38" i="5"/>
  <c r="W38" i="5"/>
  <c r="AA38" i="5"/>
  <c r="AB38" i="5"/>
  <c r="V39" i="5"/>
  <c r="W39" i="5"/>
  <c r="AA39" i="5"/>
  <c r="AB39" i="5"/>
  <c r="V40" i="5"/>
  <c r="W40" i="5"/>
  <c r="AA40" i="5"/>
  <c r="AB40" i="5"/>
  <c r="V41" i="5"/>
  <c r="W41" i="5"/>
  <c r="AA41" i="5"/>
  <c r="AB41" i="5"/>
  <c r="V42" i="5"/>
  <c r="W42" i="5"/>
  <c r="AA42" i="5"/>
  <c r="AB42" i="5"/>
  <c r="V43" i="5"/>
  <c r="W43" i="5"/>
  <c r="AA43" i="5"/>
  <c r="AB43" i="5"/>
  <c r="V44" i="5"/>
  <c r="AA44" i="5"/>
  <c r="AB44" i="5"/>
  <c r="V45" i="5"/>
  <c r="W45" i="5"/>
  <c r="AA45" i="5"/>
  <c r="AB45" i="5"/>
  <c r="V46" i="5"/>
  <c r="C40" i="5" s="1"/>
  <c r="AA56" i="5"/>
  <c r="AB56" i="5"/>
  <c r="AA57" i="5"/>
  <c r="AB57" i="5"/>
  <c r="AA58" i="5"/>
  <c r="AB58" i="5"/>
  <c r="AA59" i="5"/>
  <c r="AB59" i="5"/>
  <c r="AA60" i="5"/>
  <c r="AB60" i="5"/>
  <c r="AA61" i="5"/>
  <c r="AB61" i="5"/>
  <c r="AA62" i="5"/>
  <c r="AB62" i="5"/>
  <c r="AA63" i="5"/>
  <c r="AB63" i="5"/>
  <c r="AA64" i="5"/>
  <c r="AB64" i="5"/>
  <c r="AA65" i="5"/>
  <c r="AB65" i="5"/>
  <c r="AA66" i="5"/>
  <c r="AB66" i="5"/>
  <c r="AA67" i="5"/>
  <c r="AB67" i="5"/>
  <c r="AA68" i="5"/>
  <c r="AB68" i="5"/>
  <c r="AA69" i="5"/>
  <c r="AB69" i="5"/>
  <c r="AA70" i="5"/>
  <c r="AB70" i="5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AQ359" i="5"/>
  <c r="AU349" i="5" s="1"/>
  <c r="AK302" i="5"/>
  <c r="AL300" i="5" s="1"/>
  <c r="AO149" i="5"/>
  <c r="AR140" i="5" s="1"/>
  <c r="AN149" i="5"/>
  <c r="AR139" i="5" s="1"/>
  <c r="AM148" i="5"/>
  <c r="AM147" i="5"/>
  <c r="AM146" i="5"/>
  <c r="AM145" i="5"/>
  <c r="AM144" i="5"/>
  <c r="AM141" i="5"/>
  <c r="AM140" i="5"/>
  <c r="U70" i="5"/>
  <c r="V70" i="5" s="1"/>
  <c r="U69" i="5"/>
  <c r="W69" i="5" s="1"/>
  <c r="U68" i="5"/>
  <c r="V68" i="5" s="1"/>
  <c r="U67" i="5"/>
  <c r="V67" i="5" s="1"/>
  <c r="U66" i="5"/>
  <c r="V66" i="5" s="1"/>
  <c r="U65" i="5"/>
  <c r="V65" i="5" s="1"/>
  <c r="U64" i="5"/>
  <c r="V64" i="5" s="1"/>
  <c r="U63" i="5"/>
  <c r="W63" i="5" s="1"/>
  <c r="U62" i="5"/>
  <c r="V62" i="5" s="1"/>
  <c r="U61" i="5"/>
  <c r="W61" i="5" s="1"/>
  <c r="U60" i="5"/>
  <c r="V60" i="5" s="1"/>
  <c r="U59" i="5"/>
  <c r="V59" i="5" s="1"/>
  <c r="U58" i="5"/>
  <c r="V58" i="5" s="1"/>
  <c r="U57" i="5"/>
  <c r="V57" i="5" s="1"/>
  <c r="AG45" i="5"/>
  <c r="AF45" i="5"/>
  <c r="AG44" i="5"/>
  <c r="AF44" i="5"/>
  <c r="O44" i="5"/>
  <c r="P44" i="5" s="1"/>
  <c r="AG43" i="5"/>
  <c r="AF43" i="5"/>
  <c r="O43" i="5"/>
  <c r="R43" i="5" s="1"/>
  <c r="AG42" i="5"/>
  <c r="AF42" i="5"/>
  <c r="O42" i="5"/>
  <c r="P42" i="5" s="1"/>
  <c r="AG41" i="5"/>
  <c r="AF41" i="5"/>
  <c r="O41" i="5"/>
  <c r="R41" i="5" s="1"/>
  <c r="AG40" i="5"/>
  <c r="AF40" i="5"/>
  <c r="O40" i="5"/>
  <c r="Q40" i="5" s="1"/>
  <c r="AG39" i="5"/>
  <c r="AF39" i="5"/>
  <c r="O39" i="5"/>
  <c r="P39" i="5" s="1"/>
  <c r="AG38" i="5"/>
  <c r="AF38" i="5"/>
  <c r="O38" i="5"/>
  <c r="R38" i="5" s="1"/>
  <c r="AG37" i="5"/>
  <c r="AF37" i="5"/>
  <c r="AG36" i="5"/>
  <c r="AF36" i="5"/>
  <c r="AG35" i="5"/>
  <c r="AF35" i="5"/>
  <c r="AG34" i="5"/>
  <c r="AF34" i="5"/>
  <c r="R34" i="5"/>
  <c r="AG33" i="5"/>
  <c r="AF33" i="5"/>
  <c r="AG32" i="5"/>
  <c r="AF32" i="5"/>
  <c r="AG31" i="5"/>
  <c r="AF31" i="5"/>
  <c r="AG19" i="5"/>
  <c r="AF19" i="5"/>
  <c r="AG18" i="5"/>
  <c r="AF18" i="5"/>
  <c r="I22" i="5"/>
  <c r="AG17" i="5"/>
  <c r="AF17" i="5"/>
  <c r="I21" i="5"/>
  <c r="AG16" i="5"/>
  <c r="AF16" i="5"/>
  <c r="I20" i="5"/>
  <c r="AG15" i="5"/>
  <c r="AF15" i="5"/>
  <c r="I19" i="5"/>
  <c r="AG14" i="5"/>
  <c r="AF14" i="5"/>
  <c r="I18" i="5"/>
  <c r="AG13" i="5"/>
  <c r="AF13" i="5"/>
  <c r="I17" i="5"/>
  <c r="AG12" i="5"/>
  <c r="AF12" i="5"/>
  <c r="I16" i="5"/>
  <c r="AG11" i="5"/>
  <c r="AF11" i="5"/>
  <c r="I15" i="5"/>
  <c r="AG10" i="5"/>
  <c r="AF10" i="5"/>
  <c r="I14" i="5"/>
  <c r="AG9" i="5"/>
  <c r="AF9" i="5"/>
  <c r="I13" i="5"/>
  <c r="AG8" i="5"/>
  <c r="AF8" i="5"/>
  <c r="I12" i="5"/>
  <c r="AG7" i="5"/>
  <c r="AF7" i="5"/>
  <c r="I11" i="5"/>
  <c r="AG6" i="5"/>
  <c r="AF6" i="5"/>
  <c r="I10" i="5"/>
  <c r="AG5" i="5"/>
  <c r="AF5" i="5"/>
  <c r="I9" i="5"/>
  <c r="I8" i="5"/>
  <c r="BJ105" i="5" l="1"/>
  <c r="AA20" i="5"/>
  <c r="AE147" i="5"/>
  <c r="O69" i="5"/>
  <c r="AY125" i="5"/>
  <c r="AI146" i="5"/>
  <c r="AE102" i="8"/>
  <c r="P45" i="8"/>
  <c r="C35" i="8" s="1"/>
  <c r="N56" i="8"/>
  <c r="O56" i="8" s="1"/>
  <c r="AE101" i="8"/>
  <c r="N58" i="8"/>
  <c r="R45" i="8"/>
  <c r="C37" i="8" s="1"/>
  <c r="N63" i="8"/>
  <c r="O63" i="8" s="1"/>
  <c r="AA102" i="8"/>
  <c r="AA100" i="8"/>
  <c r="AA101" i="8"/>
  <c r="Q45" i="8"/>
  <c r="V71" i="8"/>
  <c r="C31" i="8" s="1"/>
  <c r="H28" i="8" s="1"/>
  <c r="H30" i="8"/>
  <c r="H27" i="8"/>
  <c r="AD100" i="7"/>
  <c r="U103" i="7"/>
  <c r="P94" i="7" s="1"/>
  <c r="P45" i="7"/>
  <c r="C35" i="7" s="1"/>
  <c r="V71" i="7"/>
  <c r="AI102" i="7"/>
  <c r="AI101" i="7"/>
  <c r="H27" i="7"/>
  <c r="Z100" i="7"/>
  <c r="T103" i="7"/>
  <c r="C31" i="7"/>
  <c r="Q45" i="7"/>
  <c r="C36" i="7" s="1"/>
  <c r="W71" i="7"/>
  <c r="C32" i="7" s="1"/>
  <c r="H30" i="7"/>
  <c r="R45" i="7"/>
  <c r="C37" i="7" s="1"/>
  <c r="AR127" i="5"/>
  <c r="AY124" i="5" s="1"/>
  <c r="W46" i="5"/>
  <c r="C41" i="5" s="1"/>
  <c r="W20" i="5"/>
  <c r="C28" i="5" s="1"/>
  <c r="V20" i="5"/>
  <c r="AB20" i="5"/>
  <c r="Q42" i="5"/>
  <c r="Q44" i="5"/>
  <c r="W68" i="5"/>
  <c r="W59" i="5"/>
  <c r="Q43" i="5"/>
  <c r="W62" i="5"/>
  <c r="W65" i="5"/>
  <c r="W60" i="5"/>
  <c r="Q33" i="5"/>
  <c r="W70" i="5"/>
  <c r="W67" i="5"/>
  <c r="W64" i="5"/>
  <c r="W58" i="5"/>
  <c r="W66" i="5"/>
  <c r="Q36" i="5"/>
  <c r="V69" i="5"/>
  <c r="V63" i="5"/>
  <c r="V61" i="5"/>
  <c r="Q32" i="5"/>
  <c r="AN379" i="5"/>
  <c r="R32" i="5"/>
  <c r="AH302" i="5"/>
  <c r="AJ379" i="5"/>
  <c r="AJ378" i="5"/>
  <c r="AJ380" i="5"/>
  <c r="AI147" i="5"/>
  <c r="AL301" i="5"/>
  <c r="O68" i="5"/>
  <c r="AE148" i="5"/>
  <c r="AL302" i="5"/>
  <c r="Q39" i="5"/>
  <c r="Q34" i="5"/>
  <c r="R35" i="5"/>
  <c r="Q35" i="5"/>
  <c r="R39" i="5"/>
  <c r="P40" i="5"/>
  <c r="R42" i="5"/>
  <c r="P43" i="5"/>
  <c r="Q30" i="5"/>
  <c r="R33" i="5"/>
  <c r="R36" i="5"/>
  <c r="Q37" i="5"/>
  <c r="O70" i="5"/>
  <c r="Q31" i="5"/>
  <c r="R37" i="5"/>
  <c r="P38" i="5"/>
  <c r="R40" i="5"/>
  <c r="P41" i="5"/>
  <c r="R44" i="5"/>
  <c r="AH300" i="5"/>
  <c r="AN378" i="5"/>
  <c r="R30" i="5"/>
  <c r="R31" i="5"/>
  <c r="Q38" i="5"/>
  <c r="Q41" i="5"/>
  <c r="AN380" i="5"/>
  <c r="O64" i="8" l="1"/>
  <c r="O58" i="8"/>
  <c r="O62" i="8"/>
  <c r="C36" i="8"/>
  <c r="H29" i="8" s="1"/>
  <c r="O57" i="8"/>
  <c r="AE100" i="7"/>
  <c r="AE101" i="7"/>
  <c r="AE102" i="7"/>
  <c r="H28" i="7"/>
  <c r="AA102" i="7"/>
  <c r="AA101" i="7"/>
  <c r="AA100" i="7"/>
  <c r="P93" i="7"/>
  <c r="AB94" i="7" s="1"/>
  <c r="H29" i="7"/>
  <c r="V71" i="5"/>
  <c r="C31" i="5" s="1"/>
  <c r="W71" i="5"/>
  <c r="C32" i="5" s="1"/>
  <c r="H30" i="5"/>
  <c r="R45" i="5"/>
  <c r="C37" i="5" s="1"/>
  <c r="Q45" i="5"/>
  <c r="C36" i="5" s="1"/>
  <c r="P45" i="5"/>
  <c r="C35" i="5" s="1"/>
  <c r="H28" i="5" l="1"/>
  <c r="H29" i="5"/>
  <c r="AM559" i="3"/>
  <c r="AM558" i="3"/>
  <c r="AM557" i="3"/>
  <c r="AI558" i="3"/>
  <c r="AJ558" i="3" s="1"/>
  <c r="AI559" i="3"/>
  <c r="AI557" i="3"/>
  <c r="AN559" i="3"/>
  <c r="AU529" i="3"/>
  <c r="AU528" i="3"/>
  <c r="AR538" i="3"/>
  <c r="AQ538" i="3"/>
  <c r="AK481" i="3"/>
  <c r="AK480" i="3"/>
  <c r="AK479" i="3"/>
  <c r="AG480" i="3"/>
  <c r="AG479" i="3"/>
  <c r="AH481" i="3"/>
  <c r="AH479" i="3"/>
  <c r="BA455" i="3"/>
  <c r="BA454" i="3"/>
  <c r="AY376" i="3"/>
  <c r="BA453" i="3"/>
  <c r="AU468" i="3"/>
  <c r="AU467" i="3"/>
  <c r="AP476" i="3"/>
  <c r="AP475" i="3"/>
  <c r="AP473" i="3"/>
  <c r="AP474" i="3"/>
  <c r="AP472" i="3"/>
  <c r="AP471" i="3"/>
  <c r="AP470" i="3"/>
  <c r="AP469" i="3"/>
  <c r="AP468" i="3"/>
  <c r="AP467" i="3"/>
  <c r="AM391" i="3"/>
  <c r="AR477" i="3"/>
  <c r="AQ477" i="3"/>
  <c r="AU455" i="3"/>
  <c r="AU454" i="3"/>
  <c r="AR464" i="3"/>
  <c r="AQ464" i="3"/>
  <c r="AH400" i="3"/>
  <c r="AH399" i="3"/>
  <c r="AH398" i="3"/>
  <c r="AD400" i="3"/>
  <c r="AE399" i="3" s="1"/>
  <c r="AD399" i="3"/>
  <c r="AD398" i="3"/>
  <c r="AY378" i="3"/>
  <c r="AY377" i="3"/>
  <c r="K312" i="3"/>
  <c r="AO414" i="3"/>
  <c r="AR405" i="3" s="1"/>
  <c r="AN414" i="3"/>
  <c r="AR404" i="3" s="1"/>
  <c r="AR391" i="3"/>
  <c r="AO401" i="3"/>
  <c r="AR392" i="3" s="1"/>
  <c r="AN401" i="3"/>
  <c r="AR379" i="3"/>
  <c r="AR378" i="3"/>
  <c r="AO388" i="3"/>
  <c r="AN388" i="3"/>
  <c r="AY375" i="3"/>
  <c r="W217" i="3"/>
  <c r="AM400" i="3"/>
  <c r="AM399" i="3"/>
  <c r="AM397" i="3"/>
  <c r="AM398" i="3"/>
  <c r="AM396" i="3"/>
  <c r="AM395" i="3"/>
  <c r="AM394" i="3"/>
  <c r="AM393" i="3"/>
  <c r="AM392" i="3"/>
  <c r="U56" i="3"/>
  <c r="Z348" i="3"/>
  <c r="Z347" i="3"/>
  <c r="Z346" i="3"/>
  <c r="V347" i="3"/>
  <c r="W347" i="3" s="1"/>
  <c r="V346" i="3"/>
  <c r="AN557" i="3" l="1"/>
  <c r="AN558" i="3"/>
  <c r="AJ559" i="3"/>
  <c r="AJ557" i="3"/>
  <c r="AL479" i="3"/>
  <c r="AL480" i="3"/>
  <c r="AL481" i="3"/>
  <c r="AH480" i="3"/>
  <c r="AI400" i="3"/>
  <c r="AI398" i="3"/>
  <c r="AI399" i="3"/>
  <c r="AE398" i="3"/>
  <c r="AE400" i="3"/>
  <c r="AA346" i="3"/>
  <c r="AA348" i="3"/>
  <c r="AA347" i="3"/>
  <c r="W348" i="3"/>
  <c r="W346" i="3"/>
  <c r="X341" i="3"/>
  <c r="W341" i="3"/>
  <c r="V340" i="3"/>
  <c r="V339" i="3"/>
  <c r="V338" i="3"/>
  <c r="V335" i="3"/>
  <c r="V336" i="3"/>
  <c r="V337" i="3"/>
  <c r="V334" i="3"/>
  <c r="M89" i="3"/>
  <c r="G323" i="3"/>
  <c r="H323" i="3" s="1"/>
  <c r="G322" i="3"/>
  <c r="C323" i="3"/>
  <c r="C322" i="3"/>
  <c r="G324" i="3"/>
  <c r="H324" i="3" s="1"/>
  <c r="D323" i="3"/>
  <c r="H322" i="3"/>
  <c r="D322" i="3"/>
  <c r="K279" i="3"/>
  <c r="C318" i="3"/>
  <c r="C317" i="3"/>
  <c r="E315" i="3"/>
  <c r="D315" i="3"/>
  <c r="K311" i="3"/>
  <c r="K278" i="3"/>
  <c r="C314" i="3"/>
  <c r="C313" i="3"/>
  <c r="C312" i="3"/>
  <c r="M221" i="3"/>
  <c r="G296" i="3"/>
  <c r="G295" i="3"/>
  <c r="G294" i="3"/>
  <c r="D294" i="3"/>
  <c r="C295" i="3"/>
  <c r="C294" i="3"/>
  <c r="D295" i="3"/>
  <c r="H294" i="3"/>
  <c r="V135" i="3"/>
  <c r="C290" i="3"/>
  <c r="C32" i="3"/>
  <c r="C31" i="3"/>
  <c r="C289" i="3"/>
  <c r="D286" i="3"/>
  <c r="C286" i="3"/>
  <c r="B285" i="3"/>
  <c r="M227" i="3"/>
  <c r="B284" i="3"/>
  <c r="B283" i="3"/>
  <c r="B280" i="3"/>
  <c r="B281" i="3"/>
  <c r="B282" i="3"/>
  <c r="B279" i="3"/>
  <c r="M220" i="3"/>
  <c r="W241" i="3"/>
  <c r="W240" i="3"/>
  <c r="W239" i="3"/>
  <c r="X239" i="3"/>
  <c r="S241" i="3"/>
  <c r="S240" i="3"/>
  <c r="S239" i="3"/>
  <c r="T241" i="3"/>
  <c r="T240" i="3"/>
  <c r="W218" i="3"/>
  <c r="W219" i="3"/>
  <c r="R234" i="3"/>
  <c r="R233" i="3"/>
  <c r="O242" i="3"/>
  <c r="N242" i="3"/>
  <c r="R219" i="3"/>
  <c r="R220" i="3"/>
  <c r="O228" i="3"/>
  <c r="N228" i="3"/>
  <c r="N218" i="3"/>
  <c r="V56" i="3"/>
  <c r="M226" i="3"/>
  <c r="M225" i="3"/>
  <c r="M224" i="3"/>
  <c r="M222" i="3"/>
  <c r="M223" i="3"/>
  <c r="M219" i="3"/>
  <c r="M218" i="3"/>
  <c r="Q164" i="3"/>
  <c r="Q163" i="3"/>
  <c r="Q162" i="3"/>
  <c r="M164" i="3"/>
  <c r="N163" i="3" s="1"/>
  <c r="M163" i="3"/>
  <c r="M162" i="3"/>
  <c r="N164" i="3"/>
  <c r="O158" i="3"/>
  <c r="N158" i="3"/>
  <c r="Q146" i="3"/>
  <c r="Q145" i="3"/>
  <c r="N145" i="3"/>
  <c r="R145" i="3"/>
  <c r="R147" i="3"/>
  <c r="M146" i="3"/>
  <c r="N147" i="3" s="1"/>
  <c r="M145" i="3"/>
  <c r="W109" i="3"/>
  <c r="V134" i="3"/>
  <c r="R138" i="3"/>
  <c r="R137" i="3"/>
  <c r="O140" i="3"/>
  <c r="N140" i="3"/>
  <c r="O139" i="3"/>
  <c r="N139" i="3"/>
  <c r="O138" i="3"/>
  <c r="N138" i="3"/>
  <c r="O137" i="3"/>
  <c r="N137" i="3"/>
  <c r="O136" i="3"/>
  <c r="N136" i="3"/>
  <c r="Q131" i="3"/>
  <c r="Q130" i="3"/>
  <c r="Q129" i="3"/>
  <c r="N129" i="3"/>
  <c r="M130" i="3"/>
  <c r="M129" i="3"/>
  <c r="N130" i="3"/>
  <c r="W110" i="3"/>
  <c r="V75" i="3"/>
  <c r="R119" i="3"/>
  <c r="R118" i="3"/>
  <c r="O122" i="3"/>
  <c r="N122" i="3"/>
  <c r="R111" i="3"/>
  <c r="R110" i="3"/>
  <c r="O114" i="3"/>
  <c r="N114" i="3"/>
  <c r="W108" i="3"/>
  <c r="V74" i="3"/>
  <c r="Q104" i="3"/>
  <c r="Q103" i="3"/>
  <c r="Q102" i="3"/>
  <c r="R103" i="3"/>
  <c r="M104" i="3"/>
  <c r="M103" i="3"/>
  <c r="N103" i="3" s="1"/>
  <c r="M102" i="3"/>
  <c r="N56" i="3"/>
  <c r="O56" i="3" s="1"/>
  <c r="W97" i="3"/>
  <c r="Z89" i="3" s="1"/>
  <c r="V97" i="3"/>
  <c r="Z88" i="3" s="1"/>
  <c r="O89" i="3"/>
  <c r="O91" i="3"/>
  <c r="O93" i="3"/>
  <c r="O95" i="3"/>
  <c r="O87" i="3"/>
  <c r="N89" i="3"/>
  <c r="N92" i="3"/>
  <c r="N96" i="3"/>
  <c r="N87" i="3"/>
  <c r="M96" i="3"/>
  <c r="O96" i="3" s="1"/>
  <c r="M95" i="3"/>
  <c r="N95" i="3" s="1"/>
  <c r="M94" i="3"/>
  <c r="O94" i="3" s="1"/>
  <c r="M93" i="3"/>
  <c r="N93" i="3" s="1"/>
  <c r="M92" i="3"/>
  <c r="O92" i="3" s="1"/>
  <c r="M90" i="3"/>
  <c r="N90" i="3" s="1"/>
  <c r="M91" i="3"/>
  <c r="N91" i="3" s="1"/>
  <c r="M88" i="3"/>
  <c r="O88" i="3" s="1"/>
  <c r="M87" i="3"/>
  <c r="W56" i="3"/>
  <c r="O84" i="3"/>
  <c r="R76" i="3" s="1"/>
  <c r="N84" i="3"/>
  <c r="R75" i="3" s="1"/>
  <c r="V77" i="3"/>
  <c r="H26" i="3"/>
  <c r="N70" i="3"/>
  <c r="O70" i="3" s="1"/>
  <c r="N69" i="3"/>
  <c r="N64" i="3"/>
  <c r="N63" i="3"/>
  <c r="N62" i="3"/>
  <c r="O62" i="3" s="1"/>
  <c r="N58" i="3"/>
  <c r="N57" i="3"/>
  <c r="O57" i="3" s="1"/>
  <c r="AA5" i="3"/>
  <c r="I16" i="3"/>
  <c r="U57" i="3"/>
  <c r="W57" i="3" s="1"/>
  <c r="O31" i="3"/>
  <c r="O32" i="3"/>
  <c r="R32" i="3" s="1"/>
  <c r="O33" i="3"/>
  <c r="R33" i="3" s="1"/>
  <c r="O34" i="3"/>
  <c r="Q34" i="3" s="1"/>
  <c r="O35" i="3"/>
  <c r="P35" i="3" s="1"/>
  <c r="O36" i="3"/>
  <c r="R36" i="3" s="1"/>
  <c r="O37" i="3"/>
  <c r="R37" i="3" s="1"/>
  <c r="O38" i="3"/>
  <c r="Q38" i="3" s="1"/>
  <c r="O39" i="3"/>
  <c r="P39" i="3" s="1"/>
  <c r="O40" i="3"/>
  <c r="R40" i="3" s="1"/>
  <c r="O41" i="3"/>
  <c r="R41" i="3" s="1"/>
  <c r="O42" i="3"/>
  <c r="Q42" i="3" s="1"/>
  <c r="O43" i="3"/>
  <c r="Q43" i="3" s="1"/>
  <c r="O44" i="3"/>
  <c r="P44" i="3" s="1"/>
  <c r="O30" i="3"/>
  <c r="V57" i="3"/>
  <c r="V59" i="3"/>
  <c r="U58" i="3"/>
  <c r="W58" i="3" s="1"/>
  <c r="U59" i="3"/>
  <c r="W59" i="3" s="1"/>
  <c r="U60" i="3"/>
  <c r="V60" i="3" s="1"/>
  <c r="U61" i="3"/>
  <c r="W61" i="3" s="1"/>
  <c r="U62" i="3"/>
  <c r="W62" i="3" s="1"/>
  <c r="U63" i="3"/>
  <c r="W63" i="3" s="1"/>
  <c r="U64" i="3"/>
  <c r="V64" i="3" s="1"/>
  <c r="U65" i="3"/>
  <c r="V65" i="3" s="1"/>
  <c r="U66" i="3"/>
  <c r="W66" i="3" s="1"/>
  <c r="U67" i="3"/>
  <c r="W67" i="3" s="1"/>
  <c r="U68" i="3"/>
  <c r="W68" i="3" s="1"/>
  <c r="U69" i="3"/>
  <c r="V69" i="3" s="1"/>
  <c r="U70" i="3"/>
  <c r="V70" i="3" s="1"/>
  <c r="W44" i="3"/>
  <c r="W41" i="3"/>
  <c r="W45" i="3"/>
  <c r="W43" i="3"/>
  <c r="W42" i="3"/>
  <c r="W39" i="3"/>
  <c r="W40" i="3"/>
  <c r="W38" i="3"/>
  <c r="W35" i="3"/>
  <c r="W36" i="3"/>
  <c r="W34" i="3"/>
  <c r="W37" i="3"/>
  <c r="W33" i="3"/>
  <c r="W32" i="3"/>
  <c r="W31" i="3"/>
  <c r="V31" i="3"/>
  <c r="V44" i="3"/>
  <c r="V41" i="3"/>
  <c r="V45" i="3"/>
  <c r="V43" i="3"/>
  <c r="V42" i="3"/>
  <c r="V39" i="3"/>
  <c r="V36" i="3"/>
  <c r="V40" i="3"/>
  <c r="V38" i="3"/>
  <c r="V37" i="3"/>
  <c r="V33" i="3"/>
  <c r="V32" i="3"/>
  <c r="V35" i="3"/>
  <c r="V34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AB70" i="3"/>
  <c r="AA70" i="3"/>
  <c r="AB69" i="3"/>
  <c r="AA69" i="3"/>
  <c r="AB68" i="3"/>
  <c r="AA68" i="3"/>
  <c r="AB67" i="3"/>
  <c r="AA67" i="3"/>
  <c r="AB66" i="3"/>
  <c r="AA66" i="3"/>
  <c r="AB65" i="3"/>
  <c r="AA65" i="3"/>
  <c r="AB64" i="3"/>
  <c r="AA64" i="3"/>
  <c r="AB63" i="3"/>
  <c r="AA63" i="3"/>
  <c r="AB62" i="3"/>
  <c r="AA62" i="3"/>
  <c r="AB61" i="3"/>
  <c r="AA61" i="3"/>
  <c r="AB60" i="3"/>
  <c r="AA60" i="3"/>
  <c r="AB59" i="3"/>
  <c r="AA59" i="3"/>
  <c r="AB58" i="3"/>
  <c r="AA58" i="3"/>
  <c r="AB57" i="3"/>
  <c r="AA57" i="3"/>
  <c r="AB56" i="3"/>
  <c r="AA56" i="3"/>
  <c r="AG45" i="3"/>
  <c r="AF45" i="3"/>
  <c r="AB45" i="3"/>
  <c r="AA45" i="3"/>
  <c r="AG44" i="3"/>
  <c r="AF44" i="3"/>
  <c r="AB44" i="3"/>
  <c r="AA44" i="3"/>
  <c r="AG43" i="3"/>
  <c r="AF43" i="3"/>
  <c r="AB43" i="3"/>
  <c r="AA43" i="3"/>
  <c r="AG42" i="3"/>
  <c r="AF42" i="3"/>
  <c r="AB42" i="3"/>
  <c r="AA42" i="3"/>
  <c r="AG41" i="3"/>
  <c r="AF41" i="3"/>
  <c r="AB41" i="3"/>
  <c r="AA41" i="3"/>
  <c r="AG40" i="3"/>
  <c r="AF40" i="3"/>
  <c r="AB40" i="3"/>
  <c r="AA40" i="3"/>
  <c r="AG39" i="3"/>
  <c r="AF39" i="3"/>
  <c r="AB39" i="3"/>
  <c r="AA39" i="3"/>
  <c r="AG38" i="3"/>
  <c r="AF38" i="3"/>
  <c r="AB38" i="3"/>
  <c r="AA38" i="3"/>
  <c r="AG37" i="3"/>
  <c r="AF37" i="3"/>
  <c r="AB37" i="3"/>
  <c r="AA37" i="3"/>
  <c r="AG36" i="3"/>
  <c r="AF36" i="3"/>
  <c r="AB36" i="3"/>
  <c r="AA36" i="3"/>
  <c r="AG35" i="3"/>
  <c r="AF35" i="3"/>
  <c r="AB35" i="3"/>
  <c r="AA35" i="3"/>
  <c r="AG34" i="3"/>
  <c r="AF34" i="3"/>
  <c r="AB34" i="3"/>
  <c r="AA34" i="3"/>
  <c r="AG33" i="3"/>
  <c r="AF33" i="3"/>
  <c r="AB33" i="3"/>
  <c r="AA33" i="3"/>
  <c r="AG32" i="3"/>
  <c r="AF32" i="3"/>
  <c r="AB32" i="3"/>
  <c r="AA32" i="3"/>
  <c r="AG31" i="3"/>
  <c r="AF31" i="3"/>
  <c r="AB31" i="3"/>
  <c r="AA31" i="3"/>
  <c r="AG19" i="3"/>
  <c r="AF19" i="3"/>
  <c r="AB19" i="3"/>
  <c r="AA19" i="3"/>
  <c r="V19" i="3"/>
  <c r="AG18" i="3"/>
  <c r="AF18" i="3"/>
  <c r="AB18" i="3"/>
  <c r="AA18" i="3"/>
  <c r="V18" i="3"/>
  <c r="AG17" i="3"/>
  <c r="AF17" i="3"/>
  <c r="AB17" i="3"/>
  <c r="AA17" i="3"/>
  <c r="V17" i="3"/>
  <c r="AG16" i="3"/>
  <c r="AF16" i="3"/>
  <c r="AB16" i="3"/>
  <c r="AA16" i="3"/>
  <c r="V16" i="3"/>
  <c r="AG15" i="3"/>
  <c r="AF15" i="3"/>
  <c r="AB15" i="3"/>
  <c r="AA15" i="3"/>
  <c r="V15" i="3"/>
  <c r="AG14" i="3"/>
  <c r="AF14" i="3"/>
  <c r="AB14" i="3"/>
  <c r="AA14" i="3"/>
  <c r="V14" i="3"/>
  <c r="AG13" i="3"/>
  <c r="AF13" i="3"/>
  <c r="AB13" i="3"/>
  <c r="AA13" i="3"/>
  <c r="V13" i="3"/>
  <c r="AG12" i="3"/>
  <c r="AF12" i="3"/>
  <c r="AB12" i="3"/>
  <c r="AA12" i="3"/>
  <c r="V12" i="3"/>
  <c r="AG11" i="3"/>
  <c r="AF11" i="3"/>
  <c r="AB11" i="3"/>
  <c r="AA11" i="3"/>
  <c r="V11" i="3"/>
  <c r="AG10" i="3"/>
  <c r="AF10" i="3"/>
  <c r="AB10" i="3"/>
  <c r="AA10" i="3"/>
  <c r="V10" i="3"/>
  <c r="AG9" i="3"/>
  <c r="AF9" i="3"/>
  <c r="AB9" i="3"/>
  <c r="AA9" i="3"/>
  <c r="V9" i="3"/>
  <c r="AG8" i="3"/>
  <c r="AF8" i="3"/>
  <c r="AB8" i="3"/>
  <c r="AA8" i="3"/>
  <c r="V8" i="3"/>
  <c r="AG7" i="3"/>
  <c r="AF7" i="3"/>
  <c r="AB7" i="3"/>
  <c r="AA7" i="3"/>
  <c r="V7" i="3"/>
  <c r="AG6" i="3"/>
  <c r="AF6" i="3"/>
  <c r="AB6" i="3"/>
  <c r="AA6" i="3"/>
  <c r="V6" i="3"/>
  <c r="AG5" i="3"/>
  <c r="AF5" i="3"/>
  <c r="AB5" i="3"/>
  <c r="I18" i="3"/>
  <c r="I17" i="3"/>
  <c r="I15" i="3"/>
  <c r="I14" i="3"/>
  <c r="I13" i="3"/>
  <c r="I12" i="3"/>
  <c r="I11" i="3"/>
  <c r="I10" i="3"/>
  <c r="I9" i="3"/>
  <c r="I8" i="3"/>
  <c r="I7" i="3"/>
  <c r="I6" i="3"/>
  <c r="I5" i="3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D324" i="3" l="1"/>
  <c r="H296" i="3"/>
  <c r="H295" i="3"/>
  <c r="D296" i="3"/>
  <c r="X240" i="3"/>
  <c r="X241" i="3"/>
  <c r="T239" i="3"/>
  <c r="R162" i="3"/>
  <c r="R164" i="3"/>
  <c r="N162" i="3"/>
  <c r="R163" i="3"/>
  <c r="R146" i="3"/>
  <c r="N146" i="3"/>
  <c r="R131" i="3"/>
  <c r="R130" i="3"/>
  <c r="R129" i="3"/>
  <c r="N131" i="3"/>
  <c r="O64" i="3"/>
  <c r="N94" i="3"/>
  <c r="AB20" i="3"/>
  <c r="O58" i="3"/>
  <c r="O68" i="3"/>
  <c r="N88" i="3"/>
  <c r="O90" i="3"/>
  <c r="O97" i="3" s="1"/>
  <c r="R89" i="3" s="1"/>
  <c r="AA20" i="3"/>
  <c r="Q33" i="3"/>
  <c r="O63" i="3"/>
  <c r="R102" i="3"/>
  <c r="R104" i="3"/>
  <c r="N102" i="3"/>
  <c r="N104" i="3"/>
  <c r="V63" i="3"/>
  <c r="W65" i="3"/>
  <c r="W46" i="3"/>
  <c r="C41" i="3" s="1"/>
  <c r="V61" i="3"/>
  <c r="R31" i="3"/>
  <c r="R44" i="3"/>
  <c r="P43" i="3"/>
  <c r="V67" i="3"/>
  <c r="R39" i="3"/>
  <c r="Q41" i="3"/>
  <c r="O69" i="3"/>
  <c r="R35" i="3"/>
  <c r="Q37" i="3"/>
  <c r="W70" i="3"/>
  <c r="P34" i="3"/>
  <c r="V20" i="3"/>
  <c r="C27" i="3" s="1"/>
  <c r="V46" i="3"/>
  <c r="C40" i="3" s="1"/>
  <c r="V66" i="3"/>
  <c r="V62" i="3"/>
  <c r="V58" i="3"/>
  <c r="W69" i="3"/>
  <c r="W64" i="3"/>
  <c r="W60" i="3"/>
  <c r="R43" i="3"/>
  <c r="R38" i="3"/>
  <c r="R34" i="3"/>
  <c r="P41" i="3"/>
  <c r="P37" i="3"/>
  <c r="P33" i="3"/>
  <c r="Q40" i="3"/>
  <c r="Q36" i="3"/>
  <c r="Q32" i="3"/>
  <c r="P38" i="3"/>
  <c r="P40" i="3"/>
  <c r="P36" i="3"/>
  <c r="P32" i="3"/>
  <c r="Q44" i="3"/>
  <c r="Q39" i="3"/>
  <c r="Q35" i="3"/>
  <c r="Q31" i="3"/>
  <c r="W20" i="3"/>
  <c r="C28" i="3" s="1"/>
  <c r="V68" i="3"/>
  <c r="R42" i="3"/>
  <c r="P42" i="3"/>
  <c r="R88" i="3" l="1"/>
  <c r="N97" i="3"/>
  <c r="H27" i="3"/>
  <c r="H30" i="3"/>
  <c r="Q45" i="3"/>
  <c r="C36" i="3" s="1"/>
  <c r="R45" i="3"/>
  <c r="C37" i="3" s="1"/>
  <c r="W71" i="3"/>
  <c r="V71" i="3"/>
  <c r="P45" i="3"/>
  <c r="V76" i="3" l="1"/>
  <c r="H28" i="3"/>
  <c r="C35" i="3"/>
  <c r="H29" i="3" s="1"/>
  <c r="V5" i="1" l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31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5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56" i="1"/>
  <c r="W57" i="1" l="1"/>
  <c r="W58" i="1"/>
  <c r="W59" i="1"/>
  <c r="W60" i="1"/>
  <c r="W61" i="1"/>
  <c r="W62" i="1"/>
  <c r="W63" i="1"/>
  <c r="W65" i="1"/>
  <c r="W66" i="1"/>
  <c r="W68" i="1"/>
  <c r="W70" i="1"/>
  <c r="W75" i="1"/>
  <c r="W56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31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5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31" i="1"/>
  <c r="V63" i="1"/>
  <c r="V64" i="1"/>
  <c r="V67" i="1"/>
  <c r="V69" i="1"/>
  <c r="V70" i="1"/>
  <c r="V71" i="1"/>
  <c r="V72" i="1"/>
  <c r="V73" i="1"/>
  <c r="V74" i="1"/>
  <c r="V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56" i="1"/>
  <c r="V35" i="1"/>
  <c r="V36" i="1"/>
  <c r="V38" i="1"/>
  <c r="V39" i="1"/>
  <c r="V43" i="1"/>
  <c r="V44" i="1"/>
  <c r="V45" i="1"/>
  <c r="V46" i="1"/>
  <c r="V47" i="1"/>
  <c r="V48" i="1"/>
  <c r="V49" i="1"/>
  <c r="V31" i="1"/>
  <c r="W6" i="1"/>
  <c r="W7" i="1"/>
  <c r="W8" i="1"/>
  <c r="W10" i="1"/>
  <c r="W11" i="1"/>
  <c r="W12" i="1"/>
  <c r="W13" i="1"/>
  <c r="W14" i="1"/>
  <c r="W15" i="1"/>
  <c r="W16" i="1"/>
  <c r="W17" i="1"/>
  <c r="W19" i="1"/>
  <c r="W20" i="1"/>
  <c r="W21" i="1"/>
  <c r="W22" i="1"/>
  <c r="W23" i="1"/>
  <c r="W24" i="1"/>
  <c r="W5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AJ248" i="10" l="1"/>
  <c r="AU249" i="10"/>
  <c r="AZ247" i="10"/>
  <c r="AA247" i="10"/>
  <c r="AF247" i="10"/>
  <c r="AJ247" i="10"/>
  <c r="AP248" i="10"/>
  <c r="Z248" i="10"/>
  <c r="AP249" i="10"/>
  <c r="AJ249" i="10"/>
  <c r="AO249" i="10"/>
  <c r="BG249" i="10"/>
  <c r="Q247" i="10"/>
  <c r="AE248" i="10"/>
  <c r="Q249" i="10"/>
  <c r="AK249" i="10"/>
  <c r="R248" i="10"/>
  <c r="AO247" i="10"/>
  <c r="AU248" i="10"/>
  <c r="AT247" i="10"/>
  <c r="R249" i="10"/>
  <c r="AA248" i="10"/>
  <c r="V249" i="10"/>
  <c r="BA248" i="10"/>
  <c r="AE247" i="10"/>
  <c r="BG247" i="10"/>
  <c r="BA249" i="10"/>
  <c r="V248" i="10"/>
  <c r="AZ248" i="10"/>
  <c r="BE249" i="10"/>
  <c r="W247" i="10"/>
  <c r="W249" i="10"/>
  <c r="Z249" i="10"/>
  <c r="AO248" i="10"/>
  <c r="BA247" i="10"/>
  <c r="AZ249" i="10"/>
  <c r="AF249" i="10"/>
  <c r="AT249" i="10"/>
  <c r="AF248" i="10"/>
  <c r="AU247" i="10"/>
  <c r="O258" i="10" s="1"/>
  <c r="V247" i="10"/>
  <c r="AK248" i="10"/>
  <c r="AP247" i="10"/>
  <c r="W248" i="10"/>
  <c r="BE248" i="10"/>
  <c r="BF249" i="10"/>
  <c r="BG248" i="10"/>
  <c r="AA249" i="10"/>
  <c r="AT248" i="10"/>
  <c r="Q248" i="10"/>
  <c r="AE249" i="10"/>
  <c r="R247" i="10"/>
  <c r="BE247" i="10"/>
  <c r="M260" i="10" s="1"/>
  <c r="BF247" i="10"/>
  <c r="AK247" i="10"/>
  <c r="Z247" i="10"/>
  <c r="BF248" i="10"/>
  <c r="O252" i="10" l="1"/>
  <c r="M254" i="10"/>
  <c r="O257" i="10"/>
  <c r="O253" i="10"/>
  <c r="O259" i="10"/>
  <c r="M258" i="10"/>
  <c r="V259" i="10" s="1"/>
  <c r="O254" i="10"/>
  <c r="Q260" i="10"/>
  <c r="M259" i="10"/>
  <c r="V260" i="10" s="1"/>
  <c r="O256" i="10"/>
  <c r="O260" i="10"/>
  <c r="M257" i="10"/>
  <c r="M256" i="10"/>
  <c r="M253" i="10"/>
  <c r="M255" i="10"/>
  <c r="M252" i="10"/>
  <c r="O255" i="10"/>
  <c r="V255" i="10" l="1"/>
  <c r="V253" i="10"/>
  <c r="V258" i="10"/>
  <c r="V254" i="10"/>
  <c r="V261" i="10"/>
  <c r="V257" i="10"/>
  <c r="V256" i="10"/>
</calcChain>
</file>

<file path=xl/sharedStrings.xml><?xml version="1.0" encoding="utf-8"?>
<sst xmlns="http://schemas.openxmlformats.org/spreadsheetml/2006/main" count="8519" uniqueCount="303">
  <si>
    <t>REKAPITULASI HASIL PEMERIKSAAN FAKTOR RISIKO PENYAKIT HIPERTENSI 2014</t>
  </si>
  <si>
    <t>Risiko:</t>
  </si>
  <si>
    <t>T (Tinggi)</t>
  </si>
  <si>
    <t>No.</t>
  </si>
  <si>
    <t>Umur</t>
  </si>
  <si>
    <t>Sex</t>
  </si>
  <si>
    <t>Tekanan Darah</t>
  </si>
  <si>
    <t>Lingkar Perut</t>
  </si>
  <si>
    <t>TB</t>
  </si>
  <si>
    <t>BB</t>
  </si>
  <si>
    <t>BMI</t>
  </si>
  <si>
    <t>Merokok</t>
  </si>
  <si>
    <t>Makanan Berlemak</t>
  </si>
  <si>
    <t>Kon. Gula</t>
  </si>
  <si>
    <t>Kon.Garam</t>
  </si>
  <si>
    <t>Olahraga</t>
  </si>
  <si>
    <t>Konsumsi Kafein</t>
  </si>
  <si>
    <t>Risiko Hipertensi</t>
  </si>
  <si>
    <t>S (Sedang)</t>
  </si>
  <si>
    <t>Sistol</t>
  </si>
  <si>
    <t>Diastol</t>
  </si>
  <si>
    <t>∑</t>
  </si>
  <si>
    <t>R (Rendah)</t>
  </si>
  <si>
    <t>KECAMATAN HARUAI KABUPATEN TABALONG</t>
  </si>
  <si>
    <t>L</t>
  </si>
  <si>
    <t>Ya</t>
  </si>
  <si>
    <t>Jarang</t>
  </si>
  <si>
    <t>≤ 4 sdm</t>
  </si>
  <si>
    <t>≤ 1 sdt</t>
  </si>
  <si>
    <t>≤ 3 gelas</t>
  </si>
  <si>
    <t>Sedang</t>
  </si>
  <si>
    <t>Tdk</t>
  </si>
  <si>
    <t>&gt; 4 sdm</t>
  </si>
  <si>
    <t>&gt; 1 sdt</t>
  </si>
  <si>
    <t>Tidak</t>
  </si>
  <si>
    <t>Tinggi</t>
  </si>
  <si>
    <t>Rendah</t>
  </si>
  <si>
    <t>P</t>
  </si>
  <si>
    <t>&gt; 3 gelas</t>
  </si>
  <si>
    <t>Sering</t>
  </si>
  <si>
    <t>KELURAHAN PALANGKA KECAMATAN JEKAN RAYA KOTA PALANGKARAYA</t>
  </si>
  <si>
    <t>Data ke</t>
  </si>
  <si>
    <t>Usia</t>
  </si>
  <si>
    <t>Tua</t>
  </si>
  <si>
    <t>Normal</t>
  </si>
  <si>
    <t>OverWeight</t>
  </si>
  <si>
    <t>Data Ke</t>
  </si>
  <si>
    <t>Overweight</t>
  </si>
  <si>
    <t>M. Berlemak</t>
  </si>
  <si>
    <t>Flowchart Proses Utama</t>
  </si>
  <si>
    <t>Proses Fuzzifikasi</t>
  </si>
  <si>
    <t>Pembentukan Tree dengan Fuzzy ID3</t>
  </si>
  <si>
    <t>Kon. Garam</t>
  </si>
  <si>
    <t>Min</t>
  </si>
  <si>
    <t>Max</t>
  </si>
  <si>
    <t>Muda</t>
  </si>
  <si>
    <t>L. Perut</t>
  </si>
  <si>
    <t>Kecil</t>
  </si>
  <si>
    <t>Besar</t>
  </si>
  <si>
    <t>T. Darah</t>
  </si>
  <si>
    <t>PraHipertensi</t>
  </si>
  <si>
    <t>Hipertensi</t>
  </si>
  <si>
    <t>Pra. H</t>
  </si>
  <si>
    <t>Fuzzy Entropy Keseluruhan Data</t>
  </si>
  <si>
    <t>SUM</t>
  </si>
  <si>
    <t>IG Umur</t>
  </si>
  <si>
    <t>Risiko</t>
  </si>
  <si>
    <t>IG BMI</t>
  </si>
  <si>
    <t>Fuzzy Entropy Umur</t>
  </si>
  <si>
    <t>Fuzzy Entropy BMI</t>
  </si>
  <si>
    <t>OW</t>
  </si>
  <si>
    <t>IG T. Darah</t>
  </si>
  <si>
    <t>Fuzzy Entropy T. Darah</t>
  </si>
  <si>
    <t>IG L. Perut</t>
  </si>
  <si>
    <t>Fuzzy Entropy L. Perut</t>
  </si>
  <si>
    <t>K. Kafein</t>
  </si>
  <si>
    <t>Pembentukan Tree</t>
  </si>
  <si>
    <t>No</t>
  </si>
  <si>
    <t>MF</t>
  </si>
  <si>
    <t>C</t>
  </si>
  <si>
    <t>rendah</t>
  </si>
  <si>
    <t>Perhitungan Proporsi</t>
  </si>
  <si>
    <t>C1</t>
  </si>
  <si>
    <t>C2</t>
  </si>
  <si>
    <t>C3</t>
  </si>
  <si>
    <t>Hasil</t>
  </si>
  <si>
    <t>normal</t>
  </si>
  <si>
    <t>tinggi</t>
  </si>
  <si>
    <t>Tree Tahap 1</t>
  </si>
  <si>
    <t>Level 1 Iterasi ke-1</t>
  </si>
  <si>
    <t>berhenti ekspansi</t>
  </si>
  <si>
    <t>Entropy Seluruh Data</t>
  </si>
  <si>
    <t>MF Muda</t>
  </si>
  <si>
    <t>MF Tua</t>
  </si>
  <si>
    <t>root node</t>
  </si>
  <si>
    <t>sub node</t>
  </si>
  <si>
    <t xml:space="preserve">MF </t>
  </si>
  <si>
    <t>sedang</t>
  </si>
  <si>
    <t>Node Normal</t>
  </si>
  <si>
    <t>Node Pra Hipertensi</t>
  </si>
  <si>
    <t>Node Hipertensi</t>
  </si>
  <si>
    <t>Node Kecil</t>
  </si>
  <si>
    <t>Node Besar</t>
  </si>
  <si>
    <t>kecil</t>
  </si>
  <si>
    <t>besar</t>
  </si>
  <si>
    <t>Tree Tahap 2</t>
  </si>
  <si>
    <t>Level 2 Iterasi ke-1</t>
  </si>
  <si>
    <t>Entropy S. Data</t>
  </si>
  <si>
    <t>Sub Node selanjutnya</t>
  </si>
  <si>
    <t>Node Overweight</t>
  </si>
  <si>
    <t>Level 3 Iterasi ke-1</t>
  </si>
  <si>
    <t>Node Muda</t>
  </si>
  <si>
    <t>Node Tua</t>
  </si>
  <si>
    <t>Tree Tahap 3</t>
  </si>
  <si>
    <t>overweight</t>
  </si>
  <si>
    <t>muda</t>
  </si>
  <si>
    <t>tua</t>
  </si>
  <si>
    <t>Level 3 Iterasi ke-2</t>
  </si>
  <si>
    <t>PraHiipertensi</t>
  </si>
  <si>
    <t>Tree Tahap 4</t>
  </si>
  <si>
    <t>pra</t>
  </si>
  <si>
    <t>hipertensi</t>
  </si>
  <si>
    <t>Level 2 Iterasi ke-2</t>
  </si>
  <si>
    <t xml:space="preserve">Sub Node </t>
  </si>
  <si>
    <t>Fuzzy Entropy Seluruh Data</t>
  </si>
  <si>
    <t>MF OW</t>
  </si>
  <si>
    <t>MF Normal</t>
  </si>
  <si>
    <t>IG umur</t>
  </si>
  <si>
    <t>SubNode Selanjutnya</t>
  </si>
  <si>
    <t>MF Kecil</t>
  </si>
  <si>
    <t>Proporsi Kelas</t>
  </si>
  <si>
    <t>FCT: 60%</t>
  </si>
  <si>
    <t>Berhenti Ekspansi</t>
  </si>
  <si>
    <t>Mf Tua</t>
  </si>
  <si>
    <t>g peran</t>
  </si>
  <si>
    <t>popsize</t>
  </si>
  <si>
    <t>cr</t>
  </si>
  <si>
    <t>mr</t>
  </si>
  <si>
    <t>generasi</t>
  </si>
  <si>
    <t>Individu</t>
  </si>
  <si>
    <t>a1</t>
  </si>
  <si>
    <t>a2</t>
  </si>
  <si>
    <t>b1</t>
  </si>
  <si>
    <t>b2</t>
  </si>
  <si>
    <t>c2</t>
  </si>
  <si>
    <t>c1</t>
  </si>
  <si>
    <t>d1</t>
  </si>
  <si>
    <t>d2</t>
  </si>
  <si>
    <t>P1</t>
  </si>
  <si>
    <t>P2</t>
  </si>
  <si>
    <t>P3</t>
  </si>
  <si>
    <t xml:space="preserve">Variabel </t>
  </si>
  <si>
    <t>Himpunan</t>
  </si>
  <si>
    <t>Gen</t>
  </si>
  <si>
    <t>d3</t>
  </si>
  <si>
    <t>Pra H</t>
  </si>
  <si>
    <t>Kromosom</t>
  </si>
  <si>
    <t>Crossover One Cut Point</t>
  </si>
  <si>
    <t>Rand parent index :</t>
  </si>
  <si>
    <t>Rand cut point:</t>
  </si>
  <si>
    <t>Mutasi Reciprocal Exchange</t>
  </si>
  <si>
    <t>Rand parent index:</t>
  </si>
  <si>
    <t>Rand point:</t>
  </si>
  <si>
    <t>C4</t>
  </si>
  <si>
    <t>Parent and Child</t>
  </si>
  <si>
    <t>Berhenti</t>
  </si>
  <si>
    <t>Sub Node Selanjutnya</t>
  </si>
  <si>
    <t>Rule</t>
  </si>
  <si>
    <t>If T. Darah Normal Then Risiko Hipertensi rendah</t>
  </si>
  <si>
    <t>If T. Darah Pra Hipertensi And L. Perut Kecil And Umur Muda And BMI Normal Then Risiko Rendah</t>
  </si>
  <si>
    <t>If T. Darah Pra Hipertensi And L. Perut Kecil And Umur Muda And BMI Overweight Then Risiko Hipertensi Sedang</t>
  </si>
  <si>
    <t>If T. Darah Pra Hipertensi And L. Perut Kecil And Umur Tua Then Risiko Hipertensi Sedang</t>
  </si>
  <si>
    <t>If T. Darah Pra Hipertensi And BMI Normal Then Risiko Hipertensi Rendah</t>
  </si>
  <si>
    <t>If T. Darah Pra Hipertensi And BMI Overweight And Umur Muda Then Risiko Hipertensi Sedang</t>
  </si>
  <si>
    <t>If T. Darah Pra Hipertensi And BMI Overweight And Umur Tua Then Risiko Hipertensi Sedang</t>
  </si>
  <si>
    <t>If T. Darah Hipertensi Then Risiko Hipertensi Tinggi</t>
  </si>
  <si>
    <t>Inferensi Mamdani</t>
  </si>
  <si>
    <t>Rule Terpenuhi</t>
  </si>
  <si>
    <t>Data</t>
  </si>
  <si>
    <t>3, 4, 6, 7, 8</t>
  </si>
  <si>
    <t xml:space="preserve">If T. Darah = Pra Hipertensi(0,875) AND L. Perut = Kecil(0,13333) AND Umur = Muda(0,12) AND BMI = Overweight(1) THEN Kelas = </t>
  </si>
  <si>
    <t>MF H</t>
  </si>
  <si>
    <t>Berhenti ekspansi</t>
  </si>
  <si>
    <t>MF Pra. H</t>
  </si>
  <si>
    <t>MF Besar</t>
  </si>
  <si>
    <t>IF BMI Normal AND T. Darah Normal THEN risiko hipertensi Rendah</t>
  </si>
  <si>
    <t>IF BMI Normal AND T. Darah Pra Hipertensi AND L. Perut Kecil THEN risiko hipertensi Sedang</t>
  </si>
  <si>
    <t>IF BMI Normal AND T. Darah Pra Hipertensi AND Umur Muda THEN risiko hipertensi Sedang</t>
  </si>
  <si>
    <t>IF BMI Normal AND T. Darah Pra Hipertensi AND Umur Tua THEN risiko hipertensi Sedang</t>
  </si>
  <si>
    <t>IF BMI Normal AND T. Darah Hipertensi AND Umur Muda AND L. Perut Kecil THEN risiko hipertensi Rendah</t>
  </si>
  <si>
    <t>IF BMI Normal AND T. Darah Hipertensi AND Umur Muda AND L. Perut Besar THEN risiko hipertensi Tinggi</t>
  </si>
  <si>
    <t>IF BMI Normal AND T. Darah Hipertensi AND Umur Tua AND L. Perut Kecil THEN risiko hipertensi Sedang</t>
  </si>
  <si>
    <t>IF BMI Normal AND T. Darah Hipertensi AND Umur Tua AND L. Perut Besar THEN risiko hipertensi Tinggi</t>
  </si>
  <si>
    <t>IF BMI Overweight THEN risiko hipertensi Tinggi</t>
  </si>
  <si>
    <t>Pra Hiper</t>
  </si>
  <si>
    <t>Hiper</t>
  </si>
  <si>
    <t>Node Pra H</t>
  </si>
  <si>
    <t>2, 3</t>
  </si>
  <si>
    <t>1, 2</t>
  </si>
  <si>
    <t>MF Hipertensi</t>
  </si>
  <si>
    <t>IF BMI Normal AND L. Perut Kecil AND T. Darah Normal THEN risiko hipertensi rendah</t>
  </si>
  <si>
    <t>IF BMI Normal AND L. Perut Kecil AND T. Darah Pra Hipertensi THEN risiko hipertensi sedang</t>
  </si>
  <si>
    <t>IF BMI Normal AND L. Perut Kecil AND T. Darah Hipertensi AND Umur muda THEN risiko hipertensi rendah</t>
  </si>
  <si>
    <t>IF BMI Normal AND L. Perut Kecil AND T. Darah Hipertensi AND Umur tua THEN risiko hipertensi sedang</t>
  </si>
  <si>
    <t>IF BMI Normal AND L. Perut Besar AND T. Darah Normal THEN risiko hipertensi rendah</t>
  </si>
  <si>
    <t>IF BMI Normal AND L. Perut Besar AND T. Darah Pra Hipertensi AND Umur muda THEN risiko hipertensi rendah</t>
  </si>
  <si>
    <t>IF BMI Normal AND L. Perut Besar AND T. Darah Pra Hipertensi AND Umur tua THEN risiko hipertensi Sedang</t>
  </si>
  <si>
    <t>IF BMI Normal AND L. Perut Besar AND T. Darah Hipertensi AND Umur muda THEN risiko hipertensi sedang</t>
  </si>
  <si>
    <t>IF BMI Normal AND L. Perut Besar AND T. Darah Hipertensi AND Umur tua THEN risiko hipertensi tinggi</t>
  </si>
  <si>
    <t>IF BMI Overweight AND T. Darah Normal THEN risiko hipertensi rendah</t>
  </si>
  <si>
    <t>IF BMI Overweight AND T. Darah Pra Hipertensi AND L. Perut kecil THEN risiko hipertensi sedang</t>
  </si>
  <si>
    <t>IF BMI Overweight AND T. Darah Pra Hipertensi AND L. Perut Besar AND Umur Tua THEN risiko hipertensi rendah</t>
  </si>
  <si>
    <t>IF BMI Overweight AND T. Darah Pra Hipertensi L. Perut Besar AND Umur Muda THEN risiko hipertensi sedang</t>
  </si>
  <si>
    <t>IF BMI Overweight AND T. Darah Hipertensi THEN risiko hipertensi tinggi</t>
  </si>
  <si>
    <t>LP</t>
  </si>
  <si>
    <t>TD</t>
  </si>
  <si>
    <t>e1</t>
  </si>
  <si>
    <t>e2</t>
  </si>
  <si>
    <t>e3</t>
  </si>
  <si>
    <t>e4</t>
  </si>
  <si>
    <t>Rule Ke</t>
  </si>
  <si>
    <t>-</t>
  </si>
  <si>
    <t>Minimum</t>
  </si>
  <si>
    <t>Maximum</t>
  </si>
  <si>
    <t>Data 1</t>
  </si>
  <si>
    <t>Titik Potong</t>
  </si>
  <si>
    <t>A</t>
  </si>
  <si>
    <t>B</t>
  </si>
  <si>
    <t>Defuzzifikasi</t>
  </si>
  <si>
    <t>Data 2</t>
  </si>
  <si>
    <t>Data 3</t>
  </si>
  <si>
    <t>Data 4</t>
  </si>
  <si>
    <t>Data 5</t>
  </si>
  <si>
    <t>Data 6</t>
  </si>
  <si>
    <t>Perhitungan Fitness</t>
  </si>
  <si>
    <t>Data Latih</t>
  </si>
  <si>
    <t>Data 7</t>
  </si>
  <si>
    <t>Data 8</t>
  </si>
  <si>
    <t>Data 9</t>
  </si>
  <si>
    <t>Data 10</t>
  </si>
  <si>
    <t>If T. Darah Pra Hipertensi And L. Perut Besar And BMI Overweight And Umur Tua Then Risiko Hipertensi Sedang</t>
  </si>
  <si>
    <t>If T. Darah Pra Hipertensi And L. Perut Besar And BMI Overweight And Umur Muda Then Risiko Hipertensi Sedang</t>
  </si>
  <si>
    <t>Data 11</t>
  </si>
  <si>
    <t>Data 12</t>
  </si>
  <si>
    <t>Data 13</t>
  </si>
  <si>
    <t>Data 14</t>
  </si>
  <si>
    <t>Data 15</t>
  </si>
  <si>
    <t>no</t>
  </si>
  <si>
    <t>Lperut</t>
  </si>
  <si>
    <t>Tdarah</t>
  </si>
  <si>
    <t>Kesimpulan</t>
  </si>
  <si>
    <t>min</t>
  </si>
  <si>
    <t>az</t>
  </si>
  <si>
    <t>z</t>
  </si>
  <si>
    <t>TD Sistol</t>
  </si>
  <si>
    <t>TD Diastol</t>
  </si>
  <si>
    <t>Pra Hipertensi</t>
  </si>
  <si>
    <t>Pra</t>
  </si>
  <si>
    <t>Obesitas</t>
  </si>
  <si>
    <t>Fuzzifikasi</t>
  </si>
  <si>
    <t>Kon. Kafein</t>
  </si>
  <si>
    <t>Entropy Keseluruhan Data</t>
  </si>
  <si>
    <t>IG Tekanan Darah</t>
  </si>
  <si>
    <t>IG Lingkar Perut</t>
  </si>
  <si>
    <t>IG Merokok</t>
  </si>
  <si>
    <t>IG Makanan Berlemak</t>
  </si>
  <si>
    <t>IG Kon. Gula</t>
  </si>
  <si>
    <t>IG Kon. Garam</t>
  </si>
  <si>
    <t>IG Olahraga</t>
  </si>
  <si>
    <t>IG Kafein</t>
  </si>
  <si>
    <t>Entropy Umur</t>
  </si>
  <si>
    <t>Entropy T. Darah</t>
  </si>
  <si>
    <t>Entropy L. Perut</t>
  </si>
  <si>
    <t>Entropy BMI</t>
  </si>
  <si>
    <t>Entropy Merokok</t>
  </si>
  <si>
    <t>Entropy M. Berlemak</t>
  </si>
  <si>
    <t>Entropy Kon. Gula</t>
  </si>
  <si>
    <t>Entropy Kon. Garam</t>
  </si>
  <si>
    <t>Entropy Olahraga</t>
  </si>
  <si>
    <t>Entropy Kafein</t>
  </si>
  <si>
    <t>P.Hiper</t>
  </si>
  <si>
    <t>Node Prahipertensi</t>
  </si>
  <si>
    <t>Persentase</t>
  </si>
  <si>
    <t>FCT</t>
  </si>
  <si>
    <t>Node ≤ 1 sdt</t>
  </si>
  <si>
    <t>Node &gt; 1 sdt</t>
  </si>
  <si>
    <t>Node Tidak</t>
  </si>
  <si>
    <t>Node ≤ 3 gelas</t>
  </si>
  <si>
    <t>Node &gt; 3 gelas</t>
  </si>
  <si>
    <t>Node Ya</t>
  </si>
  <si>
    <t>Node Jarang</t>
  </si>
  <si>
    <t>Node Sering</t>
  </si>
  <si>
    <t>RULES</t>
  </si>
  <si>
    <t>NO</t>
  </si>
  <si>
    <t>RESULT</t>
  </si>
  <si>
    <t>IF Tekanan Darah Normal AND Konsumsi Garam ≤ 1 sdt AND Konsumsi Kafein Tidak THEN</t>
  </si>
  <si>
    <t>IF Tekanan Darah Normal AND Konsumsi Garam ≤ 1 sdt AND Konsumsi Kafein ≤ 3 gelas THEN</t>
  </si>
  <si>
    <t>IF Tekanan Darah Normal AND Konsumsi Garam ≤ 1 sdt AND Konsumsi Kafein &gt; 3 gelas THEN</t>
  </si>
  <si>
    <t>IF Tekanan Darah Prahipertensi AND Konsumsi Kafein Tidak AND Olahraga Ya THEN</t>
  </si>
  <si>
    <t>IF Tekanan Darah Prahipertensi AND Konsumsi Kafein Tidak AND Olahraga Tidak AND</t>
  </si>
  <si>
    <t>Makanan Berlemak Jarang AND Konsumsi Garam ≤ 1 sdt THEN</t>
  </si>
  <si>
    <t>Makanan Berlemak Jarang AND Konsumsi Garam &gt; 1 sdt THEN</t>
  </si>
  <si>
    <t xml:space="preserve">Makanan Berlemak Sering THEN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</si>
</sst>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4" borderId="1" xfId="0" applyFill="1" applyBorder="1"/>
    <xf numFmtId="0" fontId="0" fillId="5" borderId="2" xfId="0" applyFill="1" applyBorder="1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/>
    <xf numFmtId="0" fontId="0" fillId="0" borderId="15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 applyAlignment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Fill="1" applyBorder="1" applyAlignment="1"/>
    <xf numFmtId="0" fontId="4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17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/>
    <xf numFmtId="0" fontId="0" fillId="6" borderId="0" xfId="0" applyFill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6" xfId="0" applyFill="1" applyBorder="1"/>
    <xf numFmtId="0" fontId="0" fillId="0" borderId="6" xfId="0" applyBorder="1" applyAlignment="1">
      <alignment horizontal="center" vertical="center"/>
    </xf>
    <xf numFmtId="0" fontId="0" fillId="0" borderId="0" xfId="0" applyFill="1"/>
    <xf numFmtId="16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/>
    <xf numFmtId="0" fontId="0" fillId="0" borderId="1" xfId="0" applyFill="1" applyBorder="1"/>
    <xf numFmtId="0" fontId="1" fillId="0" borderId="0" xfId="0" applyFont="1"/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2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0" fontId="0" fillId="2" borderId="0" xfId="0" applyFill="1"/>
    <xf numFmtId="0" fontId="0" fillId="8" borderId="0" xfId="0" applyFill="1"/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0" fillId="8" borderId="1" xfId="0" applyFill="1" applyBorder="1"/>
    <xf numFmtId="0" fontId="0" fillId="0" borderId="10" xfId="0" applyFill="1" applyBorder="1"/>
    <xf numFmtId="0" fontId="0" fillId="0" borderId="28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7" borderId="0" xfId="0" applyFill="1"/>
    <xf numFmtId="0" fontId="1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/>
    <xf numFmtId="0" fontId="1" fillId="0" borderId="0" xfId="0" applyFont="1"/>
    <xf numFmtId="0" fontId="0" fillId="0" borderId="15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4" fillId="0" borderId="1" xfId="0" applyFont="1" applyBorder="1"/>
    <xf numFmtId="0" fontId="1" fillId="0" borderId="1" xfId="0" applyFont="1" applyBorder="1"/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/>
    <xf numFmtId="0" fontId="4" fillId="0" borderId="1" xfId="0" applyFont="1" applyFill="1" applyBorder="1"/>
    <xf numFmtId="0" fontId="0" fillId="0" borderId="4" xfId="0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2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0" xfId="0" applyFill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Fill="1" applyBorder="1" applyAlignment="1">
      <alignment horizontal="right"/>
    </xf>
    <xf numFmtId="0" fontId="4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9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286871</xdr:colOff>
      <xdr:row>44</xdr:row>
      <xdr:rowOff>152401</xdr:rowOff>
    </xdr:from>
    <xdr:to>
      <xdr:col>9</xdr:col>
      <xdr:colOff>322729</xdr:colOff>
      <xdr:row>53</xdr:row>
      <xdr:rowOff>8965</xdr:rowOff>
    </xdr:to>
    <xdr:grpSp>
      <xdr:nvGrpSpPr>
        <xdr:cNvPr id="2" name="Group 1"/>
        <xdr:cNvGrpSpPr/>
      </xdr:nvGrpSpPr>
      <xdr:grpSpPr>
        <a:xfrm>
          <a:off x="896471" y="8403772"/>
          <a:ext cx="4912658" cy="1522079"/>
          <a:chOff x="896471" y="8403772"/>
          <a:chExt cx="4912658" cy="1522079"/>
        </a:xfrm>
      </xdr:grpSpPr>
      <xdr:sp macro="" textlink="">
        <xdr:nvSpPr>
          <xdr:cNvPr id="3" name="Oval 2"/>
          <xdr:cNvSpPr/>
        </xdr:nvSpPr>
        <xdr:spPr>
          <a:xfrm>
            <a:off x="2800127" y="8403772"/>
            <a:ext cx="1303020" cy="64027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T. Darah</a:t>
            </a:r>
            <a:endParaRPr lang="id-ID" sz="1100"/>
          </a:p>
        </xdr:txBody>
      </xdr:sp>
      <xdr:cxnSp macro="">
        <xdr:nvCxnSpPr>
          <xdr:cNvPr id="4" name="Straight Connector 3"/>
          <xdr:cNvCxnSpPr>
            <a:stCxn id="3" idx="3"/>
          </xdr:cNvCxnSpPr>
        </xdr:nvCxnSpPr>
        <xdr:spPr>
          <a:xfrm flipH="1">
            <a:off x="896471" y="8947891"/>
            <a:ext cx="2094479" cy="96899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Straight Connector 4"/>
          <xdr:cNvCxnSpPr>
            <a:stCxn id="3" idx="4"/>
          </xdr:cNvCxnSpPr>
        </xdr:nvCxnSpPr>
        <xdr:spPr>
          <a:xfrm flipH="1">
            <a:off x="3451412" y="9044044"/>
            <a:ext cx="225" cy="88180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>
            <a:stCxn id="3" idx="5"/>
          </xdr:cNvCxnSpPr>
        </xdr:nvCxnSpPr>
        <xdr:spPr>
          <a:xfrm>
            <a:off x="3912324" y="8947891"/>
            <a:ext cx="1896805" cy="96899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409729</xdr:colOff>
      <xdr:row>112</xdr:row>
      <xdr:rowOff>0</xdr:rowOff>
    </xdr:from>
    <xdr:to>
      <xdr:col>36</xdr:col>
      <xdr:colOff>23552</xdr:colOff>
      <xdr:row>136</xdr:row>
      <xdr:rowOff>87900</xdr:rowOff>
    </xdr:to>
    <xdr:grpSp>
      <xdr:nvGrpSpPr>
        <xdr:cNvPr id="165" name="Group 164"/>
        <xdr:cNvGrpSpPr/>
      </xdr:nvGrpSpPr>
      <xdr:grpSpPr>
        <a:xfrm>
          <a:off x="8290986" y="20835257"/>
          <a:ext cx="13656395" cy="4529272"/>
          <a:chOff x="8290986" y="67788394"/>
          <a:chExt cx="13656395" cy="4591956"/>
        </a:xfrm>
      </xdr:grpSpPr>
      <xdr:grpSp>
        <xdr:nvGrpSpPr>
          <xdr:cNvPr id="196" name="Group 195"/>
          <xdr:cNvGrpSpPr/>
        </xdr:nvGrpSpPr>
        <xdr:grpSpPr>
          <a:xfrm>
            <a:off x="8290986" y="67788394"/>
            <a:ext cx="13656395" cy="4591956"/>
            <a:chOff x="-7466399" y="13008428"/>
            <a:chExt cx="13635333" cy="4500233"/>
          </a:xfrm>
        </xdr:grpSpPr>
        <xdr:grpSp>
          <xdr:nvGrpSpPr>
            <xdr:cNvPr id="200" name="Group 199"/>
            <xdr:cNvGrpSpPr/>
          </xdr:nvGrpSpPr>
          <xdr:grpSpPr>
            <a:xfrm>
              <a:off x="-6814888" y="13008428"/>
              <a:ext cx="12250060" cy="3859961"/>
              <a:chOff x="-6440931" y="8403772"/>
              <a:chExt cx="12250060" cy="3859961"/>
            </a:xfrm>
          </xdr:grpSpPr>
          <xdr:sp macro="" textlink="">
            <xdr:nvSpPr>
              <xdr:cNvPr id="207" name="Oval 206"/>
              <xdr:cNvSpPr/>
            </xdr:nvSpPr>
            <xdr:spPr>
              <a:xfrm>
                <a:off x="2800127" y="8403772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T. Darah</a:t>
                </a:r>
                <a:endParaRPr lang="id-ID" sz="1100"/>
              </a:p>
            </xdr:txBody>
          </xdr:sp>
          <xdr:cxnSp macro="">
            <xdr:nvCxnSpPr>
              <xdr:cNvPr id="208" name="Straight Connector 207"/>
              <xdr:cNvCxnSpPr>
                <a:stCxn id="207" idx="3"/>
                <a:endCxn id="204" idx="0"/>
              </xdr:cNvCxnSpPr>
            </xdr:nvCxnSpPr>
            <xdr:spPr>
              <a:xfrm flipH="1">
                <a:off x="-6440931" y="8950278"/>
                <a:ext cx="9431880" cy="3313455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9" name="Straight Connector 208"/>
              <xdr:cNvCxnSpPr>
                <a:stCxn id="207" idx="4"/>
              </xdr:cNvCxnSpPr>
            </xdr:nvCxnSpPr>
            <xdr:spPr>
              <a:xfrm flipH="1">
                <a:off x="3451412" y="9044044"/>
                <a:ext cx="225" cy="881807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0" name="Straight Connector 209"/>
              <xdr:cNvCxnSpPr>
                <a:stCxn id="207" idx="5"/>
              </xdr:cNvCxnSpPr>
            </xdr:nvCxnSpPr>
            <xdr:spPr>
              <a:xfrm>
                <a:off x="3912324" y="8947891"/>
                <a:ext cx="1896805" cy="968995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01" name="Oval 200"/>
            <xdr:cNvSpPr/>
          </xdr:nvSpPr>
          <xdr:spPr>
            <a:xfrm>
              <a:off x="4865914" y="14521543"/>
              <a:ext cx="1303020" cy="64027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3</a:t>
              </a:r>
            </a:p>
          </xdr:txBody>
        </xdr:sp>
        <xdr:sp macro="" textlink="">
          <xdr:nvSpPr>
            <xdr:cNvPr id="202" name="Oval 201"/>
            <xdr:cNvSpPr/>
          </xdr:nvSpPr>
          <xdr:spPr>
            <a:xfrm>
              <a:off x="2449285" y="14521543"/>
              <a:ext cx="1303020" cy="64027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L. Perut</a:t>
              </a:r>
              <a:endParaRPr lang="id-ID" sz="1100"/>
            </a:p>
          </xdr:txBody>
        </xdr:sp>
        <xdr:sp macro="" textlink="">
          <xdr:nvSpPr>
            <xdr:cNvPr id="204" name="Oval 203"/>
            <xdr:cNvSpPr/>
          </xdr:nvSpPr>
          <xdr:spPr>
            <a:xfrm>
              <a:off x="-7466399" y="16868389"/>
              <a:ext cx="1303020" cy="64027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  <a:endParaRPr lang="id-ID" sz="1100"/>
            </a:p>
          </xdr:txBody>
        </xdr:sp>
      </xdr:grpSp>
      <xdr:cxnSp macro="">
        <xdr:nvCxnSpPr>
          <xdr:cNvPr id="167" name="Straight Connector 166"/>
          <xdr:cNvCxnSpPr/>
        </xdr:nvCxnSpPr>
        <xdr:spPr>
          <a:xfrm flipH="1">
            <a:off x="17351829" y="69984590"/>
            <a:ext cx="1515696" cy="136855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Straight Connector 167"/>
          <xdr:cNvCxnSpPr/>
        </xdr:nvCxnSpPr>
        <xdr:spPr>
          <a:xfrm>
            <a:off x="18818039" y="69976426"/>
            <a:ext cx="1472932" cy="118909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703644</xdr:colOff>
      <xdr:row>254</xdr:row>
      <xdr:rowOff>13935</xdr:rowOff>
    </xdr:from>
    <xdr:to>
      <xdr:col>37</xdr:col>
      <xdr:colOff>230381</xdr:colOff>
      <xdr:row>283</xdr:row>
      <xdr:rowOff>11057</xdr:rowOff>
    </xdr:to>
    <xdr:grpSp>
      <xdr:nvGrpSpPr>
        <xdr:cNvPr id="211" name="Group 210"/>
        <xdr:cNvGrpSpPr/>
      </xdr:nvGrpSpPr>
      <xdr:grpSpPr>
        <a:xfrm>
          <a:off x="9107415" y="47127306"/>
          <a:ext cx="13656395" cy="5363780"/>
          <a:chOff x="9107415" y="80753279"/>
          <a:chExt cx="13656395" cy="5363607"/>
        </a:xfrm>
      </xdr:grpSpPr>
      <xdr:grpSp>
        <xdr:nvGrpSpPr>
          <xdr:cNvPr id="215" name="Group 214"/>
          <xdr:cNvGrpSpPr/>
        </xdr:nvGrpSpPr>
        <xdr:grpSpPr>
          <a:xfrm>
            <a:off x="9107415" y="80753279"/>
            <a:ext cx="13656395" cy="5330950"/>
            <a:chOff x="9107415" y="80753279"/>
            <a:chExt cx="13656395" cy="5330950"/>
          </a:xfrm>
        </xdr:grpSpPr>
        <xdr:grpSp>
          <xdr:nvGrpSpPr>
            <xdr:cNvPr id="216" name="Group 215"/>
            <xdr:cNvGrpSpPr/>
          </xdr:nvGrpSpPr>
          <xdr:grpSpPr>
            <a:xfrm>
              <a:off x="9107415" y="80753279"/>
              <a:ext cx="13656395" cy="4591956"/>
              <a:chOff x="8290986" y="67788395"/>
              <a:chExt cx="13656395" cy="4591956"/>
            </a:xfrm>
          </xdr:grpSpPr>
          <xdr:grpSp>
            <xdr:nvGrpSpPr>
              <xdr:cNvPr id="249" name="Group 248"/>
              <xdr:cNvGrpSpPr/>
            </xdr:nvGrpSpPr>
            <xdr:grpSpPr>
              <a:xfrm>
                <a:off x="8290986" y="67788395"/>
                <a:ext cx="13656395" cy="4591956"/>
                <a:chOff x="-7466399" y="13008428"/>
                <a:chExt cx="13635333" cy="4500233"/>
              </a:xfrm>
            </xdr:grpSpPr>
            <xdr:grpSp>
              <xdr:nvGrpSpPr>
                <xdr:cNvPr id="253" name="Group 252"/>
                <xdr:cNvGrpSpPr/>
              </xdr:nvGrpSpPr>
              <xdr:grpSpPr>
                <a:xfrm>
                  <a:off x="-6814888" y="13008428"/>
                  <a:ext cx="12250060" cy="3859961"/>
                  <a:chOff x="-6440931" y="8403772"/>
                  <a:chExt cx="12250060" cy="3859961"/>
                </a:xfrm>
              </xdr:grpSpPr>
              <xdr:sp macro="" textlink="">
                <xdr:nvSpPr>
                  <xdr:cNvPr id="260" name="Oval 259"/>
                  <xdr:cNvSpPr/>
                </xdr:nvSpPr>
                <xdr:spPr>
                  <a:xfrm>
                    <a:off x="2800127" y="8403772"/>
                    <a:ext cx="1303020" cy="64027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T. Darah</a:t>
                    </a:r>
                    <a:endParaRPr lang="id-ID" sz="1100"/>
                  </a:p>
                </xdr:txBody>
              </xdr:sp>
              <xdr:cxnSp macro="">
                <xdr:nvCxnSpPr>
                  <xdr:cNvPr id="261" name="Straight Connector 260"/>
                  <xdr:cNvCxnSpPr>
                    <a:stCxn id="260" idx="3"/>
                    <a:endCxn id="257" idx="0"/>
                  </xdr:cNvCxnSpPr>
                </xdr:nvCxnSpPr>
                <xdr:spPr>
                  <a:xfrm flipH="1">
                    <a:off x="-6440931" y="8950278"/>
                    <a:ext cx="9431880" cy="3313455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2" name="Straight Connector 261"/>
                  <xdr:cNvCxnSpPr>
                    <a:stCxn id="260" idx="4"/>
                  </xdr:cNvCxnSpPr>
                </xdr:nvCxnSpPr>
                <xdr:spPr>
                  <a:xfrm flipH="1">
                    <a:off x="3451412" y="9044044"/>
                    <a:ext cx="225" cy="881807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3" name="Straight Connector 262"/>
                  <xdr:cNvCxnSpPr>
                    <a:stCxn id="260" idx="5"/>
                  </xdr:cNvCxnSpPr>
                </xdr:nvCxnSpPr>
                <xdr:spPr>
                  <a:xfrm>
                    <a:off x="3912324" y="8947891"/>
                    <a:ext cx="1896805" cy="968995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254" name="Oval 253"/>
                <xdr:cNvSpPr/>
              </xdr:nvSpPr>
              <xdr:spPr>
                <a:xfrm>
                  <a:off x="4865914" y="14521543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3</a:t>
                  </a:r>
                </a:p>
              </xdr:txBody>
            </xdr:sp>
            <xdr:sp macro="" textlink="">
              <xdr:nvSpPr>
                <xdr:cNvPr id="255" name="Oval 254"/>
                <xdr:cNvSpPr/>
              </xdr:nvSpPr>
              <xdr:spPr>
                <a:xfrm>
                  <a:off x="2449285" y="14521543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L. Perut</a:t>
                  </a:r>
                  <a:endParaRPr lang="id-ID" sz="1100"/>
                </a:p>
              </xdr:txBody>
            </xdr:sp>
            <xdr:sp macro="" textlink="">
              <xdr:nvSpPr>
                <xdr:cNvPr id="257" name="Oval 256"/>
                <xdr:cNvSpPr/>
              </xdr:nvSpPr>
              <xdr:spPr>
                <a:xfrm>
                  <a:off x="-7466399" y="16868389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1</a:t>
                  </a:r>
                  <a:endParaRPr lang="id-ID" sz="1100"/>
                </a:p>
              </xdr:txBody>
            </xdr:sp>
          </xdr:grpSp>
          <xdr:cxnSp macro="">
            <xdr:nvCxnSpPr>
              <xdr:cNvPr id="220" name="Straight Connector 219"/>
              <xdr:cNvCxnSpPr/>
            </xdr:nvCxnSpPr>
            <xdr:spPr>
              <a:xfrm flipH="1">
                <a:off x="17417143" y="69984590"/>
                <a:ext cx="1450381" cy="1327724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21" name="Straight Connector 220"/>
              <xdr:cNvCxnSpPr/>
            </xdr:nvCxnSpPr>
            <xdr:spPr>
              <a:xfrm>
                <a:off x="18818039" y="69976426"/>
                <a:ext cx="1494704" cy="1325003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17" name="Oval 216"/>
            <xdr:cNvSpPr/>
          </xdr:nvSpPr>
          <xdr:spPr>
            <a:xfrm>
              <a:off x="20505325" y="84247596"/>
              <a:ext cx="1301503" cy="65757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BMI</a:t>
              </a:r>
              <a:endParaRPr lang="id-ID" sz="1100"/>
            </a:p>
          </xdr:txBody>
        </xdr:sp>
        <xdr:cxnSp macro="">
          <xdr:nvCxnSpPr>
            <xdr:cNvPr id="218" name="Straight Connector 217"/>
            <xdr:cNvCxnSpPr>
              <a:stCxn id="217" idx="4"/>
            </xdr:cNvCxnSpPr>
          </xdr:nvCxnSpPr>
          <xdr:spPr>
            <a:xfrm flipH="1">
              <a:off x="19169743" y="84905174"/>
              <a:ext cx="1986334" cy="117905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3" name="Straight Connector 212"/>
          <xdr:cNvCxnSpPr>
            <a:stCxn id="217" idx="4"/>
          </xdr:cNvCxnSpPr>
        </xdr:nvCxnSpPr>
        <xdr:spPr>
          <a:xfrm>
            <a:off x="21156077" y="84905174"/>
            <a:ext cx="1377352" cy="121171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115814</xdr:colOff>
      <xdr:row>166</xdr:row>
      <xdr:rowOff>33469</xdr:rowOff>
    </xdr:from>
    <xdr:to>
      <xdr:col>35</xdr:col>
      <xdr:colOff>339237</xdr:colOff>
      <xdr:row>191</xdr:row>
      <xdr:rowOff>163286</xdr:rowOff>
    </xdr:to>
    <xdr:grpSp>
      <xdr:nvGrpSpPr>
        <xdr:cNvPr id="29" name="Group 28"/>
        <xdr:cNvGrpSpPr/>
      </xdr:nvGrpSpPr>
      <xdr:grpSpPr>
        <a:xfrm>
          <a:off x="7997071" y="30861812"/>
          <a:ext cx="13656395" cy="4756245"/>
          <a:chOff x="7997071" y="30861812"/>
          <a:chExt cx="13656395" cy="4756245"/>
        </a:xfrm>
      </xdr:grpSpPr>
      <xdr:grpSp>
        <xdr:nvGrpSpPr>
          <xdr:cNvPr id="391" name="Group 390"/>
          <xdr:cNvGrpSpPr/>
        </xdr:nvGrpSpPr>
        <xdr:grpSpPr>
          <a:xfrm>
            <a:off x="7997071" y="30861812"/>
            <a:ext cx="13656395" cy="4277274"/>
            <a:chOff x="8290986" y="67788394"/>
            <a:chExt cx="13656395" cy="4591956"/>
          </a:xfrm>
        </xdr:grpSpPr>
        <xdr:grpSp>
          <xdr:nvGrpSpPr>
            <xdr:cNvPr id="392" name="Group 391"/>
            <xdr:cNvGrpSpPr/>
          </xdr:nvGrpSpPr>
          <xdr:grpSpPr>
            <a:xfrm>
              <a:off x="8290986" y="67788394"/>
              <a:ext cx="13656395" cy="4591956"/>
              <a:chOff x="-7466399" y="13008428"/>
              <a:chExt cx="13635333" cy="4500233"/>
            </a:xfrm>
          </xdr:grpSpPr>
          <xdr:grpSp>
            <xdr:nvGrpSpPr>
              <xdr:cNvPr id="395" name="Group 394"/>
              <xdr:cNvGrpSpPr/>
            </xdr:nvGrpSpPr>
            <xdr:grpSpPr>
              <a:xfrm>
                <a:off x="-6814888" y="13008428"/>
                <a:ext cx="12250060" cy="3859961"/>
                <a:chOff x="-6440931" y="8403772"/>
                <a:chExt cx="12250060" cy="3859961"/>
              </a:xfrm>
            </xdr:grpSpPr>
            <xdr:sp macro="" textlink="">
              <xdr:nvSpPr>
                <xdr:cNvPr id="399" name="Oval 398"/>
                <xdr:cNvSpPr/>
              </xdr:nvSpPr>
              <xdr:spPr>
                <a:xfrm>
                  <a:off x="2800127" y="8403772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T. Darah</a:t>
                  </a:r>
                  <a:endParaRPr lang="id-ID" sz="1100"/>
                </a:p>
              </xdr:txBody>
            </xdr:sp>
            <xdr:cxnSp macro="">
              <xdr:nvCxnSpPr>
                <xdr:cNvPr id="400" name="Straight Connector 399"/>
                <xdr:cNvCxnSpPr>
                  <a:stCxn id="399" idx="3"/>
                  <a:endCxn id="398" idx="0"/>
                </xdr:cNvCxnSpPr>
              </xdr:nvCxnSpPr>
              <xdr:spPr>
                <a:xfrm flipH="1">
                  <a:off x="-6440931" y="8950278"/>
                  <a:ext cx="9431880" cy="3313455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01" name="Straight Connector 400"/>
                <xdr:cNvCxnSpPr>
                  <a:stCxn id="399" idx="4"/>
                </xdr:cNvCxnSpPr>
              </xdr:nvCxnSpPr>
              <xdr:spPr>
                <a:xfrm flipH="1">
                  <a:off x="3451412" y="9044044"/>
                  <a:ext cx="225" cy="88180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02" name="Straight Connector 401"/>
                <xdr:cNvCxnSpPr>
                  <a:stCxn id="399" idx="5"/>
                </xdr:cNvCxnSpPr>
              </xdr:nvCxnSpPr>
              <xdr:spPr>
                <a:xfrm>
                  <a:off x="3912324" y="8947891"/>
                  <a:ext cx="1896805" cy="968995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96" name="Oval 395"/>
              <xdr:cNvSpPr/>
            </xdr:nvSpPr>
            <xdr:spPr>
              <a:xfrm>
                <a:off x="4865914" y="14521543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3</a:t>
                </a:r>
              </a:p>
            </xdr:txBody>
          </xdr:sp>
          <xdr:sp macro="" textlink="">
            <xdr:nvSpPr>
              <xdr:cNvPr id="397" name="Oval 396"/>
              <xdr:cNvSpPr/>
            </xdr:nvSpPr>
            <xdr:spPr>
              <a:xfrm>
                <a:off x="2449285" y="14521543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L. Perut</a:t>
                </a:r>
                <a:endParaRPr lang="id-ID" sz="1100"/>
              </a:p>
            </xdr:txBody>
          </xdr:sp>
          <xdr:sp macro="" textlink="">
            <xdr:nvSpPr>
              <xdr:cNvPr id="398" name="Oval 397"/>
              <xdr:cNvSpPr/>
            </xdr:nvSpPr>
            <xdr:spPr>
              <a:xfrm>
                <a:off x="-7466399" y="16868389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1</a:t>
                </a:r>
                <a:endParaRPr lang="id-ID" sz="1100"/>
              </a:p>
            </xdr:txBody>
          </xdr:sp>
        </xdr:grpSp>
        <xdr:cxnSp macro="">
          <xdr:nvCxnSpPr>
            <xdr:cNvPr id="393" name="Straight Connector 392"/>
            <xdr:cNvCxnSpPr/>
          </xdr:nvCxnSpPr>
          <xdr:spPr>
            <a:xfrm flipH="1">
              <a:off x="17504229" y="69984590"/>
              <a:ext cx="1363296" cy="119197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94" name="Straight Connector 393"/>
            <xdr:cNvCxnSpPr/>
          </xdr:nvCxnSpPr>
          <xdr:spPr>
            <a:xfrm>
              <a:off x="18818039" y="69976426"/>
              <a:ext cx="1472932" cy="1189098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382" name="Oval 381"/>
          <xdr:cNvSpPr/>
        </xdr:nvSpPr>
        <xdr:spPr>
          <a:xfrm>
            <a:off x="16629442" y="33996897"/>
            <a:ext cx="1305033" cy="60855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Umur</a:t>
            </a:r>
          </a:p>
        </xdr:txBody>
      </xdr:sp>
      <xdr:cxnSp macro="">
        <xdr:nvCxnSpPr>
          <xdr:cNvPr id="383" name="Straight Connector 382"/>
          <xdr:cNvCxnSpPr/>
        </xdr:nvCxnSpPr>
        <xdr:spPr>
          <a:xfrm flipH="1">
            <a:off x="15936686" y="34606497"/>
            <a:ext cx="1261395" cy="10115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4" name="Straight Connector 383"/>
          <xdr:cNvCxnSpPr/>
        </xdr:nvCxnSpPr>
        <xdr:spPr>
          <a:xfrm>
            <a:off x="17394024" y="34617383"/>
            <a:ext cx="893976" cy="100067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544286</xdr:colOff>
      <xdr:row>133</xdr:row>
      <xdr:rowOff>32657</xdr:rowOff>
    </xdr:from>
    <xdr:to>
      <xdr:col>36</xdr:col>
      <xdr:colOff>587829</xdr:colOff>
      <xdr:row>156</xdr:row>
      <xdr:rowOff>43545</xdr:rowOff>
    </xdr:to>
    <xdr:cxnSp macro="">
      <xdr:nvCxnSpPr>
        <xdr:cNvPr id="23" name="Curved Connector 22"/>
        <xdr:cNvCxnSpPr/>
      </xdr:nvCxnSpPr>
      <xdr:spPr>
        <a:xfrm rot="10800000">
          <a:off x="16372115" y="24754114"/>
          <a:ext cx="6139543" cy="4267202"/>
        </a:xfrm>
        <a:prstGeom prst="curvedConnector3">
          <a:avLst>
            <a:gd name="adj1" fmla="val 11170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594785</xdr:colOff>
      <xdr:row>204</xdr:row>
      <xdr:rowOff>164098</xdr:rowOff>
    </xdr:from>
    <xdr:to>
      <xdr:col>37</xdr:col>
      <xdr:colOff>121522</xdr:colOff>
      <xdr:row>237</xdr:row>
      <xdr:rowOff>10886</xdr:rowOff>
    </xdr:to>
    <xdr:grpSp>
      <xdr:nvGrpSpPr>
        <xdr:cNvPr id="36" name="Group 35"/>
        <xdr:cNvGrpSpPr/>
      </xdr:nvGrpSpPr>
      <xdr:grpSpPr>
        <a:xfrm>
          <a:off x="8998556" y="38024612"/>
          <a:ext cx="13656395" cy="5953674"/>
          <a:chOff x="8998556" y="38024612"/>
          <a:chExt cx="13656395" cy="5953674"/>
        </a:xfrm>
      </xdr:grpSpPr>
      <xdr:sp macro="" textlink="">
        <xdr:nvSpPr>
          <xdr:cNvPr id="425" name="Oval 424"/>
          <xdr:cNvSpPr/>
        </xdr:nvSpPr>
        <xdr:spPr>
          <a:xfrm>
            <a:off x="18675956" y="42759898"/>
            <a:ext cx="1305033" cy="60855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2</a:t>
            </a:r>
          </a:p>
        </xdr:txBody>
      </xdr:sp>
      <xdr:grpSp>
        <xdr:nvGrpSpPr>
          <xdr:cNvPr id="35" name="Group 34"/>
          <xdr:cNvGrpSpPr/>
        </xdr:nvGrpSpPr>
        <xdr:grpSpPr>
          <a:xfrm>
            <a:off x="8998556" y="38024612"/>
            <a:ext cx="13656395" cy="5953674"/>
            <a:chOff x="8998556" y="38024612"/>
            <a:chExt cx="13656395" cy="5953674"/>
          </a:xfrm>
        </xdr:grpSpPr>
        <xdr:grpSp>
          <xdr:nvGrpSpPr>
            <xdr:cNvPr id="409" name="Group 408"/>
            <xdr:cNvGrpSpPr/>
          </xdr:nvGrpSpPr>
          <xdr:grpSpPr>
            <a:xfrm>
              <a:off x="8998556" y="38024612"/>
              <a:ext cx="13656395" cy="4756245"/>
              <a:chOff x="7997071" y="30861812"/>
              <a:chExt cx="13656395" cy="4756245"/>
            </a:xfrm>
          </xdr:grpSpPr>
          <xdr:grpSp>
            <xdr:nvGrpSpPr>
              <xdr:cNvPr id="410" name="Group 409"/>
              <xdr:cNvGrpSpPr/>
            </xdr:nvGrpSpPr>
            <xdr:grpSpPr>
              <a:xfrm>
                <a:off x="7997071" y="30861812"/>
                <a:ext cx="13656395" cy="4277274"/>
                <a:chOff x="8290986" y="67788394"/>
                <a:chExt cx="13656395" cy="4591956"/>
              </a:xfrm>
            </xdr:grpSpPr>
            <xdr:grpSp>
              <xdr:nvGrpSpPr>
                <xdr:cNvPr id="414" name="Group 413"/>
                <xdr:cNvGrpSpPr/>
              </xdr:nvGrpSpPr>
              <xdr:grpSpPr>
                <a:xfrm>
                  <a:off x="8290986" y="67788394"/>
                  <a:ext cx="13656395" cy="4591956"/>
                  <a:chOff x="-7466399" y="13008428"/>
                  <a:chExt cx="13635333" cy="4500233"/>
                </a:xfrm>
              </xdr:grpSpPr>
              <xdr:grpSp>
                <xdr:nvGrpSpPr>
                  <xdr:cNvPr id="417" name="Group 416"/>
                  <xdr:cNvGrpSpPr/>
                </xdr:nvGrpSpPr>
                <xdr:grpSpPr>
                  <a:xfrm>
                    <a:off x="-6814888" y="13008428"/>
                    <a:ext cx="12250060" cy="3859961"/>
                    <a:chOff x="-6440931" y="8403772"/>
                    <a:chExt cx="12250060" cy="3859961"/>
                  </a:xfrm>
                </xdr:grpSpPr>
                <xdr:sp macro="" textlink="">
                  <xdr:nvSpPr>
                    <xdr:cNvPr id="421" name="Oval 420"/>
                    <xdr:cNvSpPr/>
                  </xdr:nvSpPr>
                  <xdr:spPr>
                    <a:xfrm>
                      <a:off x="2800127" y="8403772"/>
                      <a:ext cx="1303020" cy="64027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T. Darah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422" name="Straight Connector 421"/>
                    <xdr:cNvCxnSpPr>
                      <a:stCxn id="421" idx="3"/>
                      <a:endCxn id="420" idx="0"/>
                    </xdr:cNvCxnSpPr>
                  </xdr:nvCxnSpPr>
                  <xdr:spPr>
                    <a:xfrm flipH="1">
                      <a:off x="-6440931" y="8950278"/>
                      <a:ext cx="9431880" cy="3313455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3" name="Straight Connector 422"/>
                    <xdr:cNvCxnSpPr>
                      <a:stCxn id="421" idx="4"/>
                    </xdr:cNvCxnSpPr>
                  </xdr:nvCxnSpPr>
                  <xdr:spPr>
                    <a:xfrm flipH="1">
                      <a:off x="3451412" y="9044044"/>
                      <a:ext cx="225" cy="88180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4" name="Straight Connector 423"/>
                    <xdr:cNvCxnSpPr>
                      <a:stCxn id="421" idx="5"/>
                    </xdr:cNvCxnSpPr>
                  </xdr:nvCxnSpPr>
                  <xdr:spPr>
                    <a:xfrm>
                      <a:off x="3912324" y="8947891"/>
                      <a:ext cx="1896805" cy="968995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418" name="Oval 417"/>
                  <xdr:cNvSpPr/>
                </xdr:nvSpPr>
                <xdr:spPr>
                  <a:xfrm>
                    <a:off x="4865914" y="14521543"/>
                    <a:ext cx="1303020" cy="64027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3</a:t>
                    </a:r>
                  </a:p>
                </xdr:txBody>
              </xdr:sp>
              <xdr:sp macro="" textlink="">
                <xdr:nvSpPr>
                  <xdr:cNvPr id="419" name="Oval 418"/>
                  <xdr:cNvSpPr/>
                </xdr:nvSpPr>
                <xdr:spPr>
                  <a:xfrm>
                    <a:off x="2449285" y="14521543"/>
                    <a:ext cx="1303020" cy="64027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L. Perut</a:t>
                    </a:r>
                    <a:endParaRPr lang="id-ID" sz="1100"/>
                  </a:p>
                </xdr:txBody>
              </xdr:sp>
              <xdr:sp macro="" textlink="">
                <xdr:nvSpPr>
                  <xdr:cNvPr id="420" name="Oval 419"/>
                  <xdr:cNvSpPr/>
                </xdr:nvSpPr>
                <xdr:spPr>
                  <a:xfrm>
                    <a:off x="-7466399" y="16868389"/>
                    <a:ext cx="1303020" cy="64027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1</a:t>
                    </a:r>
                    <a:endParaRPr lang="id-ID" sz="1100"/>
                  </a:p>
                </xdr:txBody>
              </xdr:sp>
            </xdr:grpSp>
            <xdr:cxnSp macro="">
              <xdr:nvCxnSpPr>
                <xdr:cNvPr id="415" name="Straight Connector 414"/>
                <xdr:cNvCxnSpPr/>
              </xdr:nvCxnSpPr>
              <xdr:spPr>
                <a:xfrm flipH="1">
                  <a:off x="17504229" y="69984590"/>
                  <a:ext cx="1363296" cy="119197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16" name="Straight Connector 415"/>
                <xdr:cNvCxnSpPr/>
              </xdr:nvCxnSpPr>
              <xdr:spPr>
                <a:xfrm>
                  <a:off x="18818039" y="69976426"/>
                  <a:ext cx="1472932" cy="1189098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11" name="Oval 410"/>
              <xdr:cNvSpPr/>
            </xdr:nvSpPr>
            <xdr:spPr>
              <a:xfrm>
                <a:off x="16629442" y="33996897"/>
                <a:ext cx="1305033" cy="608550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Umur</a:t>
                </a:r>
              </a:p>
            </xdr:txBody>
          </xdr:sp>
          <xdr:cxnSp macro="">
            <xdr:nvCxnSpPr>
              <xdr:cNvPr id="412" name="Straight Connector 411"/>
              <xdr:cNvCxnSpPr/>
            </xdr:nvCxnSpPr>
            <xdr:spPr>
              <a:xfrm flipH="1">
                <a:off x="15816944" y="34606497"/>
                <a:ext cx="1381138" cy="891817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13" name="Straight Connector 412"/>
              <xdr:cNvCxnSpPr/>
            </xdr:nvCxnSpPr>
            <xdr:spPr>
              <a:xfrm>
                <a:off x="17394024" y="34617383"/>
                <a:ext cx="893976" cy="1000674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426" name="Oval 425"/>
            <xdr:cNvSpPr/>
          </xdr:nvSpPr>
          <xdr:spPr>
            <a:xfrm>
              <a:off x="16215784" y="42651041"/>
              <a:ext cx="1305033" cy="608550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BMI</a:t>
              </a:r>
            </a:p>
          </xdr:txBody>
        </xdr:sp>
        <xdr:cxnSp macro="">
          <xdr:nvCxnSpPr>
            <xdr:cNvPr id="427" name="Straight Connector 426"/>
            <xdr:cNvCxnSpPr/>
          </xdr:nvCxnSpPr>
          <xdr:spPr>
            <a:xfrm flipH="1">
              <a:off x="16143514" y="43249755"/>
              <a:ext cx="473694" cy="728531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28" name="Straight Connector 427"/>
            <xdr:cNvCxnSpPr/>
          </xdr:nvCxnSpPr>
          <xdr:spPr>
            <a:xfrm>
              <a:off x="16813150" y="43260641"/>
              <a:ext cx="1180936" cy="69587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28</xdr:col>
      <xdr:colOff>405796</xdr:colOff>
      <xdr:row>273</xdr:row>
      <xdr:rowOff>22584</xdr:rowOff>
    </xdr:from>
    <xdr:to>
      <xdr:col>30</xdr:col>
      <xdr:colOff>491629</xdr:colOff>
      <xdr:row>276</xdr:row>
      <xdr:rowOff>75962</xdr:rowOff>
    </xdr:to>
    <xdr:sp macro="" textlink="">
      <xdr:nvSpPr>
        <xdr:cNvPr id="429" name="Oval 428"/>
        <xdr:cNvSpPr/>
      </xdr:nvSpPr>
      <xdr:spPr>
        <a:xfrm>
          <a:off x="17452825" y="50652041"/>
          <a:ext cx="1305033" cy="608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Umur</a:t>
          </a:r>
        </a:p>
      </xdr:txBody>
    </xdr:sp>
    <xdr:clientData/>
  </xdr:twoCellAnchor>
  <xdr:twoCellAnchor>
    <xdr:from>
      <xdr:col>27</xdr:col>
      <xdr:colOff>202898</xdr:colOff>
      <xdr:row>276</xdr:row>
      <xdr:rowOff>77012</xdr:rowOff>
    </xdr:from>
    <xdr:to>
      <xdr:col>29</xdr:col>
      <xdr:colOff>364836</xdr:colOff>
      <xdr:row>281</xdr:row>
      <xdr:rowOff>43544</xdr:rowOff>
    </xdr:to>
    <xdr:cxnSp macro="">
      <xdr:nvCxnSpPr>
        <xdr:cNvPr id="430" name="Straight Connector 429"/>
        <xdr:cNvCxnSpPr/>
      </xdr:nvCxnSpPr>
      <xdr:spPr>
        <a:xfrm flipH="1">
          <a:off x="16640327" y="51261641"/>
          <a:ext cx="1381138" cy="8918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209853</xdr:colOff>
      <xdr:row>281</xdr:row>
      <xdr:rowOff>33471</xdr:rowOff>
    </xdr:from>
    <xdr:to>
      <xdr:col>28</xdr:col>
      <xdr:colOff>295686</xdr:colOff>
      <xdr:row>284</xdr:row>
      <xdr:rowOff>86849</xdr:rowOff>
    </xdr:to>
    <xdr:sp macro="" textlink="">
      <xdr:nvSpPr>
        <xdr:cNvPr id="431" name="Oval 430"/>
        <xdr:cNvSpPr/>
      </xdr:nvSpPr>
      <xdr:spPr>
        <a:xfrm>
          <a:off x="16037682" y="52143385"/>
          <a:ext cx="1305033" cy="608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BMI</a:t>
          </a:r>
        </a:p>
      </xdr:txBody>
    </xdr:sp>
    <xdr:clientData/>
  </xdr:twoCellAnchor>
  <xdr:twoCellAnchor>
    <xdr:from>
      <xdr:col>26</xdr:col>
      <xdr:colOff>137583</xdr:colOff>
      <xdr:row>284</xdr:row>
      <xdr:rowOff>77013</xdr:rowOff>
    </xdr:from>
    <xdr:to>
      <xdr:col>27</xdr:col>
      <xdr:colOff>1677</xdr:colOff>
      <xdr:row>288</xdr:row>
      <xdr:rowOff>65316</xdr:rowOff>
    </xdr:to>
    <xdr:cxnSp macro="">
      <xdr:nvCxnSpPr>
        <xdr:cNvPr id="432" name="Straight Connector 431"/>
        <xdr:cNvCxnSpPr/>
      </xdr:nvCxnSpPr>
      <xdr:spPr>
        <a:xfrm flipH="1">
          <a:off x="15965412" y="52742099"/>
          <a:ext cx="473694" cy="7285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197619</xdr:colOff>
      <xdr:row>284</xdr:row>
      <xdr:rowOff>87899</xdr:rowOff>
    </xdr:from>
    <xdr:to>
      <xdr:col>29</xdr:col>
      <xdr:colOff>159355</xdr:colOff>
      <xdr:row>288</xdr:row>
      <xdr:rowOff>43544</xdr:rowOff>
    </xdr:to>
    <xdr:cxnSp macro="">
      <xdr:nvCxnSpPr>
        <xdr:cNvPr id="433" name="Straight Connector 432"/>
        <xdr:cNvCxnSpPr/>
      </xdr:nvCxnSpPr>
      <xdr:spPr>
        <a:xfrm>
          <a:off x="16635048" y="52752985"/>
          <a:ext cx="1180936" cy="6958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243860</xdr:colOff>
      <xdr:row>278</xdr:row>
      <xdr:rowOff>812</xdr:rowOff>
    </xdr:from>
    <xdr:to>
      <xdr:col>31</xdr:col>
      <xdr:colOff>329693</xdr:colOff>
      <xdr:row>281</xdr:row>
      <xdr:rowOff>54191</xdr:rowOff>
    </xdr:to>
    <xdr:sp macro="" textlink="">
      <xdr:nvSpPr>
        <xdr:cNvPr id="434" name="Oval 433"/>
        <xdr:cNvSpPr/>
      </xdr:nvSpPr>
      <xdr:spPr>
        <a:xfrm>
          <a:off x="17900489" y="51555555"/>
          <a:ext cx="1305033" cy="608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</a:p>
      </xdr:txBody>
    </xdr:sp>
    <xdr:clientData/>
  </xdr:twoCellAnchor>
  <xdr:twoCellAnchor>
    <xdr:from>
      <xdr:col>29</xdr:col>
      <xdr:colOff>355298</xdr:colOff>
      <xdr:row>276</xdr:row>
      <xdr:rowOff>87897</xdr:rowOff>
    </xdr:from>
    <xdr:to>
      <xdr:col>30</xdr:col>
      <xdr:colOff>65314</xdr:colOff>
      <xdr:row>278</xdr:row>
      <xdr:rowOff>21771</xdr:rowOff>
    </xdr:to>
    <xdr:cxnSp macro="">
      <xdr:nvCxnSpPr>
        <xdr:cNvPr id="435" name="Straight Connector 434"/>
        <xdr:cNvCxnSpPr/>
      </xdr:nvCxnSpPr>
      <xdr:spPr>
        <a:xfrm>
          <a:off x="18011927" y="51272526"/>
          <a:ext cx="319616" cy="3039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200317</xdr:colOff>
      <xdr:row>288</xdr:row>
      <xdr:rowOff>33469</xdr:rowOff>
    </xdr:from>
    <xdr:to>
      <xdr:col>30</xdr:col>
      <xdr:colOff>286150</xdr:colOff>
      <xdr:row>291</xdr:row>
      <xdr:rowOff>86847</xdr:rowOff>
    </xdr:to>
    <xdr:sp macro="" textlink="">
      <xdr:nvSpPr>
        <xdr:cNvPr id="436" name="Oval 435"/>
        <xdr:cNvSpPr/>
      </xdr:nvSpPr>
      <xdr:spPr>
        <a:xfrm>
          <a:off x="17247346" y="53438783"/>
          <a:ext cx="1305033" cy="608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</a:p>
      </xdr:txBody>
    </xdr:sp>
    <xdr:clientData/>
  </xdr:twoCellAnchor>
  <xdr:twoCellAnchor>
    <xdr:from>
      <xdr:col>25</xdr:col>
      <xdr:colOff>102345</xdr:colOff>
      <xdr:row>288</xdr:row>
      <xdr:rowOff>55241</xdr:rowOff>
    </xdr:from>
    <xdr:to>
      <xdr:col>27</xdr:col>
      <xdr:colOff>188178</xdr:colOff>
      <xdr:row>291</xdr:row>
      <xdr:rowOff>108619</xdr:rowOff>
    </xdr:to>
    <xdr:sp macro="" textlink="">
      <xdr:nvSpPr>
        <xdr:cNvPr id="437" name="Oval 436"/>
        <xdr:cNvSpPr/>
      </xdr:nvSpPr>
      <xdr:spPr>
        <a:xfrm>
          <a:off x="15320574" y="53460555"/>
          <a:ext cx="1305033" cy="608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1</a:t>
          </a:r>
        </a:p>
      </xdr:txBody>
    </xdr:sp>
    <xdr:clientData/>
  </xdr:twoCellAnchor>
  <xdr:twoCellAnchor>
    <xdr:from>
      <xdr:col>15</xdr:col>
      <xdr:colOff>170244</xdr:colOff>
      <xdr:row>324</xdr:row>
      <xdr:rowOff>3056</xdr:rowOff>
    </xdr:from>
    <xdr:to>
      <xdr:col>40</xdr:col>
      <xdr:colOff>32656</xdr:colOff>
      <xdr:row>362</xdr:row>
      <xdr:rowOff>174178</xdr:rowOff>
    </xdr:to>
    <xdr:grpSp>
      <xdr:nvGrpSpPr>
        <xdr:cNvPr id="40" name="Group 39"/>
        <xdr:cNvGrpSpPr/>
      </xdr:nvGrpSpPr>
      <xdr:grpSpPr>
        <a:xfrm>
          <a:off x="9379558" y="60070427"/>
          <a:ext cx="16005927" cy="7203294"/>
          <a:chOff x="9379558" y="60070427"/>
          <a:chExt cx="15015327" cy="7203294"/>
        </a:xfrm>
      </xdr:grpSpPr>
      <xdr:grpSp>
        <xdr:nvGrpSpPr>
          <xdr:cNvPr id="39" name="Group 38"/>
          <xdr:cNvGrpSpPr/>
        </xdr:nvGrpSpPr>
        <xdr:grpSpPr>
          <a:xfrm>
            <a:off x="9379558" y="60070427"/>
            <a:ext cx="15015327" cy="7203294"/>
            <a:chOff x="9379558" y="60070427"/>
            <a:chExt cx="15015327" cy="7203294"/>
          </a:xfrm>
        </xdr:grpSpPr>
        <xdr:cxnSp macro="">
          <xdr:nvCxnSpPr>
            <xdr:cNvPr id="264" name="Straight Connector 263"/>
            <xdr:cNvCxnSpPr>
              <a:stCxn id="268" idx="4"/>
            </xdr:cNvCxnSpPr>
          </xdr:nvCxnSpPr>
          <xdr:spPr>
            <a:xfrm flipH="1">
              <a:off x="20955000" y="66094661"/>
              <a:ext cx="1877479" cy="1179054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grpSp>
          <xdr:nvGrpSpPr>
            <xdr:cNvPr id="265" name="Group 264"/>
            <xdr:cNvGrpSpPr/>
          </xdr:nvGrpSpPr>
          <xdr:grpSpPr>
            <a:xfrm>
              <a:off x="9379558" y="60070427"/>
              <a:ext cx="15015327" cy="7203294"/>
              <a:chOff x="9390444" y="93696393"/>
              <a:chExt cx="15015327" cy="7203293"/>
            </a:xfrm>
          </xdr:grpSpPr>
          <xdr:grpSp>
            <xdr:nvGrpSpPr>
              <xdr:cNvPr id="266" name="Group 265"/>
              <xdr:cNvGrpSpPr/>
            </xdr:nvGrpSpPr>
            <xdr:grpSpPr>
              <a:xfrm>
                <a:off x="9390444" y="93696393"/>
                <a:ext cx="13656394" cy="5363607"/>
                <a:chOff x="9107416" y="80753279"/>
                <a:chExt cx="13656394" cy="5363607"/>
              </a:xfrm>
            </xdr:grpSpPr>
            <xdr:grpSp>
              <xdr:nvGrpSpPr>
                <xdr:cNvPr id="270" name="Group 269"/>
                <xdr:cNvGrpSpPr/>
              </xdr:nvGrpSpPr>
              <xdr:grpSpPr>
                <a:xfrm>
                  <a:off x="9107416" y="80753279"/>
                  <a:ext cx="13656394" cy="5330950"/>
                  <a:chOff x="9107416" y="80753279"/>
                  <a:chExt cx="13656394" cy="5330950"/>
                </a:xfrm>
              </xdr:grpSpPr>
              <xdr:sp macro="" textlink="">
                <xdr:nvSpPr>
                  <xdr:cNvPr id="272" name="Oval 271"/>
                  <xdr:cNvSpPr/>
                </xdr:nvSpPr>
                <xdr:spPr>
                  <a:xfrm>
                    <a:off x="17566183" y="85161996"/>
                    <a:ext cx="1301503" cy="657578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2</a:t>
                    </a:r>
                    <a:endParaRPr lang="id-ID" sz="1100"/>
                  </a:p>
                </xdr:txBody>
              </xdr:sp>
              <xdr:grpSp>
                <xdr:nvGrpSpPr>
                  <xdr:cNvPr id="273" name="Group 272"/>
                  <xdr:cNvGrpSpPr/>
                </xdr:nvGrpSpPr>
                <xdr:grpSpPr>
                  <a:xfrm>
                    <a:off x="9107416" y="80753279"/>
                    <a:ext cx="13656394" cy="5330950"/>
                    <a:chOff x="9107416" y="80753279"/>
                    <a:chExt cx="13656394" cy="5330950"/>
                  </a:xfrm>
                </xdr:grpSpPr>
                <xdr:grpSp>
                  <xdr:nvGrpSpPr>
                    <xdr:cNvPr id="274" name="Group 273"/>
                    <xdr:cNvGrpSpPr/>
                  </xdr:nvGrpSpPr>
                  <xdr:grpSpPr>
                    <a:xfrm>
                      <a:off x="9107416" y="80753279"/>
                      <a:ext cx="13656394" cy="4591956"/>
                      <a:chOff x="8290987" y="67788395"/>
                      <a:chExt cx="13656394" cy="4591956"/>
                    </a:xfrm>
                  </xdr:grpSpPr>
                  <xdr:grpSp>
                    <xdr:nvGrpSpPr>
                      <xdr:cNvPr id="307" name="Group 306"/>
                      <xdr:cNvGrpSpPr/>
                    </xdr:nvGrpSpPr>
                    <xdr:grpSpPr>
                      <a:xfrm>
                        <a:off x="8290987" y="67788395"/>
                        <a:ext cx="13656394" cy="4591956"/>
                        <a:chOff x="-7466399" y="13008428"/>
                        <a:chExt cx="13635333" cy="4500233"/>
                      </a:xfrm>
                    </xdr:grpSpPr>
                    <xdr:grpSp>
                      <xdr:nvGrpSpPr>
                        <xdr:cNvPr id="311" name="Group 310"/>
                        <xdr:cNvGrpSpPr/>
                      </xdr:nvGrpSpPr>
                      <xdr:grpSpPr>
                        <a:xfrm>
                          <a:off x="-6814888" y="13008428"/>
                          <a:ext cx="12250060" cy="3859961"/>
                          <a:chOff x="-6440931" y="8403772"/>
                          <a:chExt cx="12250060" cy="3859961"/>
                        </a:xfrm>
                      </xdr:grpSpPr>
                      <xdr:sp macro="" textlink="">
                        <xdr:nvSpPr>
                          <xdr:cNvPr id="318" name="Oval 317"/>
                          <xdr:cNvSpPr/>
                        </xdr:nvSpPr>
                        <xdr:spPr>
                          <a:xfrm>
                            <a:off x="2800127" y="8403772"/>
                            <a:ext cx="1303020" cy="640272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T. Darah</a:t>
                            </a:r>
                            <a:endParaRPr lang="id-ID" sz="1100"/>
                          </a:p>
                        </xdr:txBody>
                      </xdr:sp>
                      <xdr:cxnSp macro="">
                        <xdr:nvCxnSpPr>
                          <xdr:cNvPr id="319" name="Straight Connector 318"/>
                          <xdr:cNvCxnSpPr>
                            <a:stCxn id="318" idx="3"/>
                            <a:endCxn id="315" idx="0"/>
                          </xdr:cNvCxnSpPr>
                        </xdr:nvCxnSpPr>
                        <xdr:spPr>
                          <a:xfrm flipH="1">
                            <a:off x="-6440931" y="8950278"/>
                            <a:ext cx="9431880" cy="3313455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20" name="Straight Connector 319"/>
                          <xdr:cNvCxnSpPr>
                            <a:stCxn id="318" idx="4"/>
                          </xdr:cNvCxnSpPr>
                        </xdr:nvCxnSpPr>
                        <xdr:spPr>
                          <a:xfrm flipH="1">
                            <a:off x="3451412" y="9044044"/>
                            <a:ext cx="225" cy="881807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21" name="Straight Connector 320"/>
                          <xdr:cNvCxnSpPr>
                            <a:stCxn id="318" idx="5"/>
                          </xdr:cNvCxnSpPr>
                        </xdr:nvCxnSpPr>
                        <xdr:spPr>
                          <a:xfrm>
                            <a:off x="3912324" y="8947891"/>
                            <a:ext cx="1896805" cy="968995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312" name="Oval 311"/>
                        <xdr:cNvSpPr/>
                      </xdr:nvSpPr>
                      <xdr:spPr>
                        <a:xfrm>
                          <a:off x="4865914" y="14521543"/>
                          <a:ext cx="1303020" cy="64027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3</a:t>
                          </a:r>
                        </a:p>
                      </xdr:txBody>
                    </xdr:sp>
                    <xdr:sp macro="" textlink="">
                      <xdr:nvSpPr>
                        <xdr:cNvPr id="313" name="Oval 312"/>
                        <xdr:cNvSpPr/>
                      </xdr:nvSpPr>
                      <xdr:spPr>
                        <a:xfrm>
                          <a:off x="2449285" y="14521543"/>
                          <a:ext cx="1303020" cy="64027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L. Perut</a:t>
                          </a:r>
                          <a:endParaRPr lang="id-ID" sz="1100"/>
                        </a:p>
                      </xdr:txBody>
                    </xdr:sp>
                    <xdr:sp macro="" textlink="">
                      <xdr:nvSpPr>
                        <xdr:cNvPr id="315" name="Oval 314"/>
                        <xdr:cNvSpPr/>
                      </xdr:nvSpPr>
                      <xdr:spPr>
                        <a:xfrm>
                          <a:off x="-7466399" y="16868389"/>
                          <a:ext cx="1303020" cy="64027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1</a:t>
                          </a:r>
                          <a:endParaRPr lang="id-ID" sz="1100"/>
                        </a:p>
                      </xdr:txBody>
                    </xdr:sp>
                  </xdr:grpSp>
                  <xdr:cxnSp macro="">
                    <xdr:nvCxnSpPr>
                      <xdr:cNvPr id="278" name="Straight Connector 277"/>
                      <xdr:cNvCxnSpPr/>
                    </xdr:nvCxnSpPr>
                    <xdr:spPr>
                      <a:xfrm flipH="1">
                        <a:off x="17417143" y="69984590"/>
                        <a:ext cx="1450381" cy="1327724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79" name="Straight Connector 278"/>
                      <xdr:cNvCxnSpPr/>
                    </xdr:nvCxnSpPr>
                    <xdr:spPr>
                      <a:xfrm>
                        <a:off x="18818039" y="69976426"/>
                        <a:ext cx="1494704" cy="1325003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275" name="Oval 274"/>
                    <xdr:cNvSpPr/>
                  </xdr:nvSpPr>
                  <xdr:spPr>
                    <a:xfrm>
                      <a:off x="20505325" y="84247596"/>
                      <a:ext cx="1301503" cy="657578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BMI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276" name="Straight Connector 275"/>
                    <xdr:cNvCxnSpPr>
                      <a:stCxn id="275" idx="4"/>
                    </xdr:cNvCxnSpPr>
                  </xdr:nvCxnSpPr>
                  <xdr:spPr>
                    <a:xfrm flipH="1">
                      <a:off x="19169743" y="84905174"/>
                      <a:ext cx="1986334" cy="1179055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cxnSp macro="">
              <xdr:nvCxnSpPr>
                <xdr:cNvPr id="271" name="Straight Connector 270"/>
                <xdr:cNvCxnSpPr>
                  <a:stCxn id="275" idx="4"/>
                </xdr:cNvCxnSpPr>
              </xdr:nvCxnSpPr>
              <xdr:spPr>
                <a:xfrm>
                  <a:off x="21156077" y="84905174"/>
                  <a:ext cx="1377352" cy="121171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67" name="Oval 266"/>
              <xdr:cNvSpPr/>
            </xdr:nvSpPr>
            <xdr:spPr>
              <a:xfrm>
                <a:off x="18872470" y="99041282"/>
                <a:ext cx="1301503" cy="657578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1</a:t>
                </a:r>
                <a:endParaRPr lang="id-ID" sz="1100"/>
              </a:p>
            </xdr:txBody>
          </xdr:sp>
          <xdr:sp macro="" textlink="">
            <xdr:nvSpPr>
              <xdr:cNvPr id="268" name="Oval 267"/>
              <xdr:cNvSpPr/>
            </xdr:nvSpPr>
            <xdr:spPr>
              <a:xfrm>
                <a:off x="22192613" y="99063054"/>
                <a:ext cx="1301503" cy="657578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Umur</a:t>
                </a:r>
              </a:p>
            </xdr:txBody>
          </xdr:sp>
          <xdr:cxnSp macro="">
            <xdr:nvCxnSpPr>
              <xdr:cNvPr id="269" name="Straight Connector 268"/>
              <xdr:cNvCxnSpPr>
                <a:stCxn id="268" idx="4"/>
              </xdr:cNvCxnSpPr>
            </xdr:nvCxnSpPr>
            <xdr:spPr>
              <a:xfrm>
                <a:off x="22843365" y="99720632"/>
                <a:ext cx="1562406" cy="1179054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438" name="Oval 437"/>
          <xdr:cNvSpPr/>
        </xdr:nvSpPr>
        <xdr:spPr>
          <a:xfrm>
            <a:off x="17550796" y="63540727"/>
            <a:ext cx="1305033" cy="60855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Umur</a:t>
            </a:r>
          </a:p>
        </xdr:txBody>
      </xdr:sp>
      <xdr:cxnSp macro="">
        <xdr:nvCxnSpPr>
          <xdr:cNvPr id="439" name="Straight Connector 438"/>
          <xdr:cNvCxnSpPr/>
        </xdr:nvCxnSpPr>
        <xdr:spPr>
          <a:xfrm flipH="1">
            <a:off x="16738298" y="64150327"/>
            <a:ext cx="1381138" cy="89181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40" name="Oval 439"/>
          <xdr:cNvSpPr/>
        </xdr:nvSpPr>
        <xdr:spPr>
          <a:xfrm>
            <a:off x="16135653" y="65032071"/>
            <a:ext cx="1305033" cy="60855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BMI</a:t>
            </a:r>
          </a:p>
        </xdr:txBody>
      </xdr:sp>
      <xdr:cxnSp macro="">
        <xdr:nvCxnSpPr>
          <xdr:cNvPr id="441" name="Straight Connector 440"/>
          <xdr:cNvCxnSpPr/>
        </xdr:nvCxnSpPr>
        <xdr:spPr>
          <a:xfrm flipH="1">
            <a:off x="16063383" y="65630785"/>
            <a:ext cx="473694" cy="72853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2" name="Straight Connector 441"/>
          <xdr:cNvCxnSpPr/>
        </xdr:nvCxnSpPr>
        <xdr:spPr>
          <a:xfrm>
            <a:off x="16733019" y="65641671"/>
            <a:ext cx="1180936" cy="69587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3" name="Straight Connector 442"/>
          <xdr:cNvCxnSpPr/>
        </xdr:nvCxnSpPr>
        <xdr:spPr>
          <a:xfrm>
            <a:off x="18109898" y="64161212"/>
            <a:ext cx="319616" cy="30398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44" name="Oval 443"/>
          <xdr:cNvSpPr/>
        </xdr:nvSpPr>
        <xdr:spPr>
          <a:xfrm>
            <a:off x="17345317" y="66327469"/>
            <a:ext cx="1305033" cy="60855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2</a:t>
            </a:r>
          </a:p>
        </xdr:txBody>
      </xdr:sp>
      <xdr:sp macro="" textlink="">
        <xdr:nvSpPr>
          <xdr:cNvPr id="445" name="Oval 444"/>
          <xdr:cNvSpPr/>
        </xdr:nvSpPr>
        <xdr:spPr>
          <a:xfrm>
            <a:off x="15418545" y="66349241"/>
            <a:ext cx="1305033" cy="60855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</a:p>
        </xdr:txBody>
      </xdr:sp>
    </xdr:grpSp>
    <xdr:clientData/>
  </xdr:twoCellAnchor>
  <xdr:twoCellAnchor>
    <xdr:from>
      <xdr:col>14</xdr:col>
      <xdr:colOff>181129</xdr:colOff>
      <xdr:row>382</xdr:row>
      <xdr:rowOff>79256</xdr:rowOff>
    </xdr:from>
    <xdr:to>
      <xdr:col>39</xdr:col>
      <xdr:colOff>582647</xdr:colOff>
      <xdr:row>424</xdr:row>
      <xdr:rowOff>132634</xdr:rowOff>
    </xdr:to>
    <xdr:grpSp>
      <xdr:nvGrpSpPr>
        <xdr:cNvPr id="41" name="Group 40"/>
        <xdr:cNvGrpSpPr/>
      </xdr:nvGrpSpPr>
      <xdr:grpSpPr>
        <a:xfrm>
          <a:off x="8584900" y="70879942"/>
          <a:ext cx="16740976" cy="7825778"/>
          <a:chOff x="8584900" y="70879942"/>
          <a:chExt cx="15750376" cy="7825778"/>
        </a:xfrm>
      </xdr:grpSpPr>
      <xdr:grpSp>
        <xdr:nvGrpSpPr>
          <xdr:cNvPr id="471" name="Group 470"/>
          <xdr:cNvGrpSpPr/>
        </xdr:nvGrpSpPr>
        <xdr:grpSpPr>
          <a:xfrm>
            <a:off x="8584900" y="70879942"/>
            <a:ext cx="15015327" cy="7203294"/>
            <a:chOff x="9379558" y="60070427"/>
            <a:chExt cx="15015327" cy="7203294"/>
          </a:xfrm>
        </xdr:grpSpPr>
        <xdr:grpSp>
          <xdr:nvGrpSpPr>
            <xdr:cNvPr id="472" name="Group 471"/>
            <xdr:cNvGrpSpPr/>
          </xdr:nvGrpSpPr>
          <xdr:grpSpPr>
            <a:xfrm>
              <a:off x="9379558" y="60070427"/>
              <a:ext cx="15015327" cy="7203294"/>
              <a:chOff x="9379558" y="60070427"/>
              <a:chExt cx="15015327" cy="7203294"/>
            </a:xfrm>
          </xdr:grpSpPr>
          <xdr:cxnSp macro="">
            <xdr:nvCxnSpPr>
              <xdr:cNvPr id="481" name="Straight Connector 480"/>
              <xdr:cNvCxnSpPr>
                <a:stCxn id="485" idx="4"/>
              </xdr:cNvCxnSpPr>
            </xdr:nvCxnSpPr>
            <xdr:spPr>
              <a:xfrm flipH="1">
                <a:off x="20955000" y="66094661"/>
                <a:ext cx="1877479" cy="1179054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grpSp>
            <xdr:nvGrpSpPr>
              <xdr:cNvPr id="482" name="Group 481"/>
              <xdr:cNvGrpSpPr/>
            </xdr:nvGrpSpPr>
            <xdr:grpSpPr>
              <a:xfrm>
                <a:off x="9379558" y="60070427"/>
                <a:ext cx="15015327" cy="7203294"/>
                <a:chOff x="9390444" y="93696393"/>
                <a:chExt cx="15015327" cy="7203293"/>
              </a:xfrm>
            </xdr:grpSpPr>
            <xdr:grpSp>
              <xdr:nvGrpSpPr>
                <xdr:cNvPr id="483" name="Group 482"/>
                <xdr:cNvGrpSpPr/>
              </xdr:nvGrpSpPr>
              <xdr:grpSpPr>
                <a:xfrm>
                  <a:off x="9390444" y="93696393"/>
                  <a:ext cx="13656394" cy="5363607"/>
                  <a:chOff x="9107416" y="80753279"/>
                  <a:chExt cx="13656394" cy="5363607"/>
                </a:xfrm>
              </xdr:grpSpPr>
              <xdr:grpSp>
                <xdr:nvGrpSpPr>
                  <xdr:cNvPr id="487" name="Group 486"/>
                  <xdr:cNvGrpSpPr/>
                </xdr:nvGrpSpPr>
                <xdr:grpSpPr>
                  <a:xfrm>
                    <a:off x="9107416" y="80753279"/>
                    <a:ext cx="13656394" cy="5330950"/>
                    <a:chOff x="9107416" y="80753279"/>
                    <a:chExt cx="13656394" cy="5330950"/>
                  </a:xfrm>
                </xdr:grpSpPr>
                <xdr:sp macro="" textlink="">
                  <xdr:nvSpPr>
                    <xdr:cNvPr id="489" name="Oval 488"/>
                    <xdr:cNvSpPr/>
                  </xdr:nvSpPr>
                  <xdr:spPr>
                    <a:xfrm>
                      <a:off x="17566183" y="85161996"/>
                      <a:ext cx="1301503" cy="657578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2</a:t>
                      </a:r>
                      <a:endParaRPr lang="id-ID" sz="1100"/>
                    </a:p>
                  </xdr:txBody>
                </xdr:sp>
                <xdr:grpSp>
                  <xdr:nvGrpSpPr>
                    <xdr:cNvPr id="490" name="Group 489"/>
                    <xdr:cNvGrpSpPr/>
                  </xdr:nvGrpSpPr>
                  <xdr:grpSpPr>
                    <a:xfrm>
                      <a:off x="9107416" y="80753279"/>
                      <a:ext cx="13656394" cy="5330950"/>
                      <a:chOff x="9107416" y="80753279"/>
                      <a:chExt cx="13656394" cy="5330950"/>
                    </a:xfrm>
                  </xdr:grpSpPr>
                  <xdr:grpSp>
                    <xdr:nvGrpSpPr>
                      <xdr:cNvPr id="491" name="Group 490"/>
                      <xdr:cNvGrpSpPr/>
                    </xdr:nvGrpSpPr>
                    <xdr:grpSpPr>
                      <a:xfrm>
                        <a:off x="9107416" y="80753279"/>
                        <a:ext cx="13656394" cy="4591956"/>
                        <a:chOff x="8290987" y="67788395"/>
                        <a:chExt cx="13656394" cy="4591956"/>
                      </a:xfrm>
                    </xdr:grpSpPr>
                    <xdr:grpSp>
                      <xdr:nvGrpSpPr>
                        <xdr:cNvPr id="494" name="Group 493"/>
                        <xdr:cNvGrpSpPr/>
                      </xdr:nvGrpSpPr>
                      <xdr:grpSpPr>
                        <a:xfrm>
                          <a:off x="8290987" y="67788395"/>
                          <a:ext cx="13656394" cy="4591956"/>
                          <a:chOff x="-7466399" y="13008428"/>
                          <a:chExt cx="13635333" cy="4500233"/>
                        </a:xfrm>
                      </xdr:grpSpPr>
                      <xdr:grpSp>
                        <xdr:nvGrpSpPr>
                          <xdr:cNvPr id="497" name="Group 496"/>
                          <xdr:cNvGrpSpPr/>
                        </xdr:nvGrpSpPr>
                        <xdr:grpSpPr>
                          <a:xfrm>
                            <a:off x="-6814888" y="13008428"/>
                            <a:ext cx="12250060" cy="3859961"/>
                            <a:chOff x="-6440931" y="8403772"/>
                            <a:chExt cx="12250060" cy="3859961"/>
                          </a:xfrm>
                        </xdr:grpSpPr>
                        <xdr:sp macro="" textlink="">
                          <xdr:nvSpPr>
                            <xdr:cNvPr id="501" name="Oval 500"/>
                            <xdr:cNvSpPr/>
                          </xdr:nvSpPr>
                          <xdr:spPr>
                            <a:xfrm>
                              <a:off x="2800127" y="8403772"/>
                              <a:ext cx="1303020" cy="640272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id-ID" sz="1400"/>
                                <a:t>T. Darah</a:t>
                              </a:r>
                              <a:endParaRPr lang="id-ID" sz="1100"/>
                            </a:p>
                          </xdr:txBody>
                        </xdr:sp>
                        <xdr:cxnSp macro="">
                          <xdr:nvCxnSpPr>
                            <xdr:cNvPr id="502" name="Straight Connector 501"/>
                            <xdr:cNvCxnSpPr>
                              <a:stCxn id="501" idx="3"/>
                              <a:endCxn id="500" idx="0"/>
                            </xdr:cNvCxnSpPr>
                          </xdr:nvCxnSpPr>
                          <xdr:spPr>
                            <a:xfrm flipH="1">
                              <a:off x="-6440931" y="8950278"/>
                              <a:ext cx="9431880" cy="3313455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503" name="Straight Connector 502"/>
                            <xdr:cNvCxnSpPr>
                              <a:stCxn id="501" idx="4"/>
                            </xdr:cNvCxnSpPr>
                          </xdr:nvCxnSpPr>
                          <xdr:spPr>
                            <a:xfrm flipH="1">
                              <a:off x="3451412" y="9044044"/>
                              <a:ext cx="225" cy="881807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504" name="Straight Connector 503"/>
                            <xdr:cNvCxnSpPr>
                              <a:stCxn id="501" idx="5"/>
                            </xdr:cNvCxnSpPr>
                          </xdr:nvCxnSpPr>
                          <xdr:spPr>
                            <a:xfrm>
                              <a:off x="3912324" y="8947891"/>
                              <a:ext cx="1896805" cy="968995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498" name="Oval 497"/>
                          <xdr:cNvSpPr/>
                        </xdr:nvSpPr>
                        <xdr:spPr>
                          <a:xfrm>
                            <a:off x="4865914" y="14521543"/>
                            <a:ext cx="1303020" cy="640272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3</a:t>
                            </a:r>
                          </a:p>
                        </xdr:txBody>
                      </xdr:sp>
                      <xdr:sp macro="" textlink="">
                        <xdr:nvSpPr>
                          <xdr:cNvPr id="499" name="Oval 498"/>
                          <xdr:cNvSpPr/>
                        </xdr:nvSpPr>
                        <xdr:spPr>
                          <a:xfrm>
                            <a:off x="2449285" y="14521543"/>
                            <a:ext cx="1303020" cy="640272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L. Perut</a:t>
                            </a:r>
                            <a:endParaRPr lang="id-ID" sz="1100"/>
                          </a:p>
                        </xdr:txBody>
                      </xdr:sp>
                      <xdr:sp macro="" textlink="">
                        <xdr:nvSpPr>
                          <xdr:cNvPr id="500" name="Oval 499"/>
                          <xdr:cNvSpPr/>
                        </xdr:nvSpPr>
                        <xdr:spPr>
                          <a:xfrm>
                            <a:off x="-7466399" y="16868389"/>
                            <a:ext cx="1303020" cy="640272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1</a:t>
                            </a:r>
                            <a:endParaRPr lang="id-ID" sz="1100"/>
                          </a:p>
                        </xdr:txBody>
                      </xdr:sp>
                    </xdr:grpSp>
                    <xdr:cxnSp macro="">
                      <xdr:nvCxnSpPr>
                        <xdr:cNvPr id="495" name="Straight Connector 494"/>
                        <xdr:cNvCxnSpPr/>
                      </xdr:nvCxnSpPr>
                      <xdr:spPr>
                        <a:xfrm flipH="1">
                          <a:off x="17417143" y="69984590"/>
                          <a:ext cx="1450381" cy="1327724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96" name="Straight Connector 495"/>
                        <xdr:cNvCxnSpPr/>
                      </xdr:nvCxnSpPr>
                      <xdr:spPr>
                        <a:xfrm>
                          <a:off x="18818039" y="69976426"/>
                          <a:ext cx="1494704" cy="1325003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492" name="Oval 491"/>
                      <xdr:cNvSpPr/>
                    </xdr:nvSpPr>
                    <xdr:spPr>
                      <a:xfrm>
                        <a:off x="20505325" y="84247596"/>
                        <a:ext cx="1301503" cy="657578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BMI</a:t>
                        </a:r>
                        <a:endParaRPr lang="id-ID" sz="1100"/>
                      </a:p>
                    </xdr:txBody>
                  </xdr:sp>
                  <xdr:cxnSp macro="">
                    <xdr:nvCxnSpPr>
                      <xdr:cNvPr id="493" name="Straight Connector 492"/>
                      <xdr:cNvCxnSpPr>
                        <a:stCxn id="492" idx="4"/>
                      </xdr:cNvCxnSpPr>
                    </xdr:nvCxnSpPr>
                    <xdr:spPr>
                      <a:xfrm flipH="1">
                        <a:off x="19169743" y="84905174"/>
                        <a:ext cx="1986334" cy="1179055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  <xdr:cxnSp macro="">
                <xdr:nvCxnSpPr>
                  <xdr:cNvPr id="488" name="Straight Connector 487"/>
                  <xdr:cNvCxnSpPr>
                    <a:stCxn id="492" idx="4"/>
                  </xdr:cNvCxnSpPr>
                </xdr:nvCxnSpPr>
                <xdr:spPr>
                  <a:xfrm>
                    <a:off x="21156077" y="84905174"/>
                    <a:ext cx="1377352" cy="1211712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484" name="Oval 483"/>
                <xdr:cNvSpPr/>
              </xdr:nvSpPr>
              <xdr:spPr>
                <a:xfrm>
                  <a:off x="18872470" y="99041282"/>
                  <a:ext cx="1301503" cy="657578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1</a:t>
                  </a:r>
                  <a:endParaRPr lang="id-ID" sz="1100"/>
                </a:p>
              </xdr:txBody>
            </xdr:sp>
            <xdr:sp macro="" textlink="">
              <xdr:nvSpPr>
                <xdr:cNvPr id="485" name="Oval 484"/>
                <xdr:cNvSpPr/>
              </xdr:nvSpPr>
              <xdr:spPr>
                <a:xfrm>
                  <a:off x="22192613" y="99063054"/>
                  <a:ext cx="1301503" cy="657578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Umur</a:t>
                  </a:r>
                </a:p>
              </xdr:txBody>
            </xdr:sp>
            <xdr:cxnSp macro="">
              <xdr:nvCxnSpPr>
                <xdr:cNvPr id="486" name="Straight Connector 485"/>
                <xdr:cNvCxnSpPr>
                  <a:stCxn id="485" idx="4"/>
                </xdr:cNvCxnSpPr>
              </xdr:nvCxnSpPr>
              <xdr:spPr>
                <a:xfrm>
                  <a:off x="22843365" y="99720632"/>
                  <a:ext cx="1562406" cy="1179054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473" name="Oval 472"/>
            <xdr:cNvSpPr/>
          </xdr:nvSpPr>
          <xdr:spPr>
            <a:xfrm>
              <a:off x="17550796" y="63540727"/>
              <a:ext cx="1305033" cy="608550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Umur</a:t>
              </a:r>
            </a:p>
          </xdr:txBody>
        </xdr:sp>
        <xdr:cxnSp macro="">
          <xdr:nvCxnSpPr>
            <xdr:cNvPr id="474" name="Straight Connector 473"/>
            <xdr:cNvCxnSpPr/>
          </xdr:nvCxnSpPr>
          <xdr:spPr>
            <a:xfrm flipH="1">
              <a:off x="16738298" y="64150327"/>
              <a:ext cx="1381138" cy="89181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75" name="Oval 474"/>
            <xdr:cNvSpPr/>
          </xdr:nvSpPr>
          <xdr:spPr>
            <a:xfrm>
              <a:off x="16135653" y="65032071"/>
              <a:ext cx="1305033" cy="608550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BMI</a:t>
              </a:r>
            </a:p>
          </xdr:txBody>
        </xdr:sp>
        <xdr:cxnSp macro="">
          <xdr:nvCxnSpPr>
            <xdr:cNvPr id="476" name="Straight Connector 475"/>
            <xdr:cNvCxnSpPr/>
          </xdr:nvCxnSpPr>
          <xdr:spPr>
            <a:xfrm flipH="1">
              <a:off x="16063383" y="65630785"/>
              <a:ext cx="473694" cy="728531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7" name="Straight Connector 476"/>
            <xdr:cNvCxnSpPr/>
          </xdr:nvCxnSpPr>
          <xdr:spPr>
            <a:xfrm>
              <a:off x="16733019" y="65641671"/>
              <a:ext cx="1180936" cy="69587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8" name="Straight Connector 477"/>
            <xdr:cNvCxnSpPr/>
          </xdr:nvCxnSpPr>
          <xdr:spPr>
            <a:xfrm>
              <a:off x="18109898" y="64161212"/>
              <a:ext cx="319616" cy="303988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79" name="Oval 478"/>
            <xdr:cNvSpPr/>
          </xdr:nvSpPr>
          <xdr:spPr>
            <a:xfrm>
              <a:off x="17345317" y="66327469"/>
              <a:ext cx="1305033" cy="608550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2</a:t>
              </a:r>
            </a:p>
          </xdr:txBody>
        </xdr:sp>
        <xdr:sp macro="" textlink="">
          <xdr:nvSpPr>
            <xdr:cNvPr id="480" name="Oval 479"/>
            <xdr:cNvSpPr/>
          </xdr:nvSpPr>
          <xdr:spPr>
            <a:xfrm>
              <a:off x="15418545" y="66349241"/>
              <a:ext cx="1305033" cy="608550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</a:p>
          </xdr:txBody>
        </xdr:sp>
      </xdr:grpSp>
      <xdr:sp macro="" textlink="">
        <xdr:nvSpPr>
          <xdr:cNvPr id="505" name="Oval 504"/>
          <xdr:cNvSpPr/>
        </xdr:nvSpPr>
        <xdr:spPr>
          <a:xfrm>
            <a:off x="19470615" y="78075399"/>
            <a:ext cx="1305033" cy="60855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2</a:t>
            </a:r>
          </a:p>
        </xdr:txBody>
      </xdr:sp>
      <xdr:sp macro="" textlink="">
        <xdr:nvSpPr>
          <xdr:cNvPr id="506" name="Oval 505"/>
          <xdr:cNvSpPr/>
        </xdr:nvSpPr>
        <xdr:spPr>
          <a:xfrm>
            <a:off x="23030243" y="78097170"/>
            <a:ext cx="1305033" cy="60855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2</a:t>
            </a:r>
          </a:p>
        </xdr:txBody>
      </xdr:sp>
    </xdr:grpSp>
    <xdr:clientData/>
  </xdr:twoCellAnchor>
  <xdr:twoCellAnchor editAs="oneCell">
    <xdr:from>
      <xdr:col>60</xdr:col>
      <xdr:colOff>455855</xdr:colOff>
      <xdr:row>3</xdr:row>
      <xdr:rowOff>149710</xdr:rowOff>
    </xdr:from>
    <xdr:to>
      <xdr:col>65</xdr:col>
      <xdr:colOff>287580</xdr:colOff>
      <xdr:row>14</xdr:row>
      <xdr:rowOff>9449</xdr:rowOff>
    </xdr:to>
    <xdr:pic>
      <xdr:nvPicPr>
        <xdr:cNvPr id="508" name="Picture 50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0043" y="687592"/>
          <a:ext cx="2879725" cy="190369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286871</xdr:colOff>
      <xdr:row>44</xdr:row>
      <xdr:rowOff>152402</xdr:rowOff>
    </xdr:from>
    <xdr:to>
      <xdr:col>9</xdr:col>
      <xdr:colOff>322729</xdr:colOff>
      <xdr:row>52</xdr:row>
      <xdr:rowOff>184994</xdr:rowOff>
    </xdr:to>
    <xdr:grpSp>
      <xdr:nvGrpSpPr>
        <xdr:cNvPr id="2" name="Group 1"/>
        <xdr:cNvGrpSpPr/>
      </xdr:nvGrpSpPr>
      <xdr:grpSpPr>
        <a:xfrm>
          <a:off x="896471" y="7696202"/>
          <a:ext cx="5065058" cy="1327992"/>
          <a:chOff x="896471" y="8403772"/>
          <a:chExt cx="4912658" cy="1513114"/>
        </a:xfrm>
      </xdr:grpSpPr>
      <xdr:sp macro="" textlink="">
        <xdr:nvSpPr>
          <xdr:cNvPr id="3" name="Oval 2"/>
          <xdr:cNvSpPr/>
        </xdr:nvSpPr>
        <xdr:spPr>
          <a:xfrm>
            <a:off x="2800127" y="8403772"/>
            <a:ext cx="1303020" cy="64027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BMI</a:t>
            </a:r>
            <a:endParaRPr lang="id-ID" sz="1100"/>
          </a:p>
        </xdr:txBody>
      </xdr:sp>
      <xdr:cxnSp macro="">
        <xdr:nvCxnSpPr>
          <xdr:cNvPr id="4" name="Straight Connector 3"/>
          <xdr:cNvCxnSpPr>
            <a:stCxn id="3" idx="3"/>
          </xdr:cNvCxnSpPr>
        </xdr:nvCxnSpPr>
        <xdr:spPr>
          <a:xfrm flipH="1">
            <a:off x="896471" y="8947891"/>
            <a:ext cx="2094479" cy="96899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>
            <a:stCxn id="3" idx="5"/>
          </xdr:cNvCxnSpPr>
        </xdr:nvCxnSpPr>
        <xdr:spPr>
          <a:xfrm>
            <a:off x="3912324" y="8947891"/>
            <a:ext cx="1896805" cy="96899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504585</xdr:colOff>
      <xdr:row>82</xdr:row>
      <xdr:rowOff>87087</xdr:rowOff>
    </xdr:from>
    <xdr:to>
      <xdr:col>10</xdr:col>
      <xdr:colOff>10565</xdr:colOff>
      <xdr:row>85</xdr:row>
      <xdr:rowOff>176766</xdr:rowOff>
    </xdr:to>
    <xdr:sp macro="" textlink="">
      <xdr:nvSpPr>
        <xdr:cNvPr id="159" name="Oval 158"/>
        <xdr:cNvSpPr/>
      </xdr:nvSpPr>
      <xdr:spPr>
        <a:xfrm>
          <a:off x="4891528" y="15392401"/>
          <a:ext cx="1334780" cy="644851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3</a:t>
          </a:r>
          <a:endParaRPr lang="id-ID" sz="1100"/>
        </a:p>
      </xdr:txBody>
    </xdr:sp>
    <xdr:clientData/>
  </xdr:twoCellAnchor>
  <xdr:twoCellAnchor>
    <xdr:from>
      <xdr:col>10</xdr:col>
      <xdr:colOff>598714</xdr:colOff>
      <xdr:row>23</xdr:row>
      <xdr:rowOff>10886</xdr:rowOff>
    </xdr:from>
    <xdr:to>
      <xdr:col>11</xdr:col>
      <xdr:colOff>10886</xdr:colOff>
      <xdr:row>47</xdr:row>
      <xdr:rowOff>130629</xdr:rowOff>
    </xdr:to>
    <xdr:cxnSp macro="">
      <xdr:nvCxnSpPr>
        <xdr:cNvPr id="161" name="Straight Connector 160"/>
        <xdr:cNvCxnSpPr/>
      </xdr:nvCxnSpPr>
      <xdr:spPr>
        <a:xfrm>
          <a:off x="6814457" y="4376057"/>
          <a:ext cx="21772" cy="458288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10886</xdr:colOff>
      <xdr:row>47</xdr:row>
      <xdr:rowOff>108857</xdr:rowOff>
    </xdr:from>
    <xdr:to>
      <xdr:col>16</xdr:col>
      <xdr:colOff>587829</xdr:colOff>
      <xdr:row>47</xdr:row>
      <xdr:rowOff>119743</xdr:rowOff>
    </xdr:to>
    <xdr:cxnSp macro="">
      <xdr:nvCxnSpPr>
        <xdr:cNvPr id="162" name="Straight Connector 161"/>
        <xdr:cNvCxnSpPr/>
      </xdr:nvCxnSpPr>
      <xdr:spPr>
        <a:xfrm flipV="1">
          <a:off x="6836229" y="8937171"/>
          <a:ext cx="3603171" cy="1088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587829</xdr:colOff>
      <xdr:row>47</xdr:row>
      <xdr:rowOff>119743</xdr:rowOff>
    </xdr:from>
    <xdr:to>
      <xdr:col>17</xdr:col>
      <xdr:colOff>32658</xdr:colOff>
      <xdr:row>72</xdr:row>
      <xdr:rowOff>43543</xdr:rowOff>
    </xdr:to>
    <xdr:cxnSp macro="">
      <xdr:nvCxnSpPr>
        <xdr:cNvPr id="167" name="Straight Connector 166"/>
        <xdr:cNvCxnSpPr/>
      </xdr:nvCxnSpPr>
      <xdr:spPr>
        <a:xfrm>
          <a:off x="10439400" y="8948057"/>
          <a:ext cx="54429" cy="4550229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21772</xdr:colOff>
      <xdr:row>72</xdr:row>
      <xdr:rowOff>10886</xdr:rowOff>
    </xdr:from>
    <xdr:to>
      <xdr:col>34</xdr:col>
      <xdr:colOff>206829</xdr:colOff>
      <xdr:row>72</xdr:row>
      <xdr:rowOff>10886</xdr:rowOff>
    </xdr:to>
    <xdr:cxnSp macro="">
      <xdr:nvCxnSpPr>
        <xdr:cNvPr id="171" name="Straight Connector 170"/>
        <xdr:cNvCxnSpPr/>
      </xdr:nvCxnSpPr>
      <xdr:spPr>
        <a:xfrm>
          <a:off x="10482943" y="13465629"/>
          <a:ext cx="10548257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72</xdr:row>
      <xdr:rowOff>0</xdr:rowOff>
    </xdr:from>
    <xdr:to>
      <xdr:col>8</xdr:col>
      <xdr:colOff>562375</xdr:colOff>
      <xdr:row>95</xdr:row>
      <xdr:rowOff>10886</xdr:rowOff>
    </xdr:to>
    <xdr:grpSp>
      <xdr:nvGrpSpPr>
        <xdr:cNvPr id="204" name="Group 203"/>
        <xdr:cNvGrpSpPr/>
      </xdr:nvGrpSpPr>
      <xdr:grpSpPr>
        <a:xfrm>
          <a:off x="914400" y="11887200"/>
          <a:ext cx="4677175" cy="3516086"/>
          <a:chOff x="914400" y="13454743"/>
          <a:chExt cx="4644518" cy="4267200"/>
        </a:xfrm>
      </xdr:grpSpPr>
      <xdr:grpSp>
        <xdr:nvGrpSpPr>
          <xdr:cNvPr id="155" name="Group 154"/>
          <xdr:cNvGrpSpPr/>
        </xdr:nvGrpSpPr>
        <xdr:grpSpPr>
          <a:xfrm>
            <a:off x="2728632" y="13454743"/>
            <a:ext cx="2830286" cy="1992086"/>
            <a:chOff x="2631904" y="8425388"/>
            <a:chExt cx="2762941" cy="1977941"/>
          </a:xfrm>
        </xdr:grpSpPr>
        <xdr:sp macro="" textlink="">
          <xdr:nvSpPr>
            <xdr:cNvPr id="156" name="Oval 155"/>
            <xdr:cNvSpPr/>
          </xdr:nvSpPr>
          <xdr:spPr>
            <a:xfrm>
              <a:off x="3437729" y="8425388"/>
              <a:ext cx="1303020" cy="64027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BMI</a:t>
              </a:r>
              <a:endParaRPr lang="id-ID" sz="1100"/>
            </a:p>
          </xdr:txBody>
        </xdr:sp>
        <xdr:cxnSp macro="">
          <xdr:nvCxnSpPr>
            <xdr:cNvPr id="157" name="Straight Connector 156"/>
            <xdr:cNvCxnSpPr>
              <a:stCxn id="156" idx="4"/>
              <a:endCxn id="174" idx="0"/>
            </xdr:cNvCxnSpPr>
          </xdr:nvCxnSpPr>
          <xdr:spPr>
            <a:xfrm flipH="1">
              <a:off x="2631904" y="9065660"/>
              <a:ext cx="1457334" cy="1337669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" name="Straight Connector 157"/>
            <xdr:cNvCxnSpPr>
              <a:stCxn id="156" idx="4"/>
              <a:endCxn id="159" idx="0"/>
            </xdr:cNvCxnSpPr>
          </xdr:nvCxnSpPr>
          <xdr:spPr>
            <a:xfrm>
              <a:off x="4089238" y="9065660"/>
              <a:ext cx="1305607" cy="128362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74" name="Oval 173"/>
          <xdr:cNvSpPr/>
        </xdr:nvSpPr>
        <xdr:spPr>
          <a:xfrm>
            <a:off x="2061242" y="15446829"/>
            <a:ext cx="1334780" cy="64485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T. Darah</a:t>
            </a:r>
          </a:p>
        </xdr:txBody>
      </xdr:sp>
      <xdr:cxnSp macro="">
        <xdr:nvCxnSpPr>
          <xdr:cNvPr id="175" name="Straight Connector 174"/>
          <xdr:cNvCxnSpPr>
            <a:stCxn id="174" idx="3"/>
          </xdr:cNvCxnSpPr>
        </xdr:nvCxnSpPr>
        <xdr:spPr>
          <a:xfrm flipH="1">
            <a:off x="914400" y="15997244"/>
            <a:ext cx="1342316" cy="99535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Straight Connector 190"/>
          <xdr:cNvCxnSpPr>
            <a:stCxn id="174" idx="4"/>
          </xdr:cNvCxnSpPr>
        </xdr:nvCxnSpPr>
        <xdr:spPr>
          <a:xfrm flipH="1">
            <a:off x="2721429" y="16091680"/>
            <a:ext cx="7203" cy="163026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Straight Connector 196"/>
          <xdr:cNvCxnSpPr>
            <a:stCxn id="174" idx="5"/>
          </xdr:cNvCxnSpPr>
        </xdr:nvCxnSpPr>
        <xdr:spPr>
          <a:xfrm>
            <a:off x="3200548" y="15997244"/>
            <a:ext cx="1502081" cy="95181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54429</xdr:colOff>
      <xdr:row>103</xdr:row>
      <xdr:rowOff>108859</xdr:rowOff>
    </xdr:from>
    <xdr:to>
      <xdr:col>43</xdr:col>
      <xdr:colOff>522514</xdr:colOff>
      <xdr:row>104</xdr:row>
      <xdr:rowOff>10885</xdr:rowOff>
    </xdr:to>
    <xdr:cxnSp macro="">
      <xdr:nvCxnSpPr>
        <xdr:cNvPr id="202" name="Straight Connector 201"/>
        <xdr:cNvCxnSpPr/>
      </xdr:nvCxnSpPr>
      <xdr:spPr>
        <a:xfrm flipV="1">
          <a:off x="54429" y="19289488"/>
          <a:ext cx="27083656" cy="87083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124</xdr:row>
      <xdr:rowOff>76200</xdr:rowOff>
    </xdr:from>
    <xdr:to>
      <xdr:col>1</xdr:col>
      <xdr:colOff>725180</xdr:colOff>
      <xdr:row>127</xdr:row>
      <xdr:rowOff>165880</xdr:rowOff>
    </xdr:to>
    <xdr:sp macro="" textlink="">
      <xdr:nvSpPr>
        <xdr:cNvPr id="215" name="Oval 214"/>
        <xdr:cNvSpPr/>
      </xdr:nvSpPr>
      <xdr:spPr>
        <a:xfrm>
          <a:off x="0" y="23132143"/>
          <a:ext cx="1334780" cy="644851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1</a:t>
          </a:r>
          <a:endParaRPr lang="id-ID" sz="1100"/>
        </a:p>
      </xdr:txBody>
    </xdr:sp>
    <xdr:clientData/>
  </xdr:twoCellAnchor>
  <xdr:twoCellAnchor>
    <xdr:from>
      <xdr:col>0</xdr:col>
      <xdr:colOff>457200</xdr:colOff>
      <xdr:row>105</xdr:row>
      <xdr:rowOff>87086</xdr:rowOff>
    </xdr:from>
    <xdr:to>
      <xdr:col>9</xdr:col>
      <xdr:colOff>380680</xdr:colOff>
      <xdr:row>136</xdr:row>
      <xdr:rowOff>21771</xdr:rowOff>
    </xdr:to>
    <xdr:grpSp>
      <xdr:nvGrpSpPr>
        <xdr:cNvPr id="228" name="Group 227"/>
        <xdr:cNvGrpSpPr/>
      </xdr:nvGrpSpPr>
      <xdr:grpSpPr>
        <a:xfrm>
          <a:off x="457200" y="17003486"/>
          <a:ext cx="5562280" cy="4659085"/>
          <a:chOff x="457200" y="19626943"/>
          <a:chExt cx="5529623" cy="5671457"/>
        </a:xfrm>
      </xdr:grpSpPr>
      <xdr:sp macro="" textlink="">
        <xdr:nvSpPr>
          <xdr:cNvPr id="214" name="Oval 213"/>
          <xdr:cNvSpPr/>
        </xdr:nvSpPr>
        <xdr:spPr>
          <a:xfrm>
            <a:off x="4652043" y="21542829"/>
            <a:ext cx="1334780" cy="64485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3</a:t>
            </a:r>
            <a:endParaRPr lang="id-ID" sz="1100"/>
          </a:p>
        </xdr:txBody>
      </xdr:sp>
      <xdr:grpSp>
        <xdr:nvGrpSpPr>
          <xdr:cNvPr id="227" name="Group 226"/>
          <xdr:cNvGrpSpPr/>
        </xdr:nvGrpSpPr>
        <xdr:grpSpPr>
          <a:xfrm>
            <a:off x="457200" y="19626943"/>
            <a:ext cx="4644518" cy="5671457"/>
            <a:chOff x="457200" y="19626943"/>
            <a:chExt cx="4644518" cy="5671457"/>
          </a:xfrm>
        </xdr:grpSpPr>
        <xdr:grpSp>
          <xdr:nvGrpSpPr>
            <xdr:cNvPr id="205" name="Group 204"/>
            <xdr:cNvGrpSpPr/>
          </xdr:nvGrpSpPr>
          <xdr:grpSpPr>
            <a:xfrm>
              <a:off x="457200" y="19626943"/>
              <a:ext cx="4644518" cy="4267200"/>
              <a:chOff x="914400" y="13454743"/>
              <a:chExt cx="4644518" cy="4267200"/>
            </a:xfrm>
          </xdr:grpSpPr>
          <xdr:grpSp>
            <xdr:nvGrpSpPr>
              <xdr:cNvPr id="206" name="Group 205"/>
              <xdr:cNvGrpSpPr/>
            </xdr:nvGrpSpPr>
            <xdr:grpSpPr>
              <a:xfrm>
                <a:off x="2728632" y="13454743"/>
                <a:ext cx="2830286" cy="1992086"/>
                <a:chOff x="2631904" y="8425388"/>
                <a:chExt cx="2762941" cy="1977941"/>
              </a:xfrm>
            </xdr:grpSpPr>
            <xdr:sp macro="" textlink="">
              <xdr:nvSpPr>
                <xdr:cNvPr id="211" name="Oval 210"/>
                <xdr:cNvSpPr/>
              </xdr:nvSpPr>
              <xdr:spPr>
                <a:xfrm>
                  <a:off x="3437729" y="8425388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BMI</a:t>
                  </a:r>
                  <a:endParaRPr lang="id-ID" sz="1100"/>
                </a:p>
              </xdr:txBody>
            </xdr:sp>
            <xdr:cxnSp macro="">
              <xdr:nvCxnSpPr>
                <xdr:cNvPr id="212" name="Straight Connector 211"/>
                <xdr:cNvCxnSpPr>
                  <a:stCxn id="211" idx="4"/>
                  <a:endCxn id="207" idx="0"/>
                </xdr:cNvCxnSpPr>
              </xdr:nvCxnSpPr>
              <xdr:spPr>
                <a:xfrm flipH="1">
                  <a:off x="2631904" y="9065660"/>
                  <a:ext cx="1457334" cy="1337669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13" name="Straight Connector 212"/>
                <xdr:cNvCxnSpPr>
                  <a:stCxn id="211" idx="4"/>
                </xdr:cNvCxnSpPr>
              </xdr:nvCxnSpPr>
              <xdr:spPr>
                <a:xfrm>
                  <a:off x="4089238" y="9065660"/>
                  <a:ext cx="1305607" cy="128362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07" name="Oval 206"/>
              <xdr:cNvSpPr/>
            </xdr:nvSpPr>
            <xdr:spPr>
              <a:xfrm>
                <a:off x="2061242" y="15446829"/>
                <a:ext cx="1334780" cy="644851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100"/>
                  <a:t>T. Darah</a:t>
                </a:r>
              </a:p>
            </xdr:txBody>
          </xdr:sp>
          <xdr:cxnSp macro="">
            <xdr:nvCxnSpPr>
              <xdr:cNvPr id="208" name="Straight Connector 207"/>
              <xdr:cNvCxnSpPr>
                <a:stCxn id="207" idx="3"/>
              </xdr:cNvCxnSpPr>
            </xdr:nvCxnSpPr>
            <xdr:spPr>
              <a:xfrm flipH="1">
                <a:off x="914400" y="15997244"/>
                <a:ext cx="1342316" cy="995356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9" name="Straight Connector 208"/>
              <xdr:cNvCxnSpPr>
                <a:stCxn id="207" idx="4"/>
              </xdr:cNvCxnSpPr>
            </xdr:nvCxnSpPr>
            <xdr:spPr>
              <a:xfrm flipH="1">
                <a:off x="2721429" y="16091680"/>
                <a:ext cx="7203" cy="1630263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0" name="Straight Connector 209"/>
              <xdr:cNvCxnSpPr>
                <a:stCxn id="207" idx="5"/>
              </xdr:cNvCxnSpPr>
            </xdr:nvCxnSpPr>
            <xdr:spPr>
              <a:xfrm>
                <a:off x="3200548" y="15997244"/>
                <a:ext cx="1502081" cy="951813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16" name="Oval 215"/>
            <xdr:cNvSpPr/>
          </xdr:nvSpPr>
          <xdr:spPr>
            <a:xfrm>
              <a:off x="1632857" y="23905028"/>
              <a:ext cx="1334780" cy="64485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L. Perut</a:t>
              </a:r>
              <a:endParaRPr lang="id-ID" sz="1100"/>
            </a:p>
          </xdr:txBody>
        </xdr:sp>
        <xdr:cxnSp macro="">
          <xdr:nvCxnSpPr>
            <xdr:cNvPr id="217" name="Straight Connector 216"/>
            <xdr:cNvCxnSpPr>
              <a:endCxn id="216" idx="3"/>
            </xdr:cNvCxnSpPr>
          </xdr:nvCxnSpPr>
          <xdr:spPr>
            <a:xfrm flipV="1">
              <a:off x="892629" y="24455443"/>
              <a:ext cx="935702" cy="84295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" name="Straight Connector 219"/>
            <xdr:cNvCxnSpPr>
              <a:stCxn id="216" idx="5"/>
            </xdr:cNvCxnSpPr>
          </xdr:nvCxnSpPr>
          <xdr:spPr>
            <a:xfrm>
              <a:off x="2772163" y="24455443"/>
              <a:ext cx="1124923" cy="832071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0</xdr:colOff>
      <xdr:row>142</xdr:row>
      <xdr:rowOff>119745</xdr:rowOff>
    </xdr:from>
    <xdr:to>
      <xdr:col>43</xdr:col>
      <xdr:colOff>468085</xdr:colOff>
      <xdr:row>143</xdr:row>
      <xdr:rowOff>21770</xdr:rowOff>
    </xdr:to>
    <xdr:cxnSp macro="">
      <xdr:nvCxnSpPr>
        <xdr:cNvPr id="226" name="Straight Connector 225"/>
        <xdr:cNvCxnSpPr/>
      </xdr:nvCxnSpPr>
      <xdr:spPr>
        <a:xfrm flipV="1">
          <a:off x="0" y="26506716"/>
          <a:ext cx="27083656" cy="87083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555172</xdr:colOff>
      <xdr:row>174</xdr:row>
      <xdr:rowOff>76199</xdr:rowOff>
    </xdr:from>
    <xdr:to>
      <xdr:col>2</xdr:col>
      <xdr:colOff>551009</xdr:colOff>
      <xdr:row>177</xdr:row>
      <xdr:rowOff>165879</xdr:rowOff>
    </xdr:to>
    <xdr:sp macro="" textlink="">
      <xdr:nvSpPr>
        <xdr:cNvPr id="244" name="Oval 243"/>
        <xdr:cNvSpPr/>
      </xdr:nvSpPr>
      <xdr:spPr>
        <a:xfrm>
          <a:off x="555172" y="32384999"/>
          <a:ext cx="1334780" cy="644851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  <xdr:twoCellAnchor>
    <xdr:from>
      <xdr:col>0</xdr:col>
      <xdr:colOff>0</xdr:colOff>
      <xdr:row>143</xdr:row>
      <xdr:rowOff>141514</xdr:rowOff>
    </xdr:from>
    <xdr:to>
      <xdr:col>10</xdr:col>
      <xdr:colOff>86766</xdr:colOff>
      <xdr:row>182</xdr:row>
      <xdr:rowOff>152400</xdr:rowOff>
    </xdr:to>
    <xdr:grpSp>
      <xdr:nvGrpSpPr>
        <xdr:cNvPr id="253" name="Group 252"/>
        <xdr:cNvGrpSpPr/>
      </xdr:nvGrpSpPr>
      <xdr:grpSpPr>
        <a:xfrm>
          <a:off x="0" y="22849114"/>
          <a:ext cx="6335166" cy="5954486"/>
          <a:chOff x="0" y="26713543"/>
          <a:chExt cx="6302509" cy="7228114"/>
        </a:xfrm>
      </xdr:grpSpPr>
      <xdr:sp macro="" textlink="">
        <xdr:nvSpPr>
          <xdr:cNvPr id="245" name="Oval 244"/>
          <xdr:cNvSpPr/>
        </xdr:nvSpPr>
        <xdr:spPr>
          <a:xfrm>
            <a:off x="0" y="30218742"/>
            <a:ext cx="1334780" cy="64485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  <xdr:grpSp>
        <xdr:nvGrpSpPr>
          <xdr:cNvPr id="252" name="Group 251"/>
          <xdr:cNvGrpSpPr/>
        </xdr:nvGrpSpPr>
        <xdr:grpSpPr>
          <a:xfrm>
            <a:off x="772886" y="26713543"/>
            <a:ext cx="5529623" cy="7228114"/>
            <a:chOff x="772886" y="26713543"/>
            <a:chExt cx="5529623" cy="7228114"/>
          </a:xfrm>
        </xdr:grpSpPr>
        <xdr:grpSp>
          <xdr:nvGrpSpPr>
            <xdr:cNvPr id="229" name="Group 228"/>
            <xdr:cNvGrpSpPr/>
          </xdr:nvGrpSpPr>
          <xdr:grpSpPr>
            <a:xfrm>
              <a:off x="772886" y="26713543"/>
              <a:ext cx="5529623" cy="5671457"/>
              <a:chOff x="457200" y="19626943"/>
              <a:chExt cx="5529623" cy="5671457"/>
            </a:xfrm>
          </xdr:grpSpPr>
          <xdr:sp macro="" textlink="">
            <xdr:nvSpPr>
              <xdr:cNvPr id="230" name="Oval 229"/>
              <xdr:cNvSpPr/>
            </xdr:nvSpPr>
            <xdr:spPr>
              <a:xfrm>
                <a:off x="4652043" y="21542829"/>
                <a:ext cx="1334780" cy="644851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3</a:t>
                </a:r>
                <a:endParaRPr lang="id-ID" sz="1100"/>
              </a:p>
            </xdr:txBody>
          </xdr:sp>
          <xdr:grpSp>
            <xdr:nvGrpSpPr>
              <xdr:cNvPr id="231" name="Group 230"/>
              <xdr:cNvGrpSpPr/>
            </xdr:nvGrpSpPr>
            <xdr:grpSpPr>
              <a:xfrm>
                <a:off x="457200" y="19626943"/>
                <a:ext cx="4644518" cy="5671457"/>
                <a:chOff x="457200" y="19626943"/>
                <a:chExt cx="4644518" cy="5671457"/>
              </a:xfrm>
            </xdr:grpSpPr>
            <xdr:grpSp>
              <xdr:nvGrpSpPr>
                <xdr:cNvPr id="232" name="Group 231"/>
                <xdr:cNvGrpSpPr/>
              </xdr:nvGrpSpPr>
              <xdr:grpSpPr>
                <a:xfrm>
                  <a:off x="457200" y="19626943"/>
                  <a:ext cx="4644518" cy="4267200"/>
                  <a:chOff x="914400" y="13454743"/>
                  <a:chExt cx="4644518" cy="4267200"/>
                </a:xfrm>
              </xdr:grpSpPr>
              <xdr:grpSp>
                <xdr:nvGrpSpPr>
                  <xdr:cNvPr id="236" name="Group 235"/>
                  <xdr:cNvGrpSpPr/>
                </xdr:nvGrpSpPr>
                <xdr:grpSpPr>
                  <a:xfrm>
                    <a:off x="2728632" y="13454743"/>
                    <a:ext cx="2830286" cy="1992086"/>
                    <a:chOff x="2631904" y="8425388"/>
                    <a:chExt cx="2762941" cy="1977941"/>
                  </a:xfrm>
                </xdr:grpSpPr>
                <xdr:sp macro="" textlink="">
                  <xdr:nvSpPr>
                    <xdr:cNvPr id="241" name="Oval 240"/>
                    <xdr:cNvSpPr/>
                  </xdr:nvSpPr>
                  <xdr:spPr>
                    <a:xfrm>
                      <a:off x="3437729" y="8425388"/>
                      <a:ext cx="1303020" cy="64027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BMI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242" name="Straight Connector 241"/>
                    <xdr:cNvCxnSpPr>
                      <a:stCxn id="241" idx="4"/>
                      <a:endCxn id="237" idx="0"/>
                    </xdr:cNvCxnSpPr>
                  </xdr:nvCxnSpPr>
                  <xdr:spPr>
                    <a:xfrm flipH="1">
                      <a:off x="2631904" y="9065660"/>
                      <a:ext cx="1457334" cy="1337669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3" name="Straight Connector 242"/>
                    <xdr:cNvCxnSpPr>
                      <a:stCxn id="241" idx="4"/>
                    </xdr:cNvCxnSpPr>
                  </xdr:nvCxnSpPr>
                  <xdr:spPr>
                    <a:xfrm>
                      <a:off x="4089238" y="9065660"/>
                      <a:ext cx="1305607" cy="128362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37" name="Oval 236"/>
                  <xdr:cNvSpPr/>
                </xdr:nvSpPr>
                <xdr:spPr>
                  <a:xfrm>
                    <a:off x="2061242" y="15446829"/>
                    <a:ext cx="1334780" cy="644851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100"/>
                      <a:t>T. Darah</a:t>
                    </a:r>
                  </a:p>
                </xdr:txBody>
              </xdr:sp>
              <xdr:cxnSp macro="">
                <xdr:nvCxnSpPr>
                  <xdr:cNvPr id="238" name="Straight Connector 237"/>
                  <xdr:cNvCxnSpPr>
                    <a:stCxn id="237" idx="3"/>
                  </xdr:cNvCxnSpPr>
                </xdr:nvCxnSpPr>
                <xdr:spPr>
                  <a:xfrm flipH="1">
                    <a:off x="914400" y="15997244"/>
                    <a:ext cx="1342316" cy="995356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39" name="Straight Connector 238"/>
                  <xdr:cNvCxnSpPr>
                    <a:stCxn id="237" idx="4"/>
                  </xdr:cNvCxnSpPr>
                </xdr:nvCxnSpPr>
                <xdr:spPr>
                  <a:xfrm flipH="1">
                    <a:off x="2721429" y="16091680"/>
                    <a:ext cx="7203" cy="1630263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40" name="Straight Connector 239"/>
                  <xdr:cNvCxnSpPr>
                    <a:stCxn id="237" idx="5"/>
                  </xdr:cNvCxnSpPr>
                </xdr:nvCxnSpPr>
                <xdr:spPr>
                  <a:xfrm>
                    <a:off x="3200548" y="15997244"/>
                    <a:ext cx="1502081" cy="951813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233" name="Oval 232"/>
                <xdr:cNvSpPr/>
              </xdr:nvSpPr>
              <xdr:spPr>
                <a:xfrm>
                  <a:off x="1632857" y="23905028"/>
                  <a:ext cx="1334780" cy="644851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L. Perut</a:t>
                  </a:r>
                  <a:endParaRPr lang="id-ID" sz="1100"/>
                </a:p>
              </xdr:txBody>
            </xdr:sp>
            <xdr:cxnSp macro="">
              <xdr:nvCxnSpPr>
                <xdr:cNvPr id="234" name="Straight Connector 233"/>
                <xdr:cNvCxnSpPr>
                  <a:endCxn id="233" idx="3"/>
                </xdr:cNvCxnSpPr>
              </xdr:nvCxnSpPr>
              <xdr:spPr>
                <a:xfrm flipV="1">
                  <a:off x="892629" y="24455443"/>
                  <a:ext cx="935702" cy="84295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5" name="Straight Connector 234"/>
                <xdr:cNvCxnSpPr>
                  <a:stCxn id="233" idx="5"/>
                </xdr:cNvCxnSpPr>
              </xdr:nvCxnSpPr>
              <xdr:spPr>
                <a:xfrm>
                  <a:off x="2772163" y="24455443"/>
                  <a:ext cx="1124923" cy="832071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246" name="Oval 245"/>
            <xdr:cNvSpPr/>
          </xdr:nvSpPr>
          <xdr:spPr>
            <a:xfrm>
              <a:off x="3624943" y="32363229"/>
              <a:ext cx="1334780" cy="64485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Umur</a:t>
              </a:r>
              <a:endParaRPr lang="id-ID" sz="1100"/>
            </a:p>
          </xdr:txBody>
        </xdr:sp>
        <xdr:cxnSp macro="">
          <xdr:nvCxnSpPr>
            <xdr:cNvPr id="247" name="Straight Connector 246"/>
            <xdr:cNvCxnSpPr/>
          </xdr:nvCxnSpPr>
          <xdr:spPr>
            <a:xfrm flipV="1">
              <a:off x="2764971" y="32918401"/>
              <a:ext cx="1066331" cy="1023256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" name="Straight Connector 247"/>
            <xdr:cNvCxnSpPr/>
          </xdr:nvCxnSpPr>
          <xdr:spPr>
            <a:xfrm>
              <a:off x="4775134" y="32918400"/>
              <a:ext cx="1124923" cy="832071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0</xdr:colOff>
      <xdr:row>187</xdr:row>
      <xdr:rowOff>111419</xdr:rowOff>
    </xdr:from>
    <xdr:to>
      <xdr:col>43</xdr:col>
      <xdr:colOff>468085</xdr:colOff>
      <xdr:row>188</xdr:row>
      <xdr:rowOff>19208</xdr:rowOff>
    </xdr:to>
    <xdr:cxnSp macro="">
      <xdr:nvCxnSpPr>
        <xdr:cNvPr id="251" name="Straight Connector 250"/>
        <xdr:cNvCxnSpPr/>
      </xdr:nvCxnSpPr>
      <xdr:spPr>
        <a:xfrm flipV="1">
          <a:off x="0" y="33836643"/>
          <a:ext cx="27093261" cy="87083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141514</xdr:colOff>
      <xdr:row>226</xdr:row>
      <xdr:rowOff>174172</xdr:rowOff>
    </xdr:from>
    <xdr:to>
      <xdr:col>5</xdr:col>
      <xdr:colOff>257094</xdr:colOff>
      <xdr:row>230</xdr:row>
      <xdr:rowOff>78794</xdr:rowOff>
    </xdr:to>
    <xdr:sp macro="" textlink="">
      <xdr:nvSpPr>
        <xdr:cNvPr id="277" name="Oval 276"/>
        <xdr:cNvSpPr/>
      </xdr:nvSpPr>
      <xdr:spPr>
        <a:xfrm>
          <a:off x="2090057" y="42105943"/>
          <a:ext cx="1334780" cy="644851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  <xdr:twoCellAnchor>
    <xdr:from>
      <xdr:col>7</xdr:col>
      <xdr:colOff>119743</xdr:colOff>
      <xdr:row>227</xdr:row>
      <xdr:rowOff>32657</xdr:rowOff>
    </xdr:from>
    <xdr:to>
      <xdr:col>9</xdr:col>
      <xdr:colOff>235323</xdr:colOff>
      <xdr:row>230</xdr:row>
      <xdr:rowOff>122337</xdr:rowOff>
    </xdr:to>
    <xdr:sp macro="" textlink="">
      <xdr:nvSpPr>
        <xdr:cNvPr id="278" name="Oval 277"/>
        <xdr:cNvSpPr/>
      </xdr:nvSpPr>
      <xdr:spPr>
        <a:xfrm>
          <a:off x="4506686" y="42149486"/>
          <a:ext cx="1334780" cy="644851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  <xdr:twoCellAnchor>
    <xdr:from>
      <xdr:col>0</xdr:col>
      <xdr:colOff>0</xdr:colOff>
      <xdr:row>188</xdr:row>
      <xdr:rowOff>10886</xdr:rowOff>
    </xdr:from>
    <xdr:to>
      <xdr:col>13</xdr:col>
      <xdr:colOff>251012</xdr:colOff>
      <xdr:row>227</xdr:row>
      <xdr:rowOff>32657</xdr:rowOff>
    </xdr:to>
    <xdr:grpSp>
      <xdr:nvGrpSpPr>
        <xdr:cNvPr id="293" name="Group 292"/>
        <xdr:cNvGrpSpPr/>
      </xdr:nvGrpSpPr>
      <xdr:grpSpPr>
        <a:xfrm>
          <a:off x="0" y="29576486"/>
          <a:ext cx="8252012" cy="6117771"/>
          <a:chOff x="0" y="33915404"/>
          <a:chExt cx="8256494" cy="7032171"/>
        </a:xfrm>
      </xdr:grpSpPr>
      <xdr:grpSp>
        <xdr:nvGrpSpPr>
          <xdr:cNvPr id="276" name="Group 275"/>
          <xdr:cNvGrpSpPr/>
        </xdr:nvGrpSpPr>
        <xdr:grpSpPr>
          <a:xfrm>
            <a:off x="0" y="33915404"/>
            <a:ext cx="6308272" cy="7032171"/>
            <a:chOff x="0" y="34910486"/>
            <a:chExt cx="6302509" cy="7239000"/>
          </a:xfrm>
        </xdr:grpSpPr>
        <xdr:grpSp>
          <xdr:nvGrpSpPr>
            <xdr:cNvPr id="254" name="Group 253"/>
            <xdr:cNvGrpSpPr/>
          </xdr:nvGrpSpPr>
          <xdr:grpSpPr>
            <a:xfrm>
              <a:off x="0" y="34910486"/>
              <a:ext cx="6302509" cy="7239000"/>
              <a:chOff x="0" y="26713543"/>
              <a:chExt cx="6302509" cy="7239000"/>
            </a:xfrm>
          </xdr:grpSpPr>
          <xdr:sp macro="" textlink="">
            <xdr:nvSpPr>
              <xdr:cNvPr id="255" name="Oval 254"/>
              <xdr:cNvSpPr/>
            </xdr:nvSpPr>
            <xdr:spPr>
              <a:xfrm>
                <a:off x="0" y="30218742"/>
                <a:ext cx="1334780" cy="644851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1</a:t>
                </a:r>
                <a:endParaRPr lang="id-ID" sz="1100"/>
              </a:p>
            </xdr:txBody>
          </xdr:sp>
          <xdr:grpSp>
            <xdr:nvGrpSpPr>
              <xdr:cNvPr id="256" name="Group 255"/>
              <xdr:cNvGrpSpPr/>
            </xdr:nvGrpSpPr>
            <xdr:grpSpPr>
              <a:xfrm>
                <a:off x="772886" y="26713543"/>
                <a:ext cx="5529623" cy="7239000"/>
                <a:chOff x="772886" y="26713543"/>
                <a:chExt cx="5529623" cy="7239000"/>
              </a:xfrm>
            </xdr:grpSpPr>
            <xdr:grpSp>
              <xdr:nvGrpSpPr>
                <xdr:cNvPr id="257" name="Group 256"/>
                <xdr:cNvGrpSpPr/>
              </xdr:nvGrpSpPr>
              <xdr:grpSpPr>
                <a:xfrm>
                  <a:off x="772886" y="26713543"/>
                  <a:ext cx="5529623" cy="5671457"/>
                  <a:chOff x="457200" y="19626943"/>
                  <a:chExt cx="5529623" cy="5671457"/>
                </a:xfrm>
              </xdr:grpSpPr>
              <xdr:sp macro="" textlink="">
                <xdr:nvSpPr>
                  <xdr:cNvPr id="261" name="Oval 260"/>
                  <xdr:cNvSpPr/>
                </xdr:nvSpPr>
                <xdr:spPr>
                  <a:xfrm>
                    <a:off x="4652043" y="21542829"/>
                    <a:ext cx="1334780" cy="644851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3</a:t>
                    </a:r>
                    <a:endParaRPr lang="id-ID" sz="1100"/>
                  </a:p>
                </xdr:txBody>
              </xdr:sp>
              <xdr:grpSp>
                <xdr:nvGrpSpPr>
                  <xdr:cNvPr id="262" name="Group 261"/>
                  <xdr:cNvGrpSpPr/>
                </xdr:nvGrpSpPr>
                <xdr:grpSpPr>
                  <a:xfrm>
                    <a:off x="457200" y="19626943"/>
                    <a:ext cx="4886064" cy="5671457"/>
                    <a:chOff x="457200" y="19626943"/>
                    <a:chExt cx="4886064" cy="5671457"/>
                  </a:xfrm>
                </xdr:grpSpPr>
                <xdr:grpSp>
                  <xdr:nvGrpSpPr>
                    <xdr:cNvPr id="263" name="Group 262"/>
                    <xdr:cNvGrpSpPr/>
                  </xdr:nvGrpSpPr>
                  <xdr:grpSpPr>
                    <a:xfrm>
                      <a:off x="457200" y="19626943"/>
                      <a:ext cx="4886064" cy="4267200"/>
                      <a:chOff x="914400" y="13454743"/>
                      <a:chExt cx="4886064" cy="4267200"/>
                    </a:xfrm>
                  </xdr:grpSpPr>
                  <xdr:grpSp>
                    <xdr:nvGrpSpPr>
                      <xdr:cNvPr id="267" name="Group 266"/>
                      <xdr:cNvGrpSpPr/>
                    </xdr:nvGrpSpPr>
                    <xdr:grpSpPr>
                      <a:xfrm>
                        <a:off x="2728632" y="13454743"/>
                        <a:ext cx="2830286" cy="1992086"/>
                        <a:chOff x="2631904" y="8425388"/>
                        <a:chExt cx="2762941" cy="1977941"/>
                      </a:xfrm>
                    </xdr:grpSpPr>
                    <xdr:sp macro="" textlink="">
                      <xdr:nvSpPr>
                        <xdr:cNvPr id="272" name="Oval 271"/>
                        <xdr:cNvSpPr/>
                      </xdr:nvSpPr>
                      <xdr:spPr>
                        <a:xfrm>
                          <a:off x="3437729" y="8425388"/>
                          <a:ext cx="1303020" cy="64027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BMI</a:t>
                          </a:r>
                          <a:endParaRPr lang="id-ID" sz="1100"/>
                        </a:p>
                      </xdr:txBody>
                    </xdr:sp>
                    <xdr:cxnSp macro="">
                      <xdr:nvCxnSpPr>
                        <xdr:cNvPr id="273" name="Straight Connector 272"/>
                        <xdr:cNvCxnSpPr>
                          <a:stCxn id="272" idx="4"/>
                          <a:endCxn id="268" idx="0"/>
                        </xdr:cNvCxnSpPr>
                      </xdr:nvCxnSpPr>
                      <xdr:spPr>
                        <a:xfrm flipH="1">
                          <a:off x="2631904" y="9065660"/>
                          <a:ext cx="1457334" cy="1337669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74" name="Straight Connector 273"/>
                        <xdr:cNvCxnSpPr>
                          <a:stCxn id="272" idx="4"/>
                        </xdr:cNvCxnSpPr>
                      </xdr:nvCxnSpPr>
                      <xdr:spPr>
                        <a:xfrm>
                          <a:off x="4089238" y="9065660"/>
                          <a:ext cx="1305607" cy="1283627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68" name="Oval 267"/>
                      <xdr:cNvSpPr/>
                    </xdr:nvSpPr>
                    <xdr:spPr>
                      <a:xfrm>
                        <a:off x="2061242" y="15446829"/>
                        <a:ext cx="1334780" cy="644851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100"/>
                          <a:t>T. Darah</a:t>
                        </a:r>
                      </a:p>
                    </xdr:txBody>
                  </xdr:sp>
                  <xdr:cxnSp macro="">
                    <xdr:nvCxnSpPr>
                      <xdr:cNvPr id="269" name="Straight Connector 268"/>
                      <xdr:cNvCxnSpPr>
                        <a:stCxn id="268" idx="3"/>
                      </xdr:cNvCxnSpPr>
                    </xdr:nvCxnSpPr>
                    <xdr:spPr>
                      <a:xfrm flipH="1">
                        <a:off x="914400" y="15997244"/>
                        <a:ext cx="1342316" cy="995356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70" name="Straight Connector 269"/>
                      <xdr:cNvCxnSpPr>
                        <a:stCxn id="268" idx="4"/>
                      </xdr:cNvCxnSpPr>
                    </xdr:nvCxnSpPr>
                    <xdr:spPr>
                      <a:xfrm flipH="1">
                        <a:off x="2721429" y="16091680"/>
                        <a:ext cx="7203" cy="1630263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71" name="Straight Connector 270"/>
                      <xdr:cNvCxnSpPr>
                        <a:stCxn id="268" idx="5"/>
                        <a:endCxn id="282" idx="1"/>
                      </xdr:cNvCxnSpPr>
                    </xdr:nvCxnSpPr>
                    <xdr:spPr>
                      <a:xfrm>
                        <a:off x="3200549" y="15997244"/>
                        <a:ext cx="2599915" cy="1206371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264" name="Oval 263"/>
                    <xdr:cNvSpPr/>
                  </xdr:nvSpPr>
                  <xdr:spPr>
                    <a:xfrm>
                      <a:off x="1632857" y="23905028"/>
                      <a:ext cx="1334780" cy="64485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L. Perut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265" name="Straight Connector 264"/>
                    <xdr:cNvCxnSpPr>
                      <a:endCxn id="264" idx="3"/>
                    </xdr:cNvCxnSpPr>
                  </xdr:nvCxnSpPr>
                  <xdr:spPr>
                    <a:xfrm flipV="1">
                      <a:off x="892629" y="24455443"/>
                      <a:ext cx="935702" cy="84295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66" name="Straight Connector 265"/>
                    <xdr:cNvCxnSpPr>
                      <a:stCxn id="264" idx="5"/>
                    </xdr:cNvCxnSpPr>
                  </xdr:nvCxnSpPr>
                  <xdr:spPr>
                    <a:xfrm>
                      <a:off x="2772163" y="24455443"/>
                      <a:ext cx="1124923" cy="832071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sp macro="" textlink="">
              <xdr:nvSpPr>
                <xdr:cNvPr id="258" name="Oval 257"/>
                <xdr:cNvSpPr/>
              </xdr:nvSpPr>
              <xdr:spPr>
                <a:xfrm>
                  <a:off x="3624943" y="32363229"/>
                  <a:ext cx="1334780" cy="644851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Umur</a:t>
                  </a:r>
                  <a:endParaRPr lang="id-ID" sz="1100"/>
                </a:p>
              </xdr:txBody>
            </xdr:sp>
            <xdr:cxnSp macro="">
              <xdr:nvCxnSpPr>
                <xdr:cNvPr id="259" name="Straight Connector 258"/>
                <xdr:cNvCxnSpPr>
                  <a:endCxn id="258" idx="4"/>
                </xdr:cNvCxnSpPr>
              </xdr:nvCxnSpPr>
              <xdr:spPr>
                <a:xfrm flipV="1">
                  <a:off x="2764971" y="33008080"/>
                  <a:ext cx="1527362" cy="93357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0" name="Straight Connector 259"/>
                <xdr:cNvCxnSpPr>
                  <a:stCxn id="258" idx="4"/>
                  <a:endCxn id="278" idx="0"/>
                </xdr:cNvCxnSpPr>
              </xdr:nvCxnSpPr>
              <xdr:spPr>
                <a:xfrm>
                  <a:off x="4292333" y="33008080"/>
                  <a:ext cx="881743" cy="944463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275" name="Oval 274"/>
            <xdr:cNvSpPr/>
          </xdr:nvSpPr>
          <xdr:spPr>
            <a:xfrm>
              <a:off x="522515" y="40560170"/>
              <a:ext cx="1334780" cy="64485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2</a:t>
              </a:r>
              <a:endParaRPr lang="id-ID" sz="1100"/>
            </a:p>
          </xdr:txBody>
        </xdr:sp>
      </xdr:grpSp>
      <xdr:sp macro="" textlink="">
        <xdr:nvSpPr>
          <xdr:cNvPr id="282" name="Oval 281"/>
          <xdr:cNvSpPr/>
        </xdr:nvSpPr>
        <xdr:spPr>
          <a:xfrm>
            <a:off x="5468471" y="37465427"/>
            <a:ext cx="1336001" cy="626427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Umur</a:t>
            </a:r>
            <a:endParaRPr lang="id-ID" sz="1100"/>
          </a:p>
        </xdr:txBody>
      </xdr:sp>
      <xdr:cxnSp macro="">
        <xdr:nvCxnSpPr>
          <xdr:cNvPr id="284" name="Straight Connector 283"/>
          <xdr:cNvCxnSpPr>
            <a:endCxn id="282" idx="4"/>
          </xdr:cNvCxnSpPr>
        </xdr:nvCxnSpPr>
        <xdr:spPr>
          <a:xfrm flipV="1">
            <a:off x="5800165" y="38091854"/>
            <a:ext cx="336307" cy="49224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" name="Straight Connector 288"/>
          <xdr:cNvCxnSpPr>
            <a:endCxn id="282" idx="4"/>
          </xdr:cNvCxnSpPr>
        </xdr:nvCxnSpPr>
        <xdr:spPr>
          <a:xfrm flipH="1" flipV="1">
            <a:off x="6136472" y="38091854"/>
            <a:ext cx="2120022" cy="49224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231</xdr:row>
      <xdr:rowOff>111420</xdr:rowOff>
    </xdr:from>
    <xdr:to>
      <xdr:col>43</xdr:col>
      <xdr:colOff>468085</xdr:colOff>
      <xdr:row>232</xdr:row>
      <xdr:rowOff>19209</xdr:rowOff>
    </xdr:to>
    <xdr:cxnSp macro="">
      <xdr:nvCxnSpPr>
        <xdr:cNvPr id="292" name="Straight Connector 291"/>
        <xdr:cNvCxnSpPr/>
      </xdr:nvCxnSpPr>
      <xdr:spPr>
        <a:xfrm flipV="1">
          <a:off x="0" y="41743514"/>
          <a:ext cx="27093261" cy="87083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276</xdr:row>
      <xdr:rowOff>111420</xdr:rowOff>
    </xdr:from>
    <xdr:to>
      <xdr:col>43</xdr:col>
      <xdr:colOff>468085</xdr:colOff>
      <xdr:row>277</xdr:row>
      <xdr:rowOff>19209</xdr:rowOff>
    </xdr:to>
    <xdr:cxnSp macro="">
      <xdr:nvCxnSpPr>
        <xdr:cNvPr id="325" name="Straight Connector 324"/>
        <xdr:cNvCxnSpPr/>
      </xdr:nvCxnSpPr>
      <xdr:spPr>
        <a:xfrm flipV="1">
          <a:off x="0" y="49847608"/>
          <a:ext cx="27093261" cy="87083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116541</xdr:colOff>
      <xdr:row>262</xdr:row>
      <xdr:rowOff>118463</xdr:rowOff>
    </xdr:from>
    <xdr:to>
      <xdr:col>9</xdr:col>
      <xdr:colOff>345272</xdr:colOff>
      <xdr:row>264</xdr:row>
      <xdr:rowOff>179295</xdr:rowOff>
    </xdr:to>
    <xdr:cxnSp macro="">
      <xdr:nvCxnSpPr>
        <xdr:cNvPr id="361" name="Straight Connector 360"/>
        <xdr:cNvCxnSpPr/>
      </xdr:nvCxnSpPr>
      <xdr:spPr>
        <a:xfrm flipV="1">
          <a:off x="5728447" y="47326604"/>
          <a:ext cx="228731" cy="4194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233</xdr:row>
      <xdr:rowOff>37781</xdr:rowOff>
    </xdr:from>
    <xdr:to>
      <xdr:col>14</xdr:col>
      <xdr:colOff>197483</xdr:colOff>
      <xdr:row>275</xdr:row>
      <xdr:rowOff>171002</xdr:rowOff>
    </xdr:to>
    <xdr:grpSp>
      <xdr:nvGrpSpPr>
        <xdr:cNvPr id="366" name="Group 365"/>
        <xdr:cNvGrpSpPr/>
      </xdr:nvGrpSpPr>
      <xdr:grpSpPr>
        <a:xfrm>
          <a:off x="0" y="36689981"/>
          <a:ext cx="8731883" cy="6610221"/>
          <a:chOff x="0" y="42037428"/>
          <a:chExt cx="8731883" cy="7672539"/>
        </a:xfrm>
      </xdr:grpSpPr>
      <xdr:grpSp>
        <xdr:nvGrpSpPr>
          <xdr:cNvPr id="327" name="Group 326"/>
          <xdr:cNvGrpSpPr/>
        </xdr:nvGrpSpPr>
        <xdr:grpSpPr>
          <a:xfrm>
            <a:off x="0" y="42037428"/>
            <a:ext cx="8193741" cy="7672539"/>
            <a:chOff x="0" y="42037428"/>
            <a:chExt cx="8193741" cy="7690468"/>
          </a:xfrm>
        </xdr:grpSpPr>
        <xdr:sp macro="" textlink="">
          <xdr:nvSpPr>
            <xdr:cNvPr id="321" name="Oval 320"/>
            <xdr:cNvSpPr/>
          </xdr:nvSpPr>
          <xdr:spPr>
            <a:xfrm>
              <a:off x="2125916" y="49062555"/>
              <a:ext cx="1334780" cy="62179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2</a:t>
              </a:r>
              <a:endParaRPr lang="id-ID" sz="1100"/>
            </a:p>
          </xdr:txBody>
        </xdr:sp>
        <xdr:sp macro="" textlink="">
          <xdr:nvSpPr>
            <xdr:cNvPr id="322" name="Oval 321"/>
            <xdr:cNvSpPr/>
          </xdr:nvSpPr>
          <xdr:spPr>
            <a:xfrm>
              <a:off x="4542545" y="49100334"/>
              <a:ext cx="1334780" cy="62756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2</a:t>
              </a:r>
              <a:endParaRPr lang="id-ID" sz="1100"/>
            </a:p>
          </xdr:txBody>
        </xdr:sp>
        <xdr:grpSp>
          <xdr:nvGrpSpPr>
            <xdr:cNvPr id="294" name="Group 293"/>
            <xdr:cNvGrpSpPr/>
          </xdr:nvGrpSpPr>
          <xdr:grpSpPr>
            <a:xfrm>
              <a:off x="0" y="42037428"/>
              <a:ext cx="8193741" cy="7059065"/>
              <a:chOff x="0" y="33915404"/>
              <a:chExt cx="8193741" cy="7032171"/>
            </a:xfrm>
          </xdr:grpSpPr>
          <xdr:grpSp>
            <xdr:nvGrpSpPr>
              <xdr:cNvPr id="295" name="Group 294"/>
              <xdr:cNvGrpSpPr/>
            </xdr:nvGrpSpPr>
            <xdr:grpSpPr>
              <a:xfrm>
                <a:off x="0" y="33915404"/>
                <a:ext cx="6308272" cy="7032171"/>
                <a:chOff x="0" y="34910486"/>
                <a:chExt cx="6302509" cy="7239000"/>
              </a:xfrm>
            </xdr:grpSpPr>
            <xdr:grpSp>
              <xdr:nvGrpSpPr>
                <xdr:cNvPr id="299" name="Group 298"/>
                <xdr:cNvGrpSpPr/>
              </xdr:nvGrpSpPr>
              <xdr:grpSpPr>
                <a:xfrm>
                  <a:off x="0" y="34910486"/>
                  <a:ext cx="6302509" cy="7239000"/>
                  <a:chOff x="0" y="26713543"/>
                  <a:chExt cx="6302509" cy="7239000"/>
                </a:xfrm>
              </xdr:grpSpPr>
              <xdr:sp macro="" textlink="">
                <xdr:nvSpPr>
                  <xdr:cNvPr id="301" name="Oval 300"/>
                  <xdr:cNvSpPr/>
                </xdr:nvSpPr>
                <xdr:spPr>
                  <a:xfrm>
                    <a:off x="0" y="30218742"/>
                    <a:ext cx="1334780" cy="644851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1</a:t>
                    </a:r>
                    <a:endParaRPr lang="id-ID" sz="1100"/>
                  </a:p>
                </xdr:txBody>
              </xdr:sp>
              <xdr:grpSp>
                <xdr:nvGrpSpPr>
                  <xdr:cNvPr id="302" name="Group 301"/>
                  <xdr:cNvGrpSpPr/>
                </xdr:nvGrpSpPr>
                <xdr:grpSpPr>
                  <a:xfrm>
                    <a:off x="772886" y="26713543"/>
                    <a:ext cx="5529623" cy="7239000"/>
                    <a:chOff x="772886" y="26713543"/>
                    <a:chExt cx="5529623" cy="7239000"/>
                  </a:xfrm>
                </xdr:grpSpPr>
                <xdr:grpSp>
                  <xdr:nvGrpSpPr>
                    <xdr:cNvPr id="303" name="Group 302"/>
                    <xdr:cNvGrpSpPr/>
                  </xdr:nvGrpSpPr>
                  <xdr:grpSpPr>
                    <a:xfrm>
                      <a:off x="772886" y="26713543"/>
                      <a:ext cx="5529623" cy="5671457"/>
                      <a:chOff x="457200" y="19626943"/>
                      <a:chExt cx="5529623" cy="5671457"/>
                    </a:xfrm>
                  </xdr:grpSpPr>
                  <xdr:sp macro="" textlink="">
                    <xdr:nvSpPr>
                      <xdr:cNvPr id="307" name="Oval 306"/>
                      <xdr:cNvSpPr/>
                    </xdr:nvSpPr>
                    <xdr:spPr>
                      <a:xfrm>
                        <a:off x="4652043" y="21542829"/>
                        <a:ext cx="1334780" cy="644851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3</a:t>
                        </a:r>
                        <a:endParaRPr lang="id-ID" sz="1100"/>
                      </a:p>
                    </xdr:txBody>
                  </xdr:sp>
                  <xdr:grpSp>
                    <xdr:nvGrpSpPr>
                      <xdr:cNvPr id="308" name="Group 307"/>
                      <xdr:cNvGrpSpPr/>
                    </xdr:nvGrpSpPr>
                    <xdr:grpSpPr>
                      <a:xfrm>
                        <a:off x="457200" y="19626943"/>
                        <a:ext cx="4886064" cy="5671457"/>
                        <a:chOff x="457200" y="19626943"/>
                        <a:chExt cx="4886064" cy="5671457"/>
                      </a:xfrm>
                    </xdr:grpSpPr>
                    <xdr:grpSp>
                      <xdr:nvGrpSpPr>
                        <xdr:cNvPr id="309" name="Group 308"/>
                        <xdr:cNvGrpSpPr/>
                      </xdr:nvGrpSpPr>
                      <xdr:grpSpPr>
                        <a:xfrm>
                          <a:off x="457200" y="19626943"/>
                          <a:ext cx="4886064" cy="4267200"/>
                          <a:chOff x="914400" y="13454743"/>
                          <a:chExt cx="4886064" cy="4267200"/>
                        </a:xfrm>
                      </xdr:grpSpPr>
                      <xdr:grpSp>
                        <xdr:nvGrpSpPr>
                          <xdr:cNvPr id="313" name="Group 312"/>
                          <xdr:cNvGrpSpPr/>
                        </xdr:nvGrpSpPr>
                        <xdr:grpSpPr>
                          <a:xfrm>
                            <a:off x="2728632" y="13454743"/>
                            <a:ext cx="2830286" cy="1992086"/>
                            <a:chOff x="2631904" y="8425388"/>
                            <a:chExt cx="2762941" cy="1977941"/>
                          </a:xfrm>
                        </xdr:grpSpPr>
                        <xdr:sp macro="" textlink="">
                          <xdr:nvSpPr>
                            <xdr:cNvPr id="318" name="Oval 317"/>
                            <xdr:cNvSpPr/>
                          </xdr:nvSpPr>
                          <xdr:spPr>
                            <a:xfrm>
                              <a:off x="3437729" y="8425388"/>
                              <a:ext cx="1303020" cy="640272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id-ID" sz="1400"/>
                                <a:t>BMI</a:t>
                              </a:r>
                              <a:endParaRPr lang="id-ID" sz="1100"/>
                            </a:p>
                          </xdr:txBody>
                        </xdr:sp>
                        <xdr:cxnSp macro="">
                          <xdr:nvCxnSpPr>
                            <xdr:cNvPr id="319" name="Straight Connector 318"/>
                            <xdr:cNvCxnSpPr>
                              <a:stCxn id="318" idx="4"/>
                              <a:endCxn id="314" idx="0"/>
                            </xdr:cNvCxnSpPr>
                          </xdr:nvCxnSpPr>
                          <xdr:spPr>
                            <a:xfrm flipH="1">
                              <a:off x="2631904" y="9065660"/>
                              <a:ext cx="1457334" cy="1337669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320" name="Straight Connector 319"/>
                            <xdr:cNvCxnSpPr>
                              <a:stCxn id="318" idx="4"/>
                            </xdr:cNvCxnSpPr>
                          </xdr:nvCxnSpPr>
                          <xdr:spPr>
                            <a:xfrm>
                              <a:off x="4089238" y="9065660"/>
                              <a:ext cx="1305607" cy="1283627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314" name="Oval 313"/>
                          <xdr:cNvSpPr/>
                        </xdr:nvSpPr>
                        <xdr:spPr>
                          <a:xfrm>
                            <a:off x="2061242" y="15446829"/>
                            <a:ext cx="1334780" cy="644851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100"/>
                              <a:t>T. Darah</a:t>
                            </a:r>
                          </a:p>
                        </xdr:txBody>
                      </xdr:sp>
                      <xdr:cxnSp macro="">
                        <xdr:nvCxnSpPr>
                          <xdr:cNvPr id="315" name="Straight Connector 314"/>
                          <xdr:cNvCxnSpPr>
                            <a:stCxn id="314" idx="3"/>
                          </xdr:cNvCxnSpPr>
                        </xdr:nvCxnSpPr>
                        <xdr:spPr>
                          <a:xfrm flipH="1">
                            <a:off x="914400" y="15997244"/>
                            <a:ext cx="1342316" cy="995356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16" name="Straight Connector 315"/>
                          <xdr:cNvCxnSpPr>
                            <a:stCxn id="314" idx="4"/>
                          </xdr:cNvCxnSpPr>
                        </xdr:nvCxnSpPr>
                        <xdr:spPr>
                          <a:xfrm flipH="1">
                            <a:off x="2721429" y="16091680"/>
                            <a:ext cx="7203" cy="1630263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17" name="Straight Connector 316"/>
                          <xdr:cNvCxnSpPr>
                            <a:stCxn id="314" idx="5"/>
                            <a:endCxn id="296" idx="1"/>
                          </xdr:cNvCxnSpPr>
                        </xdr:nvCxnSpPr>
                        <xdr:spPr>
                          <a:xfrm>
                            <a:off x="3200549" y="15997244"/>
                            <a:ext cx="2599915" cy="1206371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310" name="Oval 309"/>
                        <xdr:cNvSpPr/>
                      </xdr:nvSpPr>
                      <xdr:spPr>
                        <a:xfrm>
                          <a:off x="1632857" y="23905028"/>
                          <a:ext cx="1334780" cy="644851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L. Perut</a:t>
                          </a:r>
                          <a:endParaRPr lang="id-ID" sz="1100"/>
                        </a:p>
                      </xdr:txBody>
                    </xdr:sp>
                    <xdr:cxnSp macro="">
                      <xdr:nvCxnSpPr>
                        <xdr:cNvPr id="311" name="Straight Connector 310"/>
                        <xdr:cNvCxnSpPr>
                          <a:endCxn id="310" idx="3"/>
                        </xdr:cNvCxnSpPr>
                      </xdr:nvCxnSpPr>
                      <xdr:spPr>
                        <a:xfrm flipV="1">
                          <a:off x="892629" y="24455443"/>
                          <a:ext cx="935702" cy="842957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12" name="Straight Connector 311"/>
                        <xdr:cNvCxnSpPr>
                          <a:stCxn id="310" idx="5"/>
                        </xdr:cNvCxnSpPr>
                      </xdr:nvCxnSpPr>
                      <xdr:spPr>
                        <a:xfrm>
                          <a:off x="2772163" y="24455443"/>
                          <a:ext cx="1124923" cy="832071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</xdr:grpSp>
                <xdr:sp macro="" textlink="">
                  <xdr:nvSpPr>
                    <xdr:cNvPr id="304" name="Oval 303"/>
                    <xdr:cNvSpPr/>
                  </xdr:nvSpPr>
                  <xdr:spPr>
                    <a:xfrm>
                      <a:off x="3624943" y="32363229"/>
                      <a:ext cx="1334780" cy="64485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Umur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305" name="Straight Connector 304"/>
                    <xdr:cNvCxnSpPr>
                      <a:endCxn id="304" idx="4"/>
                    </xdr:cNvCxnSpPr>
                  </xdr:nvCxnSpPr>
                  <xdr:spPr>
                    <a:xfrm flipV="1">
                      <a:off x="2764971" y="33008080"/>
                      <a:ext cx="1527362" cy="93357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06" name="Straight Connector 305"/>
                    <xdr:cNvCxnSpPr>
                      <a:stCxn id="304" idx="4"/>
                    </xdr:cNvCxnSpPr>
                  </xdr:nvCxnSpPr>
                  <xdr:spPr>
                    <a:xfrm>
                      <a:off x="4292333" y="33008080"/>
                      <a:ext cx="881743" cy="944463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sp macro="" textlink="">
              <xdr:nvSpPr>
                <xdr:cNvPr id="300" name="Oval 299"/>
                <xdr:cNvSpPr/>
              </xdr:nvSpPr>
              <xdr:spPr>
                <a:xfrm>
                  <a:off x="522515" y="40560170"/>
                  <a:ext cx="1334780" cy="644851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2</a:t>
                  </a:r>
                  <a:endParaRPr lang="id-ID" sz="1100"/>
                </a:p>
              </xdr:txBody>
            </xdr:sp>
          </xdr:grpSp>
          <xdr:sp macro="" textlink="">
            <xdr:nvSpPr>
              <xdr:cNvPr id="296" name="Oval 295"/>
              <xdr:cNvSpPr/>
            </xdr:nvSpPr>
            <xdr:spPr>
              <a:xfrm>
                <a:off x="5468471" y="37465427"/>
                <a:ext cx="1336001" cy="626427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Umur</a:t>
                </a:r>
                <a:endParaRPr lang="id-ID" sz="1100"/>
              </a:p>
            </xdr:txBody>
          </xdr:sp>
          <xdr:cxnSp macro="">
            <xdr:nvCxnSpPr>
              <xdr:cNvPr id="297" name="Straight Connector 296"/>
              <xdr:cNvCxnSpPr>
                <a:endCxn id="296" idx="4"/>
              </xdr:cNvCxnSpPr>
            </xdr:nvCxnSpPr>
            <xdr:spPr>
              <a:xfrm flipV="1">
                <a:off x="5800165" y="38091854"/>
                <a:ext cx="336307" cy="49224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98" name="Straight Connector 297"/>
              <xdr:cNvCxnSpPr>
                <a:endCxn id="296" idx="4"/>
              </xdr:cNvCxnSpPr>
            </xdr:nvCxnSpPr>
            <xdr:spPr>
              <a:xfrm flipH="1" flipV="1">
                <a:off x="6136472" y="38091854"/>
                <a:ext cx="2057269" cy="43873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360" name="Oval 359"/>
          <xdr:cNvSpPr/>
        </xdr:nvSpPr>
        <xdr:spPr>
          <a:xfrm>
            <a:off x="5217459" y="46708040"/>
            <a:ext cx="1336000" cy="619857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L. Perut</a:t>
            </a:r>
            <a:endParaRPr lang="id-ID" sz="1100"/>
          </a:p>
        </xdr:txBody>
      </xdr:sp>
      <xdr:cxnSp macro="">
        <xdr:nvCxnSpPr>
          <xdr:cNvPr id="362" name="Straight Connector 361"/>
          <xdr:cNvCxnSpPr/>
        </xdr:nvCxnSpPr>
        <xdr:spPr>
          <a:xfrm flipH="1" flipV="1">
            <a:off x="5957178" y="47326604"/>
            <a:ext cx="2057269" cy="44040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3" name="Oval 362"/>
          <xdr:cNvSpPr/>
        </xdr:nvSpPr>
        <xdr:spPr>
          <a:xfrm>
            <a:off x="7395882" y="47756911"/>
            <a:ext cx="1336001" cy="62882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3</a:t>
            </a:r>
            <a:endParaRPr lang="id-ID" sz="1100"/>
          </a:p>
        </xdr:txBody>
      </xdr:sp>
      <xdr:sp macro="" textlink="">
        <xdr:nvSpPr>
          <xdr:cNvPr id="365" name="Oval 364"/>
          <xdr:cNvSpPr/>
        </xdr:nvSpPr>
        <xdr:spPr>
          <a:xfrm>
            <a:off x="5100917" y="47694157"/>
            <a:ext cx="1336001" cy="62882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</xdr:grpSp>
    <xdr:clientData/>
  </xdr:twoCellAnchor>
  <xdr:twoCellAnchor>
    <xdr:from>
      <xdr:col>0</xdr:col>
      <xdr:colOff>0</xdr:colOff>
      <xdr:row>278</xdr:row>
      <xdr:rowOff>37781</xdr:rowOff>
    </xdr:from>
    <xdr:to>
      <xdr:col>13</xdr:col>
      <xdr:colOff>188259</xdr:colOff>
      <xdr:row>321</xdr:row>
      <xdr:rowOff>673</xdr:rowOff>
    </xdr:to>
    <xdr:grpSp>
      <xdr:nvGrpSpPr>
        <xdr:cNvPr id="367" name="Group 366"/>
        <xdr:cNvGrpSpPr/>
      </xdr:nvGrpSpPr>
      <xdr:grpSpPr>
        <a:xfrm>
          <a:off x="0" y="43700381"/>
          <a:ext cx="8189259" cy="6516092"/>
          <a:chOff x="0" y="42037428"/>
          <a:chExt cx="8193741" cy="7672539"/>
        </a:xfrm>
      </xdr:grpSpPr>
      <xdr:grpSp>
        <xdr:nvGrpSpPr>
          <xdr:cNvPr id="368" name="Group 367"/>
          <xdr:cNvGrpSpPr/>
        </xdr:nvGrpSpPr>
        <xdr:grpSpPr>
          <a:xfrm>
            <a:off x="0" y="42037428"/>
            <a:ext cx="8193741" cy="7672539"/>
            <a:chOff x="0" y="42037428"/>
            <a:chExt cx="8193741" cy="7690468"/>
          </a:xfrm>
        </xdr:grpSpPr>
        <xdr:sp macro="" textlink="">
          <xdr:nvSpPr>
            <xdr:cNvPr id="373" name="Oval 372"/>
            <xdr:cNvSpPr/>
          </xdr:nvSpPr>
          <xdr:spPr>
            <a:xfrm>
              <a:off x="2125916" y="49062555"/>
              <a:ext cx="1334780" cy="62179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2</a:t>
              </a:r>
              <a:endParaRPr lang="id-ID" sz="1100"/>
            </a:p>
          </xdr:txBody>
        </xdr:sp>
        <xdr:sp macro="" textlink="">
          <xdr:nvSpPr>
            <xdr:cNvPr id="374" name="Oval 373"/>
            <xdr:cNvSpPr/>
          </xdr:nvSpPr>
          <xdr:spPr>
            <a:xfrm>
              <a:off x="4542545" y="49100334"/>
              <a:ext cx="1334780" cy="62756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2</a:t>
              </a:r>
              <a:endParaRPr lang="id-ID" sz="1100"/>
            </a:p>
          </xdr:txBody>
        </xdr:sp>
        <xdr:grpSp>
          <xdr:nvGrpSpPr>
            <xdr:cNvPr id="375" name="Group 374"/>
            <xdr:cNvGrpSpPr/>
          </xdr:nvGrpSpPr>
          <xdr:grpSpPr>
            <a:xfrm>
              <a:off x="0" y="42037428"/>
              <a:ext cx="8193741" cy="7059065"/>
              <a:chOff x="0" y="33915404"/>
              <a:chExt cx="8193741" cy="7032171"/>
            </a:xfrm>
          </xdr:grpSpPr>
          <xdr:grpSp>
            <xdr:nvGrpSpPr>
              <xdr:cNvPr id="376" name="Group 375"/>
              <xdr:cNvGrpSpPr/>
            </xdr:nvGrpSpPr>
            <xdr:grpSpPr>
              <a:xfrm>
                <a:off x="0" y="33915404"/>
                <a:ext cx="6308272" cy="7032171"/>
                <a:chOff x="0" y="34910486"/>
                <a:chExt cx="6302509" cy="7239000"/>
              </a:xfrm>
            </xdr:grpSpPr>
            <xdr:grpSp>
              <xdr:nvGrpSpPr>
                <xdr:cNvPr id="380" name="Group 379"/>
                <xdr:cNvGrpSpPr/>
              </xdr:nvGrpSpPr>
              <xdr:grpSpPr>
                <a:xfrm>
                  <a:off x="0" y="34910486"/>
                  <a:ext cx="6302509" cy="7239000"/>
                  <a:chOff x="0" y="26713543"/>
                  <a:chExt cx="6302509" cy="7239000"/>
                </a:xfrm>
              </xdr:grpSpPr>
              <xdr:sp macro="" textlink="">
                <xdr:nvSpPr>
                  <xdr:cNvPr id="382" name="Oval 381"/>
                  <xdr:cNvSpPr/>
                </xdr:nvSpPr>
                <xdr:spPr>
                  <a:xfrm>
                    <a:off x="0" y="30218742"/>
                    <a:ext cx="1334780" cy="644851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1</a:t>
                    </a:r>
                    <a:endParaRPr lang="id-ID" sz="1100"/>
                  </a:p>
                </xdr:txBody>
              </xdr:sp>
              <xdr:grpSp>
                <xdr:nvGrpSpPr>
                  <xdr:cNvPr id="383" name="Group 382"/>
                  <xdr:cNvGrpSpPr/>
                </xdr:nvGrpSpPr>
                <xdr:grpSpPr>
                  <a:xfrm>
                    <a:off x="772886" y="26713543"/>
                    <a:ext cx="5529623" cy="7239000"/>
                    <a:chOff x="772886" y="26713543"/>
                    <a:chExt cx="5529623" cy="7239000"/>
                  </a:xfrm>
                </xdr:grpSpPr>
                <xdr:grpSp>
                  <xdr:nvGrpSpPr>
                    <xdr:cNvPr id="384" name="Group 383"/>
                    <xdr:cNvGrpSpPr/>
                  </xdr:nvGrpSpPr>
                  <xdr:grpSpPr>
                    <a:xfrm>
                      <a:off x="772886" y="26713543"/>
                      <a:ext cx="5529623" cy="5671457"/>
                      <a:chOff x="457200" y="19626943"/>
                      <a:chExt cx="5529623" cy="5671457"/>
                    </a:xfrm>
                  </xdr:grpSpPr>
                  <xdr:sp macro="" textlink="">
                    <xdr:nvSpPr>
                      <xdr:cNvPr id="388" name="Oval 387"/>
                      <xdr:cNvSpPr/>
                    </xdr:nvSpPr>
                    <xdr:spPr>
                      <a:xfrm>
                        <a:off x="4652043" y="21542829"/>
                        <a:ext cx="1334780" cy="644851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3</a:t>
                        </a:r>
                        <a:endParaRPr lang="id-ID" sz="1100"/>
                      </a:p>
                    </xdr:txBody>
                  </xdr:sp>
                  <xdr:grpSp>
                    <xdr:nvGrpSpPr>
                      <xdr:cNvPr id="389" name="Group 388"/>
                      <xdr:cNvGrpSpPr/>
                    </xdr:nvGrpSpPr>
                    <xdr:grpSpPr>
                      <a:xfrm>
                        <a:off x="457200" y="19626943"/>
                        <a:ext cx="4886064" cy="5671457"/>
                        <a:chOff x="457200" y="19626943"/>
                        <a:chExt cx="4886064" cy="5671457"/>
                      </a:xfrm>
                    </xdr:grpSpPr>
                    <xdr:grpSp>
                      <xdr:nvGrpSpPr>
                        <xdr:cNvPr id="390" name="Group 389"/>
                        <xdr:cNvGrpSpPr/>
                      </xdr:nvGrpSpPr>
                      <xdr:grpSpPr>
                        <a:xfrm>
                          <a:off x="457200" y="19626943"/>
                          <a:ext cx="4886064" cy="4267200"/>
                          <a:chOff x="914400" y="13454743"/>
                          <a:chExt cx="4886064" cy="4267200"/>
                        </a:xfrm>
                      </xdr:grpSpPr>
                      <xdr:grpSp>
                        <xdr:nvGrpSpPr>
                          <xdr:cNvPr id="394" name="Group 393"/>
                          <xdr:cNvGrpSpPr/>
                        </xdr:nvGrpSpPr>
                        <xdr:grpSpPr>
                          <a:xfrm>
                            <a:off x="2728632" y="13454743"/>
                            <a:ext cx="2830286" cy="1992086"/>
                            <a:chOff x="2631904" y="8425388"/>
                            <a:chExt cx="2762941" cy="1977941"/>
                          </a:xfrm>
                        </xdr:grpSpPr>
                        <xdr:sp macro="" textlink="">
                          <xdr:nvSpPr>
                            <xdr:cNvPr id="399" name="Oval 398"/>
                            <xdr:cNvSpPr/>
                          </xdr:nvSpPr>
                          <xdr:spPr>
                            <a:xfrm>
                              <a:off x="3437729" y="8425388"/>
                              <a:ext cx="1303020" cy="640272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id-ID" sz="1400"/>
                                <a:t>BMI</a:t>
                              </a:r>
                              <a:endParaRPr lang="id-ID" sz="1100"/>
                            </a:p>
                          </xdr:txBody>
                        </xdr:sp>
                        <xdr:cxnSp macro="">
                          <xdr:nvCxnSpPr>
                            <xdr:cNvPr id="400" name="Straight Connector 399"/>
                            <xdr:cNvCxnSpPr>
                              <a:stCxn id="399" idx="4"/>
                              <a:endCxn id="395" idx="0"/>
                            </xdr:cNvCxnSpPr>
                          </xdr:nvCxnSpPr>
                          <xdr:spPr>
                            <a:xfrm flipH="1">
                              <a:off x="2631904" y="9065660"/>
                              <a:ext cx="1457334" cy="1337669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01" name="Straight Connector 400"/>
                            <xdr:cNvCxnSpPr>
                              <a:stCxn id="399" idx="4"/>
                            </xdr:cNvCxnSpPr>
                          </xdr:nvCxnSpPr>
                          <xdr:spPr>
                            <a:xfrm>
                              <a:off x="4089238" y="9065660"/>
                              <a:ext cx="1305607" cy="1283627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395" name="Oval 394"/>
                          <xdr:cNvSpPr/>
                        </xdr:nvSpPr>
                        <xdr:spPr>
                          <a:xfrm>
                            <a:off x="2061242" y="15446829"/>
                            <a:ext cx="1334780" cy="644851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100"/>
                              <a:t>T. Darah</a:t>
                            </a:r>
                          </a:p>
                        </xdr:txBody>
                      </xdr:sp>
                      <xdr:cxnSp macro="">
                        <xdr:nvCxnSpPr>
                          <xdr:cNvPr id="396" name="Straight Connector 395"/>
                          <xdr:cNvCxnSpPr>
                            <a:stCxn id="395" idx="3"/>
                          </xdr:cNvCxnSpPr>
                        </xdr:nvCxnSpPr>
                        <xdr:spPr>
                          <a:xfrm flipH="1">
                            <a:off x="914400" y="15997244"/>
                            <a:ext cx="1342316" cy="995356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97" name="Straight Connector 396"/>
                          <xdr:cNvCxnSpPr>
                            <a:stCxn id="395" idx="4"/>
                          </xdr:cNvCxnSpPr>
                        </xdr:nvCxnSpPr>
                        <xdr:spPr>
                          <a:xfrm flipH="1">
                            <a:off x="2721429" y="16091680"/>
                            <a:ext cx="7203" cy="1630263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98" name="Straight Connector 397"/>
                          <xdr:cNvCxnSpPr>
                            <a:stCxn id="395" idx="5"/>
                            <a:endCxn id="377" idx="1"/>
                          </xdr:cNvCxnSpPr>
                        </xdr:nvCxnSpPr>
                        <xdr:spPr>
                          <a:xfrm>
                            <a:off x="3200549" y="15997244"/>
                            <a:ext cx="2599915" cy="1206371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391" name="Oval 390"/>
                        <xdr:cNvSpPr/>
                      </xdr:nvSpPr>
                      <xdr:spPr>
                        <a:xfrm>
                          <a:off x="1632857" y="23905028"/>
                          <a:ext cx="1334780" cy="644851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L. Perut</a:t>
                          </a:r>
                          <a:endParaRPr lang="id-ID" sz="1100"/>
                        </a:p>
                      </xdr:txBody>
                    </xdr:sp>
                    <xdr:cxnSp macro="">
                      <xdr:nvCxnSpPr>
                        <xdr:cNvPr id="392" name="Straight Connector 391"/>
                        <xdr:cNvCxnSpPr>
                          <a:endCxn id="391" idx="3"/>
                        </xdr:cNvCxnSpPr>
                      </xdr:nvCxnSpPr>
                      <xdr:spPr>
                        <a:xfrm flipV="1">
                          <a:off x="892629" y="24455443"/>
                          <a:ext cx="935702" cy="842957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93" name="Straight Connector 392"/>
                        <xdr:cNvCxnSpPr>
                          <a:stCxn id="391" idx="5"/>
                        </xdr:cNvCxnSpPr>
                      </xdr:nvCxnSpPr>
                      <xdr:spPr>
                        <a:xfrm>
                          <a:off x="2772163" y="24455443"/>
                          <a:ext cx="1124923" cy="832071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</xdr:grpSp>
                <xdr:sp macro="" textlink="">
                  <xdr:nvSpPr>
                    <xdr:cNvPr id="385" name="Oval 384"/>
                    <xdr:cNvSpPr/>
                  </xdr:nvSpPr>
                  <xdr:spPr>
                    <a:xfrm>
                      <a:off x="3624943" y="32363229"/>
                      <a:ext cx="1334780" cy="64485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Umur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386" name="Straight Connector 385"/>
                    <xdr:cNvCxnSpPr>
                      <a:endCxn id="385" idx="4"/>
                    </xdr:cNvCxnSpPr>
                  </xdr:nvCxnSpPr>
                  <xdr:spPr>
                    <a:xfrm flipV="1">
                      <a:off x="2764971" y="33008080"/>
                      <a:ext cx="1527362" cy="93357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87" name="Straight Connector 386"/>
                    <xdr:cNvCxnSpPr>
                      <a:stCxn id="385" idx="4"/>
                    </xdr:cNvCxnSpPr>
                  </xdr:nvCxnSpPr>
                  <xdr:spPr>
                    <a:xfrm>
                      <a:off x="4292333" y="33008080"/>
                      <a:ext cx="881743" cy="944463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sp macro="" textlink="">
              <xdr:nvSpPr>
                <xdr:cNvPr id="381" name="Oval 380"/>
                <xdr:cNvSpPr/>
              </xdr:nvSpPr>
              <xdr:spPr>
                <a:xfrm>
                  <a:off x="522515" y="40560170"/>
                  <a:ext cx="1334780" cy="644851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2</a:t>
                  </a:r>
                  <a:endParaRPr lang="id-ID" sz="1100"/>
                </a:p>
              </xdr:txBody>
            </xdr:sp>
          </xdr:grpSp>
          <xdr:sp macro="" textlink="">
            <xdr:nvSpPr>
              <xdr:cNvPr id="377" name="Oval 376"/>
              <xdr:cNvSpPr/>
            </xdr:nvSpPr>
            <xdr:spPr>
              <a:xfrm>
                <a:off x="5468471" y="37465427"/>
                <a:ext cx="1336001" cy="626427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Umur</a:t>
                </a:r>
                <a:endParaRPr lang="id-ID" sz="1100"/>
              </a:p>
            </xdr:txBody>
          </xdr:sp>
          <xdr:cxnSp macro="">
            <xdr:nvCxnSpPr>
              <xdr:cNvPr id="378" name="Straight Connector 377"/>
              <xdr:cNvCxnSpPr>
                <a:endCxn id="377" idx="4"/>
              </xdr:cNvCxnSpPr>
            </xdr:nvCxnSpPr>
            <xdr:spPr>
              <a:xfrm flipV="1">
                <a:off x="5800165" y="38091854"/>
                <a:ext cx="336307" cy="49224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79" name="Straight Connector 378"/>
              <xdr:cNvCxnSpPr>
                <a:endCxn id="377" idx="4"/>
              </xdr:cNvCxnSpPr>
            </xdr:nvCxnSpPr>
            <xdr:spPr>
              <a:xfrm flipH="1" flipV="1">
                <a:off x="6136472" y="38091854"/>
                <a:ext cx="2057269" cy="43873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369" name="Oval 368"/>
          <xdr:cNvSpPr/>
        </xdr:nvSpPr>
        <xdr:spPr>
          <a:xfrm>
            <a:off x="5217459" y="46708040"/>
            <a:ext cx="1336000" cy="619857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L. Perut</a:t>
            </a:r>
            <a:endParaRPr lang="id-ID" sz="1100"/>
          </a:p>
        </xdr:txBody>
      </xdr:sp>
      <xdr:cxnSp macro="">
        <xdr:nvCxnSpPr>
          <xdr:cNvPr id="370" name="Straight Connector 369"/>
          <xdr:cNvCxnSpPr>
            <a:stCxn id="371" idx="0"/>
          </xdr:cNvCxnSpPr>
        </xdr:nvCxnSpPr>
        <xdr:spPr>
          <a:xfrm flipH="1" flipV="1">
            <a:off x="5957179" y="47326605"/>
            <a:ext cx="788892" cy="132677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1" name="Oval 370"/>
          <xdr:cNvSpPr/>
        </xdr:nvSpPr>
        <xdr:spPr>
          <a:xfrm>
            <a:off x="6078070" y="48653382"/>
            <a:ext cx="1336001" cy="62882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3</a:t>
            </a:r>
            <a:endParaRPr lang="id-ID" sz="1100"/>
          </a:p>
        </xdr:txBody>
      </xdr:sp>
      <xdr:sp macro="" textlink="">
        <xdr:nvSpPr>
          <xdr:cNvPr id="372" name="Oval 371"/>
          <xdr:cNvSpPr/>
        </xdr:nvSpPr>
        <xdr:spPr>
          <a:xfrm>
            <a:off x="4796117" y="48106534"/>
            <a:ext cx="1336001" cy="62882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</xdr:grpSp>
    <xdr:clientData/>
  </xdr:twoCellAnchor>
  <xdr:twoCellAnchor>
    <xdr:from>
      <xdr:col>8</xdr:col>
      <xdr:colOff>461812</xdr:colOff>
      <xdr:row>307</xdr:row>
      <xdr:rowOff>128721</xdr:rowOff>
    </xdr:from>
    <xdr:to>
      <xdr:col>9</xdr:col>
      <xdr:colOff>273553</xdr:colOff>
      <xdr:row>312</xdr:row>
      <xdr:rowOff>10887</xdr:rowOff>
    </xdr:to>
    <xdr:cxnSp macro="">
      <xdr:nvCxnSpPr>
        <xdr:cNvPr id="402" name="Straight Connector 401"/>
        <xdr:cNvCxnSpPr>
          <a:stCxn id="372" idx="0"/>
          <a:endCxn id="369" idx="4"/>
        </xdr:cNvCxnSpPr>
      </xdr:nvCxnSpPr>
      <xdr:spPr>
        <a:xfrm flipV="1">
          <a:off x="5464118" y="55414062"/>
          <a:ext cx="421341" cy="7786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385482</xdr:colOff>
      <xdr:row>303</xdr:row>
      <xdr:rowOff>109498</xdr:rowOff>
    </xdr:from>
    <xdr:to>
      <xdr:col>14</xdr:col>
      <xdr:colOff>627788</xdr:colOff>
      <xdr:row>307</xdr:row>
      <xdr:rowOff>12179</xdr:rowOff>
    </xdr:to>
    <xdr:sp macro="" textlink="">
      <xdr:nvSpPr>
        <xdr:cNvPr id="404" name="Oval 403"/>
        <xdr:cNvSpPr/>
      </xdr:nvSpPr>
      <xdr:spPr>
        <a:xfrm>
          <a:off x="7826188" y="54677663"/>
          <a:ext cx="1336000" cy="61985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L. Perut</a:t>
          </a:r>
          <a:endParaRPr lang="id-ID" sz="1100"/>
        </a:p>
      </xdr:txBody>
    </xdr:sp>
    <xdr:clientData/>
  </xdr:twoCellAnchor>
  <xdr:twoCellAnchor>
    <xdr:from>
      <xdr:col>13</xdr:col>
      <xdr:colOff>488706</xdr:colOff>
      <xdr:row>307</xdr:row>
      <xdr:rowOff>12179</xdr:rowOff>
    </xdr:from>
    <xdr:to>
      <xdr:col>14</xdr:col>
      <xdr:colOff>788894</xdr:colOff>
      <xdr:row>310</xdr:row>
      <xdr:rowOff>152400</xdr:rowOff>
    </xdr:to>
    <xdr:cxnSp macro="">
      <xdr:nvCxnSpPr>
        <xdr:cNvPr id="407" name="Straight Connector 406"/>
        <xdr:cNvCxnSpPr>
          <a:endCxn id="404" idx="4"/>
        </xdr:cNvCxnSpPr>
      </xdr:nvCxnSpPr>
      <xdr:spPr>
        <a:xfrm flipH="1" flipV="1">
          <a:off x="8494188" y="55297520"/>
          <a:ext cx="829106" cy="6781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403412</xdr:colOff>
      <xdr:row>307</xdr:row>
      <xdr:rowOff>12179</xdr:rowOff>
    </xdr:from>
    <xdr:to>
      <xdr:col>13</xdr:col>
      <xdr:colOff>488706</xdr:colOff>
      <xdr:row>310</xdr:row>
      <xdr:rowOff>134470</xdr:rowOff>
    </xdr:to>
    <xdr:cxnSp macro="">
      <xdr:nvCxnSpPr>
        <xdr:cNvPr id="410" name="Straight Connector 409"/>
        <xdr:cNvCxnSpPr>
          <a:endCxn id="404" idx="4"/>
        </xdr:cNvCxnSpPr>
      </xdr:nvCxnSpPr>
      <xdr:spPr>
        <a:xfrm flipV="1">
          <a:off x="7844118" y="55297520"/>
          <a:ext cx="650070" cy="6601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367553</xdr:colOff>
      <xdr:row>310</xdr:row>
      <xdr:rowOff>136392</xdr:rowOff>
    </xdr:from>
    <xdr:to>
      <xdr:col>13</xdr:col>
      <xdr:colOff>527957</xdr:colOff>
      <xdr:row>314</xdr:row>
      <xdr:rowOff>39564</xdr:rowOff>
    </xdr:to>
    <xdr:sp macro="" textlink="">
      <xdr:nvSpPr>
        <xdr:cNvPr id="414" name="Oval 413"/>
        <xdr:cNvSpPr/>
      </xdr:nvSpPr>
      <xdr:spPr>
        <a:xfrm>
          <a:off x="7198659" y="55959616"/>
          <a:ext cx="1334780" cy="62034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  <xdr:twoCellAnchor>
    <xdr:from>
      <xdr:col>14</xdr:col>
      <xdr:colOff>277906</xdr:colOff>
      <xdr:row>310</xdr:row>
      <xdr:rowOff>145357</xdr:rowOff>
    </xdr:from>
    <xdr:to>
      <xdr:col>16</xdr:col>
      <xdr:colOff>285910</xdr:colOff>
      <xdr:row>314</xdr:row>
      <xdr:rowOff>48529</xdr:rowOff>
    </xdr:to>
    <xdr:sp macro="" textlink="">
      <xdr:nvSpPr>
        <xdr:cNvPr id="415" name="Oval 414"/>
        <xdr:cNvSpPr/>
      </xdr:nvSpPr>
      <xdr:spPr>
        <a:xfrm>
          <a:off x="8812306" y="55968581"/>
          <a:ext cx="1334780" cy="62034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3</a:t>
          </a:r>
          <a:endParaRPr lang="id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286871</xdr:colOff>
      <xdr:row>44</xdr:row>
      <xdr:rowOff>152402</xdr:rowOff>
    </xdr:from>
    <xdr:to>
      <xdr:col>9</xdr:col>
      <xdr:colOff>322729</xdr:colOff>
      <xdr:row>53</xdr:row>
      <xdr:rowOff>2114</xdr:rowOff>
    </xdr:to>
    <xdr:grpSp>
      <xdr:nvGrpSpPr>
        <xdr:cNvPr id="2" name="Group 1"/>
        <xdr:cNvGrpSpPr/>
      </xdr:nvGrpSpPr>
      <xdr:grpSpPr>
        <a:xfrm>
          <a:off x="896471" y="7696202"/>
          <a:ext cx="5065058" cy="1297512"/>
          <a:chOff x="896471" y="8403772"/>
          <a:chExt cx="4912658" cy="1513114"/>
        </a:xfrm>
      </xdr:grpSpPr>
      <xdr:sp macro="" textlink="">
        <xdr:nvSpPr>
          <xdr:cNvPr id="3" name="Oval 2"/>
          <xdr:cNvSpPr/>
        </xdr:nvSpPr>
        <xdr:spPr>
          <a:xfrm>
            <a:off x="2800127" y="8403772"/>
            <a:ext cx="1303020" cy="64027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BMI</a:t>
            </a:r>
            <a:endParaRPr lang="id-ID" sz="1100"/>
          </a:p>
        </xdr:txBody>
      </xdr:sp>
      <xdr:cxnSp macro="">
        <xdr:nvCxnSpPr>
          <xdr:cNvPr id="4" name="Straight Connector 3"/>
          <xdr:cNvCxnSpPr>
            <a:stCxn id="3" idx="3"/>
          </xdr:cNvCxnSpPr>
        </xdr:nvCxnSpPr>
        <xdr:spPr>
          <a:xfrm flipH="1">
            <a:off x="896471" y="8947891"/>
            <a:ext cx="2094479" cy="96899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Straight Connector 4"/>
          <xdr:cNvCxnSpPr>
            <a:stCxn id="3" idx="5"/>
          </xdr:cNvCxnSpPr>
        </xdr:nvCxnSpPr>
        <xdr:spPr>
          <a:xfrm>
            <a:off x="3912324" y="8947891"/>
            <a:ext cx="1896805" cy="96899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504585</xdr:colOff>
      <xdr:row>82</xdr:row>
      <xdr:rowOff>87087</xdr:rowOff>
    </xdr:from>
    <xdr:to>
      <xdr:col>10</xdr:col>
      <xdr:colOff>10565</xdr:colOff>
      <xdr:row>85</xdr:row>
      <xdr:rowOff>176766</xdr:rowOff>
    </xdr:to>
    <xdr:sp macro="" textlink="">
      <xdr:nvSpPr>
        <xdr:cNvPr id="6" name="Oval 5"/>
        <xdr:cNvSpPr/>
      </xdr:nvSpPr>
      <xdr:spPr>
        <a:xfrm>
          <a:off x="4893705" y="15250887"/>
          <a:ext cx="1334780" cy="638319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...</a:t>
          </a:r>
          <a:endParaRPr lang="id-ID" sz="1100"/>
        </a:p>
      </xdr:txBody>
    </xdr:sp>
    <xdr:clientData/>
  </xdr:twoCellAnchor>
  <xdr:twoCellAnchor>
    <xdr:from>
      <xdr:col>10</xdr:col>
      <xdr:colOff>598714</xdr:colOff>
      <xdr:row>23</xdr:row>
      <xdr:rowOff>10886</xdr:rowOff>
    </xdr:from>
    <xdr:to>
      <xdr:col>11</xdr:col>
      <xdr:colOff>10886</xdr:colOff>
      <xdr:row>47</xdr:row>
      <xdr:rowOff>130629</xdr:rowOff>
    </xdr:to>
    <xdr:cxnSp macro="">
      <xdr:nvCxnSpPr>
        <xdr:cNvPr id="7" name="Straight Connector 6"/>
        <xdr:cNvCxnSpPr/>
      </xdr:nvCxnSpPr>
      <xdr:spPr>
        <a:xfrm>
          <a:off x="6816634" y="4369526"/>
          <a:ext cx="21772" cy="4524103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10886</xdr:colOff>
      <xdr:row>47</xdr:row>
      <xdr:rowOff>108857</xdr:rowOff>
    </xdr:from>
    <xdr:to>
      <xdr:col>16</xdr:col>
      <xdr:colOff>587829</xdr:colOff>
      <xdr:row>47</xdr:row>
      <xdr:rowOff>119743</xdr:rowOff>
    </xdr:to>
    <xdr:cxnSp macro="">
      <xdr:nvCxnSpPr>
        <xdr:cNvPr id="8" name="Straight Connector 7"/>
        <xdr:cNvCxnSpPr/>
      </xdr:nvCxnSpPr>
      <xdr:spPr>
        <a:xfrm flipV="1">
          <a:off x="6838406" y="8871857"/>
          <a:ext cx="3602083" cy="1088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587829</xdr:colOff>
      <xdr:row>47</xdr:row>
      <xdr:rowOff>119743</xdr:rowOff>
    </xdr:from>
    <xdr:to>
      <xdr:col>17</xdr:col>
      <xdr:colOff>32658</xdr:colOff>
      <xdr:row>72</xdr:row>
      <xdr:rowOff>43543</xdr:rowOff>
    </xdr:to>
    <xdr:cxnSp macro="">
      <xdr:nvCxnSpPr>
        <xdr:cNvPr id="9" name="Straight Connector 8"/>
        <xdr:cNvCxnSpPr/>
      </xdr:nvCxnSpPr>
      <xdr:spPr>
        <a:xfrm>
          <a:off x="10440489" y="8882743"/>
          <a:ext cx="54429" cy="449580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21772</xdr:colOff>
      <xdr:row>72</xdr:row>
      <xdr:rowOff>10886</xdr:rowOff>
    </xdr:from>
    <xdr:to>
      <xdr:col>34</xdr:col>
      <xdr:colOff>206829</xdr:colOff>
      <xdr:row>72</xdr:row>
      <xdr:rowOff>10886</xdr:rowOff>
    </xdr:to>
    <xdr:cxnSp macro="">
      <xdr:nvCxnSpPr>
        <xdr:cNvPr id="10" name="Straight Connector 9"/>
        <xdr:cNvCxnSpPr/>
      </xdr:nvCxnSpPr>
      <xdr:spPr>
        <a:xfrm>
          <a:off x="10484032" y="13345886"/>
          <a:ext cx="10853057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72</xdr:row>
      <xdr:rowOff>0</xdr:rowOff>
    </xdr:from>
    <xdr:to>
      <xdr:col>8</xdr:col>
      <xdr:colOff>562375</xdr:colOff>
      <xdr:row>91</xdr:row>
      <xdr:rowOff>21375</xdr:rowOff>
    </xdr:to>
    <xdr:grpSp>
      <xdr:nvGrpSpPr>
        <xdr:cNvPr id="11" name="Group 10"/>
        <xdr:cNvGrpSpPr/>
      </xdr:nvGrpSpPr>
      <xdr:grpSpPr>
        <a:xfrm>
          <a:off x="914400" y="11887200"/>
          <a:ext cx="4677175" cy="2916975"/>
          <a:chOff x="914400" y="13454743"/>
          <a:chExt cx="4644518" cy="3537857"/>
        </a:xfrm>
      </xdr:grpSpPr>
      <xdr:grpSp>
        <xdr:nvGrpSpPr>
          <xdr:cNvPr id="12" name="Group 11"/>
          <xdr:cNvGrpSpPr/>
        </xdr:nvGrpSpPr>
        <xdr:grpSpPr>
          <a:xfrm>
            <a:off x="2728632" y="13454743"/>
            <a:ext cx="2830286" cy="1992086"/>
            <a:chOff x="2631904" y="8425388"/>
            <a:chExt cx="2762941" cy="1977941"/>
          </a:xfrm>
        </xdr:grpSpPr>
        <xdr:sp macro="" textlink="">
          <xdr:nvSpPr>
            <xdr:cNvPr id="17" name="Oval 16"/>
            <xdr:cNvSpPr/>
          </xdr:nvSpPr>
          <xdr:spPr>
            <a:xfrm>
              <a:off x="3437729" y="8425388"/>
              <a:ext cx="1303020" cy="64027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BMI</a:t>
              </a:r>
              <a:endParaRPr lang="id-ID" sz="1100"/>
            </a:p>
          </xdr:txBody>
        </xdr:sp>
        <xdr:cxnSp macro="">
          <xdr:nvCxnSpPr>
            <xdr:cNvPr id="18" name="Straight Connector 17"/>
            <xdr:cNvCxnSpPr>
              <a:stCxn id="17" idx="4"/>
              <a:endCxn id="13" idx="0"/>
            </xdr:cNvCxnSpPr>
          </xdr:nvCxnSpPr>
          <xdr:spPr>
            <a:xfrm flipH="1">
              <a:off x="2631904" y="9065660"/>
              <a:ext cx="1457334" cy="1337669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18"/>
            <xdr:cNvCxnSpPr>
              <a:stCxn id="17" idx="4"/>
              <a:endCxn id="6" idx="0"/>
            </xdr:cNvCxnSpPr>
          </xdr:nvCxnSpPr>
          <xdr:spPr>
            <a:xfrm>
              <a:off x="4089238" y="9065660"/>
              <a:ext cx="1305607" cy="128362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3" name="Oval 12"/>
          <xdr:cNvSpPr/>
        </xdr:nvSpPr>
        <xdr:spPr>
          <a:xfrm>
            <a:off x="2061242" y="15446829"/>
            <a:ext cx="1334780" cy="64485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L. Perut</a:t>
            </a:r>
          </a:p>
        </xdr:txBody>
      </xdr:sp>
      <xdr:cxnSp macro="">
        <xdr:nvCxnSpPr>
          <xdr:cNvPr id="14" name="Straight Connector 13"/>
          <xdr:cNvCxnSpPr>
            <a:stCxn id="13" idx="3"/>
          </xdr:cNvCxnSpPr>
        </xdr:nvCxnSpPr>
        <xdr:spPr>
          <a:xfrm flipH="1">
            <a:off x="914400" y="15997244"/>
            <a:ext cx="1342316" cy="99535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>
            <a:stCxn id="13" idx="5"/>
          </xdr:cNvCxnSpPr>
        </xdr:nvCxnSpPr>
        <xdr:spPr>
          <a:xfrm>
            <a:off x="3200548" y="15997244"/>
            <a:ext cx="1502081" cy="95181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63393</xdr:colOff>
      <xdr:row>103</xdr:row>
      <xdr:rowOff>144718</xdr:rowOff>
    </xdr:from>
    <xdr:to>
      <xdr:col>43</xdr:col>
      <xdr:colOff>531478</xdr:colOff>
      <xdr:row>104</xdr:row>
      <xdr:rowOff>46744</xdr:rowOff>
    </xdr:to>
    <xdr:cxnSp macro="">
      <xdr:nvCxnSpPr>
        <xdr:cNvPr id="20" name="Straight Connector 19"/>
        <xdr:cNvCxnSpPr/>
      </xdr:nvCxnSpPr>
      <xdr:spPr>
        <a:xfrm flipV="1">
          <a:off x="63393" y="18809236"/>
          <a:ext cx="26815356" cy="8132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156</xdr:row>
      <xdr:rowOff>119745</xdr:rowOff>
    </xdr:from>
    <xdr:to>
      <xdr:col>43</xdr:col>
      <xdr:colOff>468085</xdr:colOff>
      <xdr:row>157</xdr:row>
      <xdr:rowOff>21770</xdr:rowOff>
    </xdr:to>
    <xdr:cxnSp macro="">
      <xdr:nvCxnSpPr>
        <xdr:cNvPr id="37" name="Straight Connector 36"/>
        <xdr:cNvCxnSpPr/>
      </xdr:nvCxnSpPr>
      <xdr:spPr>
        <a:xfrm flipV="1">
          <a:off x="0" y="26241105"/>
          <a:ext cx="27084745" cy="8490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201</xdr:row>
      <xdr:rowOff>111419</xdr:rowOff>
    </xdr:from>
    <xdr:to>
      <xdr:col>43</xdr:col>
      <xdr:colOff>468085</xdr:colOff>
      <xdr:row>202</xdr:row>
      <xdr:rowOff>19208</xdr:rowOff>
    </xdr:to>
    <xdr:cxnSp macro="">
      <xdr:nvCxnSpPr>
        <xdr:cNvPr id="60" name="Straight Connector 59"/>
        <xdr:cNvCxnSpPr/>
      </xdr:nvCxnSpPr>
      <xdr:spPr>
        <a:xfrm flipV="1">
          <a:off x="0" y="34462379"/>
          <a:ext cx="27084745" cy="90669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245</xdr:row>
      <xdr:rowOff>111420</xdr:rowOff>
    </xdr:from>
    <xdr:to>
      <xdr:col>43</xdr:col>
      <xdr:colOff>468085</xdr:colOff>
      <xdr:row>246</xdr:row>
      <xdr:rowOff>19209</xdr:rowOff>
    </xdr:to>
    <xdr:cxnSp macro="">
      <xdr:nvCxnSpPr>
        <xdr:cNvPr id="90" name="Straight Connector 89"/>
        <xdr:cNvCxnSpPr/>
      </xdr:nvCxnSpPr>
      <xdr:spPr>
        <a:xfrm flipV="1">
          <a:off x="0" y="42524340"/>
          <a:ext cx="27084745" cy="90669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290</xdr:row>
      <xdr:rowOff>111420</xdr:rowOff>
    </xdr:from>
    <xdr:to>
      <xdr:col>43</xdr:col>
      <xdr:colOff>468085</xdr:colOff>
      <xdr:row>291</xdr:row>
      <xdr:rowOff>19209</xdr:rowOff>
    </xdr:to>
    <xdr:cxnSp macro="">
      <xdr:nvCxnSpPr>
        <xdr:cNvPr id="91" name="Straight Connector 90"/>
        <xdr:cNvCxnSpPr/>
      </xdr:nvCxnSpPr>
      <xdr:spPr>
        <a:xfrm flipV="1">
          <a:off x="0" y="50769180"/>
          <a:ext cx="27084745" cy="90669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105</xdr:row>
      <xdr:rowOff>87089</xdr:rowOff>
    </xdr:from>
    <xdr:to>
      <xdr:col>9</xdr:col>
      <xdr:colOff>380679</xdr:colOff>
      <xdr:row>135</xdr:row>
      <xdr:rowOff>147951</xdr:rowOff>
    </xdr:to>
    <xdr:grpSp>
      <xdr:nvGrpSpPr>
        <xdr:cNvPr id="189" name="Group 188"/>
        <xdr:cNvGrpSpPr/>
      </xdr:nvGrpSpPr>
      <xdr:grpSpPr>
        <a:xfrm>
          <a:off x="0" y="17003489"/>
          <a:ext cx="6019479" cy="4632862"/>
          <a:chOff x="0" y="19110195"/>
          <a:chExt cx="5992585" cy="5439685"/>
        </a:xfrm>
      </xdr:grpSpPr>
      <xdr:sp macro="" textlink="">
        <xdr:nvSpPr>
          <xdr:cNvPr id="21" name="Oval 20"/>
          <xdr:cNvSpPr/>
        </xdr:nvSpPr>
        <xdr:spPr>
          <a:xfrm>
            <a:off x="636495" y="22523824"/>
            <a:ext cx="1334780" cy="62756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T. Darah</a:t>
            </a:r>
          </a:p>
        </xdr:txBody>
      </xdr:sp>
      <xdr:grpSp>
        <xdr:nvGrpSpPr>
          <xdr:cNvPr id="22" name="Group 21"/>
          <xdr:cNvGrpSpPr/>
        </xdr:nvGrpSpPr>
        <xdr:grpSpPr>
          <a:xfrm>
            <a:off x="1303885" y="19110195"/>
            <a:ext cx="4688700" cy="3413628"/>
            <a:chOff x="1303004" y="19626943"/>
            <a:chExt cx="4683819" cy="3524656"/>
          </a:xfrm>
        </xdr:grpSpPr>
        <xdr:sp macro="" textlink="">
          <xdr:nvSpPr>
            <xdr:cNvPr id="23" name="Oval 22"/>
            <xdr:cNvSpPr/>
          </xdr:nvSpPr>
          <xdr:spPr>
            <a:xfrm>
              <a:off x="4652043" y="21542829"/>
              <a:ext cx="1334780" cy="64485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...</a:t>
              </a:r>
              <a:endParaRPr lang="id-ID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1303004" y="19626943"/>
              <a:ext cx="3798714" cy="3524656"/>
              <a:chOff x="1760204" y="13454743"/>
              <a:chExt cx="3798714" cy="3524656"/>
            </a:xfrm>
          </xdr:grpSpPr>
          <xdr:grpSp>
            <xdr:nvGrpSpPr>
              <xdr:cNvPr id="29" name="Group 28"/>
              <xdr:cNvGrpSpPr/>
            </xdr:nvGrpSpPr>
            <xdr:grpSpPr>
              <a:xfrm>
                <a:off x="2728632" y="13454743"/>
                <a:ext cx="2830286" cy="1992086"/>
                <a:chOff x="2631904" y="8425388"/>
                <a:chExt cx="2762941" cy="1977941"/>
              </a:xfrm>
            </xdr:grpSpPr>
            <xdr:sp macro="" textlink="">
              <xdr:nvSpPr>
                <xdr:cNvPr id="34" name="Oval 33"/>
                <xdr:cNvSpPr/>
              </xdr:nvSpPr>
              <xdr:spPr>
                <a:xfrm>
                  <a:off x="3437729" y="8425388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BMI</a:t>
                  </a:r>
                  <a:endParaRPr lang="id-ID" sz="1100"/>
                </a:p>
              </xdr:txBody>
            </xdr:sp>
            <xdr:cxnSp macro="">
              <xdr:nvCxnSpPr>
                <xdr:cNvPr id="35" name="Straight Connector 34"/>
                <xdr:cNvCxnSpPr>
                  <a:stCxn id="34" idx="4"/>
                  <a:endCxn id="30" idx="0"/>
                </xdr:cNvCxnSpPr>
              </xdr:nvCxnSpPr>
              <xdr:spPr>
                <a:xfrm flipH="1">
                  <a:off x="2631904" y="9065660"/>
                  <a:ext cx="1457334" cy="1337669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6" name="Straight Connector 35"/>
                <xdr:cNvCxnSpPr>
                  <a:stCxn id="34" idx="4"/>
                </xdr:cNvCxnSpPr>
              </xdr:nvCxnSpPr>
              <xdr:spPr>
                <a:xfrm>
                  <a:off x="4089238" y="9065660"/>
                  <a:ext cx="1305607" cy="128362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0" name="Oval 29"/>
              <xdr:cNvSpPr/>
            </xdr:nvSpPr>
            <xdr:spPr>
              <a:xfrm>
                <a:off x="2061242" y="15446829"/>
                <a:ext cx="1334780" cy="644851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100"/>
                  <a:t>L. Perut</a:t>
                </a:r>
              </a:p>
            </xdr:txBody>
          </xdr:sp>
          <xdr:cxnSp macro="">
            <xdr:nvCxnSpPr>
              <xdr:cNvPr id="31" name="Straight Connector 30"/>
              <xdr:cNvCxnSpPr>
                <a:stCxn id="30" idx="4"/>
                <a:endCxn id="21" idx="0"/>
              </xdr:cNvCxnSpPr>
            </xdr:nvCxnSpPr>
            <xdr:spPr>
              <a:xfrm flipH="1">
                <a:off x="1760204" y="16091680"/>
                <a:ext cx="968429" cy="887719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3" name="Straight Connector 32"/>
              <xdr:cNvCxnSpPr>
                <a:stCxn id="30" idx="4"/>
              </xdr:cNvCxnSpPr>
            </xdr:nvCxnSpPr>
            <xdr:spPr>
              <a:xfrm>
                <a:off x="2728633" y="16091681"/>
                <a:ext cx="1320148" cy="716477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173" name="Straight Connector 172"/>
          <xdr:cNvCxnSpPr>
            <a:stCxn id="21" idx="4"/>
            <a:endCxn id="176" idx="0"/>
          </xdr:cNvCxnSpPr>
        </xdr:nvCxnSpPr>
        <xdr:spPr>
          <a:xfrm flipH="1">
            <a:off x="668086" y="23151386"/>
            <a:ext cx="635799" cy="77285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6" name="Oval 175"/>
          <xdr:cNvSpPr/>
        </xdr:nvSpPr>
        <xdr:spPr>
          <a:xfrm>
            <a:off x="0" y="23924242"/>
            <a:ext cx="1336171" cy="624538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  <xdr:sp macro="" textlink="">
        <xdr:nvSpPr>
          <xdr:cNvPr id="178" name="Oval 177"/>
          <xdr:cNvSpPr/>
        </xdr:nvSpPr>
        <xdr:spPr>
          <a:xfrm>
            <a:off x="1425389" y="23922318"/>
            <a:ext cx="1334780" cy="62756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2</a:t>
            </a:r>
          </a:p>
        </xdr:txBody>
      </xdr:sp>
      <xdr:cxnSp macro="">
        <xdr:nvCxnSpPr>
          <xdr:cNvPr id="179" name="Straight Connector 178"/>
          <xdr:cNvCxnSpPr>
            <a:stCxn id="21" idx="4"/>
            <a:endCxn id="178" idx="0"/>
          </xdr:cNvCxnSpPr>
        </xdr:nvCxnSpPr>
        <xdr:spPr>
          <a:xfrm>
            <a:off x="1303885" y="23151386"/>
            <a:ext cx="788894" cy="77093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" name="Straight Connector 182"/>
          <xdr:cNvCxnSpPr>
            <a:stCxn id="21" idx="4"/>
          </xdr:cNvCxnSpPr>
        </xdr:nvCxnSpPr>
        <xdr:spPr>
          <a:xfrm>
            <a:off x="1303885" y="23151386"/>
            <a:ext cx="2748162" cy="88299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412376</xdr:colOff>
      <xdr:row>176</xdr:row>
      <xdr:rowOff>60194</xdr:rowOff>
    </xdr:from>
    <xdr:to>
      <xdr:col>6</xdr:col>
      <xdr:colOff>529347</xdr:colOff>
      <xdr:row>179</xdr:row>
      <xdr:rowOff>146849</xdr:rowOff>
    </xdr:to>
    <xdr:sp macro="" textlink="">
      <xdr:nvSpPr>
        <xdr:cNvPr id="207" name="Oval 206"/>
        <xdr:cNvSpPr/>
      </xdr:nvSpPr>
      <xdr:spPr>
        <a:xfrm>
          <a:off x="2976282" y="31813182"/>
          <a:ext cx="1336171" cy="62453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...</a:t>
          </a:r>
          <a:endParaRPr lang="id-ID" sz="1100"/>
        </a:p>
      </xdr:txBody>
    </xdr:sp>
    <xdr:clientData/>
  </xdr:twoCellAnchor>
  <xdr:twoCellAnchor>
    <xdr:from>
      <xdr:col>0</xdr:col>
      <xdr:colOff>0</xdr:colOff>
      <xdr:row>158</xdr:row>
      <xdr:rowOff>60194</xdr:rowOff>
    </xdr:from>
    <xdr:to>
      <xdr:col>9</xdr:col>
      <xdr:colOff>380679</xdr:colOff>
      <xdr:row>196</xdr:row>
      <xdr:rowOff>33333</xdr:rowOff>
    </xdr:to>
    <xdr:grpSp>
      <xdr:nvGrpSpPr>
        <xdr:cNvPr id="218" name="Group 217"/>
        <xdr:cNvGrpSpPr/>
      </xdr:nvGrpSpPr>
      <xdr:grpSpPr>
        <a:xfrm>
          <a:off x="0" y="25053794"/>
          <a:ext cx="6019479" cy="5764339"/>
          <a:chOff x="0" y="28585888"/>
          <a:chExt cx="5992585" cy="6786316"/>
        </a:xfrm>
      </xdr:grpSpPr>
      <xdr:grpSp>
        <xdr:nvGrpSpPr>
          <xdr:cNvPr id="190" name="Group 189"/>
          <xdr:cNvGrpSpPr/>
        </xdr:nvGrpSpPr>
        <xdr:grpSpPr>
          <a:xfrm>
            <a:off x="0" y="28585888"/>
            <a:ext cx="5992585" cy="5439685"/>
            <a:chOff x="0" y="19110195"/>
            <a:chExt cx="5992585" cy="5439685"/>
          </a:xfrm>
        </xdr:grpSpPr>
        <xdr:sp macro="" textlink="">
          <xdr:nvSpPr>
            <xdr:cNvPr id="191" name="Oval 190"/>
            <xdr:cNvSpPr/>
          </xdr:nvSpPr>
          <xdr:spPr>
            <a:xfrm>
              <a:off x="636495" y="22523824"/>
              <a:ext cx="1334780" cy="62756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T. Darah</a:t>
              </a:r>
            </a:p>
          </xdr:txBody>
        </xdr:sp>
        <xdr:grpSp>
          <xdr:nvGrpSpPr>
            <xdr:cNvPr id="192" name="Group 191"/>
            <xdr:cNvGrpSpPr/>
          </xdr:nvGrpSpPr>
          <xdr:grpSpPr>
            <a:xfrm>
              <a:off x="1303885" y="19110195"/>
              <a:ext cx="4688700" cy="3413628"/>
              <a:chOff x="1303004" y="19626943"/>
              <a:chExt cx="4683819" cy="3524656"/>
            </a:xfrm>
          </xdr:grpSpPr>
          <xdr:sp macro="" textlink="">
            <xdr:nvSpPr>
              <xdr:cNvPr id="198" name="Oval 197"/>
              <xdr:cNvSpPr/>
            </xdr:nvSpPr>
            <xdr:spPr>
              <a:xfrm>
                <a:off x="4652043" y="21542829"/>
                <a:ext cx="1334780" cy="644851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...</a:t>
                </a:r>
                <a:endParaRPr lang="id-ID" sz="1100"/>
              </a:p>
            </xdr:txBody>
          </xdr:sp>
          <xdr:grpSp>
            <xdr:nvGrpSpPr>
              <xdr:cNvPr id="199" name="Group 198"/>
              <xdr:cNvGrpSpPr/>
            </xdr:nvGrpSpPr>
            <xdr:grpSpPr>
              <a:xfrm>
                <a:off x="1303004" y="19626943"/>
                <a:ext cx="3798714" cy="3524656"/>
                <a:chOff x="1760204" y="13454743"/>
                <a:chExt cx="3798714" cy="3524656"/>
              </a:xfrm>
            </xdr:grpSpPr>
            <xdr:grpSp>
              <xdr:nvGrpSpPr>
                <xdr:cNvPr id="200" name="Group 199"/>
                <xdr:cNvGrpSpPr/>
              </xdr:nvGrpSpPr>
              <xdr:grpSpPr>
                <a:xfrm>
                  <a:off x="2728632" y="13454743"/>
                  <a:ext cx="2830286" cy="1992086"/>
                  <a:chOff x="2631904" y="8425388"/>
                  <a:chExt cx="2762941" cy="1977941"/>
                </a:xfrm>
              </xdr:grpSpPr>
              <xdr:sp macro="" textlink="">
                <xdr:nvSpPr>
                  <xdr:cNvPr id="204" name="Oval 203"/>
                  <xdr:cNvSpPr/>
                </xdr:nvSpPr>
                <xdr:spPr>
                  <a:xfrm>
                    <a:off x="3437729" y="8425388"/>
                    <a:ext cx="1303020" cy="64027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BMI</a:t>
                    </a:r>
                    <a:endParaRPr lang="id-ID" sz="1100"/>
                  </a:p>
                </xdr:txBody>
              </xdr:sp>
              <xdr:cxnSp macro="">
                <xdr:nvCxnSpPr>
                  <xdr:cNvPr id="205" name="Straight Connector 204"/>
                  <xdr:cNvCxnSpPr>
                    <a:stCxn id="204" idx="4"/>
                    <a:endCxn id="201" idx="0"/>
                  </xdr:cNvCxnSpPr>
                </xdr:nvCxnSpPr>
                <xdr:spPr>
                  <a:xfrm flipH="1">
                    <a:off x="2631904" y="9065660"/>
                    <a:ext cx="1457334" cy="1337669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06" name="Straight Connector 205"/>
                  <xdr:cNvCxnSpPr>
                    <a:stCxn id="204" idx="4"/>
                  </xdr:cNvCxnSpPr>
                </xdr:nvCxnSpPr>
                <xdr:spPr>
                  <a:xfrm>
                    <a:off x="4089238" y="9065660"/>
                    <a:ext cx="1305607" cy="1283627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201" name="Oval 200"/>
                <xdr:cNvSpPr/>
              </xdr:nvSpPr>
              <xdr:spPr>
                <a:xfrm>
                  <a:off x="2061242" y="15446829"/>
                  <a:ext cx="1334780" cy="644851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100"/>
                    <a:t>L. Perut</a:t>
                  </a:r>
                </a:p>
              </xdr:txBody>
            </xdr:sp>
            <xdr:cxnSp macro="">
              <xdr:nvCxnSpPr>
                <xdr:cNvPr id="202" name="Straight Connector 201"/>
                <xdr:cNvCxnSpPr>
                  <a:stCxn id="201" idx="4"/>
                  <a:endCxn id="191" idx="0"/>
                </xdr:cNvCxnSpPr>
              </xdr:nvCxnSpPr>
              <xdr:spPr>
                <a:xfrm flipH="1">
                  <a:off x="1760204" y="16091680"/>
                  <a:ext cx="968429" cy="887719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3" name="Straight Connector 202"/>
                <xdr:cNvCxnSpPr>
                  <a:stCxn id="201" idx="4"/>
                </xdr:cNvCxnSpPr>
              </xdr:nvCxnSpPr>
              <xdr:spPr>
                <a:xfrm>
                  <a:off x="2728633" y="16091681"/>
                  <a:ext cx="1320148" cy="71647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93" name="Straight Connector 192"/>
            <xdr:cNvCxnSpPr>
              <a:stCxn id="191" idx="4"/>
              <a:endCxn id="194" idx="0"/>
            </xdr:cNvCxnSpPr>
          </xdr:nvCxnSpPr>
          <xdr:spPr>
            <a:xfrm flipH="1">
              <a:off x="668086" y="23151386"/>
              <a:ext cx="635799" cy="772856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94" name="Oval 193"/>
            <xdr:cNvSpPr/>
          </xdr:nvSpPr>
          <xdr:spPr>
            <a:xfrm>
              <a:off x="0" y="23924242"/>
              <a:ext cx="1336171" cy="62453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  <a:endParaRPr lang="id-ID" sz="1100"/>
            </a:p>
          </xdr:txBody>
        </xdr:sp>
        <xdr:sp macro="" textlink="">
          <xdr:nvSpPr>
            <xdr:cNvPr id="195" name="Oval 194"/>
            <xdr:cNvSpPr/>
          </xdr:nvSpPr>
          <xdr:spPr>
            <a:xfrm>
              <a:off x="1425389" y="23922318"/>
              <a:ext cx="1334780" cy="62756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2</a:t>
              </a:r>
            </a:p>
          </xdr:txBody>
        </xdr:sp>
        <xdr:cxnSp macro="">
          <xdr:nvCxnSpPr>
            <xdr:cNvPr id="196" name="Straight Connector 195"/>
            <xdr:cNvCxnSpPr>
              <a:stCxn id="191" idx="4"/>
              <a:endCxn id="195" idx="0"/>
            </xdr:cNvCxnSpPr>
          </xdr:nvCxnSpPr>
          <xdr:spPr>
            <a:xfrm>
              <a:off x="1303885" y="23151386"/>
              <a:ext cx="788894" cy="770932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/>
            <xdr:cNvCxnSpPr>
              <a:stCxn id="191" idx="4"/>
            </xdr:cNvCxnSpPr>
          </xdr:nvCxnSpPr>
          <xdr:spPr>
            <a:xfrm>
              <a:off x="1303885" y="23151386"/>
              <a:ext cx="2748162" cy="88299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208" name="Oval 207"/>
          <xdr:cNvSpPr/>
        </xdr:nvSpPr>
        <xdr:spPr>
          <a:xfrm>
            <a:off x="3379694" y="33480618"/>
            <a:ext cx="1334780" cy="62756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Umur</a:t>
            </a:r>
          </a:p>
        </xdr:txBody>
      </xdr:sp>
      <xdr:cxnSp macro="">
        <xdr:nvCxnSpPr>
          <xdr:cNvPr id="209" name="Straight Connector 208"/>
          <xdr:cNvCxnSpPr>
            <a:stCxn id="208" idx="4"/>
          </xdr:cNvCxnSpPr>
        </xdr:nvCxnSpPr>
        <xdr:spPr>
          <a:xfrm flipH="1">
            <a:off x="3182471" y="34108180"/>
            <a:ext cx="864613" cy="64798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2" name="Oval 211"/>
          <xdr:cNvSpPr/>
        </xdr:nvSpPr>
        <xdr:spPr>
          <a:xfrm>
            <a:off x="2510117" y="34744642"/>
            <a:ext cx="1334780" cy="62756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1</a:t>
            </a:r>
          </a:p>
        </xdr:txBody>
      </xdr:sp>
      <xdr:cxnSp macro="">
        <xdr:nvCxnSpPr>
          <xdr:cNvPr id="213" name="Straight Connector 212"/>
          <xdr:cNvCxnSpPr>
            <a:stCxn id="208" idx="4"/>
          </xdr:cNvCxnSpPr>
        </xdr:nvCxnSpPr>
        <xdr:spPr>
          <a:xfrm>
            <a:off x="4047084" y="34108180"/>
            <a:ext cx="1331740" cy="67487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7" name="Oval 216"/>
          <xdr:cNvSpPr/>
        </xdr:nvSpPr>
        <xdr:spPr>
          <a:xfrm>
            <a:off x="4643717" y="34744642"/>
            <a:ext cx="1334780" cy="62756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2</a:t>
            </a:r>
          </a:p>
        </xdr:txBody>
      </xdr:sp>
    </xdr:grpSp>
    <xdr:clientData/>
  </xdr:twoCellAnchor>
  <xdr:twoCellAnchor>
    <xdr:from>
      <xdr:col>0</xdr:col>
      <xdr:colOff>0</xdr:colOff>
      <xdr:row>203</xdr:row>
      <xdr:rowOff>15371</xdr:rowOff>
    </xdr:from>
    <xdr:to>
      <xdr:col>14</xdr:col>
      <xdr:colOff>403412</xdr:colOff>
      <xdr:row>240</xdr:row>
      <xdr:rowOff>158840</xdr:rowOff>
    </xdr:to>
    <xdr:grpSp>
      <xdr:nvGrpSpPr>
        <xdr:cNvPr id="257" name="Group 256"/>
        <xdr:cNvGrpSpPr/>
      </xdr:nvGrpSpPr>
      <xdr:grpSpPr>
        <a:xfrm>
          <a:off x="0" y="31866971"/>
          <a:ext cx="8937812" cy="5782269"/>
          <a:chOff x="0" y="36609300"/>
          <a:chExt cx="8937812" cy="6777352"/>
        </a:xfrm>
      </xdr:grpSpPr>
      <xdr:grpSp>
        <xdr:nvGrpSpPr>
          <xdr:cNvPr id="219" name="Group 218"/>
          <xdr:cNvGrpSpPr/>
        </xdr:nvGrpSpPr>
        <xdr:grpSpPr>
          <a:xfrm>
            <a:off x="0" y="36609300"/>
            <a:ext cx="6888898" cy="6777352"/>
            <a:chOff x="0" y="28585888"/>
            <a:chExt cx="6888898" cy="6786316"/>
          </a:xfrm>
        </xdr:grpSpPr>
        <xdr:grpSp>
          <xdr:nvGrpSpPr>
            <xdr:cNvPr id="220" name="Group 219"/>
            <xdr:cNvGrpSpPr/>
          </xdr:nvGrpSpPr>
          <xdr:grpSpPr>
            <a:xfrm>
              <a:off x="0" y="28585888"/>
              <a:ext cx="6888898" cy="5439685"/>
              <a:chOff x="0" y="19110195"/>
              <a:chExt cx="6888898" cy="5439685"/>
            </a:xfrm>
          </xdr:grpSpPr>
          <xdr:sp macro="" textlink="">
            <xdr:nvSpPr>
              <xdr:cNvPr id="226" name="Oval 225"/>
              <xdr:cNvSpPr/>
            </xdr:nvSpPr>
            <xdr:spPr>
              <a:xfrm>
                <a:off x="636495" y="22523824"/>
                <a:ext cx="1334780" cy="62756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100"/>
                  <a:t>T. Darah</a:t>
                </a:r>
              </a:p>
            </xdr:txBody>
          </xdr:sp>
          <xdr:grpSp>
            <xdr:nvGrpSpPr>
              <xdr:cNvPr id="227" name="Group 226"/>
              <xdr:cNvGrpSpPr/>
            </xdr:nvGrpSpPr>
            <xdr:grpSpPr>
              <a:xfrm>
                <a:off x="1303885" y="19110195"/>
                <a:ext cx="5585013" cy="3413628"/>
                <a:chOff x="1303004" y="19626943"/>
                <a:chExt cx="5579199" cy="3524656"/>
              </a:xfrm>
            </xdr:grpSpPr>
            <xdr:sp macro="" textlink="">
              <xdr:nvSpPr>
                <xdr:cNvPr id="233" name="Oval 232"/>
                <xdr:cNvSpPr/>
              </xdr:nvSpPr>
              <xdr:spPr>
                <a:xfrm>
                  <a:off x="4652043" y="21542829"/>
                  <a:ext cx="1334780" cy="644851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...</a:t>
                  </a:r>
                  <a:endParaRPr lang="id-ID" sz="1100"/>
                </a:p>
              </xdr:txBody>
            </xdr:sp>
            <xdr:grpSp>
              <xdr:nvGrpSpPr>
                <xdr:cNvPr id="234" name="Group 233"/>
                <xdr:cNvGrpSpPr/>
              </xdr:nvGrpSpPr>
              <xdr:grpSpPr>
                <a:xfrm>
                  <a:off x="1303004" y="19626943"/>
                  <a:ext cx="5579199" cy="3524656"/>
                  <a:chOff x="1760204" y="13454743"/>
                  <a:chExt cx="5579199" cy="3524656"/>
                </a:xfrm>
              </xdr:grpSpPr>
              <xdr:grpSp>
                <xdr:nvGrpSpPr>
                  <xdr:cNvPr id="235" name="Group 234"/>
                  <xdr:cNvGrpSpPr/>
                </xdr:nvGrpSpPr>
                <xdr:grpSpPr>
                  <a:xfrm>
                    <a:off x="2728632" y="13454743"/>
                    <a:ext cx="2830286" cy="1992086"/>
                    <a:chOff x="2631904" y="8425388"/>
                    <a:chExt cx="2762941" cy="1977941"/>
                  </a:xfrm>
                </xdr:grpSpPr>
                <xdr:sp macro="" textlink="">
                  <xdr:nvSpPr>
                    <xdr:cNvPr id="239" name="Oval 238"/>
                    <xdr:cNvSpPr/>
                  </xdr:nvSpPr>
                  <xdr:spPr>
                    <a:xfrm>
                      <a:off x="3437729" y="8425388"/>
                      <a:ext cx="1303020" cy="64027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BMI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240" name="Straight Connector 239"/>
                    <xdr:cNvCxnSpPr>
                      <a:stCxn id="239" idx="4"/>
                      <a:endCxn id="236" idx="0"/>
                    </xdr:cNvCxnSpPr>
                  </xdr:nvCxnSpPr>
                  <xdr:spPr>
                    <a:xfrm flipH="1">
                      <a:off x="2631904" y="9065660"/>
                      <a:ext cx="1457334" cy="1337669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1" name="Straight Connector 240"/>
                    <xdr:cNvCxnSpPr>
                      <a:stCxn id="239" idx="4"/>
                    </xdr:cNvCxnSpPr>
                  </xdr:nvCxnSpPr>
                  <xdr:spPr>
                    <a:xfrm>
                      <a:off x="4089238" y="9065660"/>
                      <a:ext cx="1305607" cy="128362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36" name="Oval 235"/>
                  <xdr:cNvSpPr/>
                </xdr:nvSpPr>
                <xdr:spPr>
                  <a:xfrm>
                    <a:off x="2061242" y="15446829"/>
                    <a:ext cx="1334780" cy="644851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100"/>
                      <a:t>L. Perut</a:t>
                    </a:r>
                  </a:p>
                </xdr:txBody>
              </xdr:sp>
              <xdr:cxnSp macro="">
                <xdr:nvCxnSpPr>
                  <xdr:cNvPr id="237" name="Straight Connector 236"/>
                  <xdr:cNvCxnSpPr>
                    <a:stCxn id="236" idx="4"/>
                    <a:endCxn id="226" idx="0"/>
                  </xdr:cNvCxnSpPr>
                </xdr:nvCxnSpPr>
                <xdr:spPr>
                  <a:xfrm flipH="1">
                    <a:off x="1760204" y="16091680"/>
                    <a:ext cx="968429" cy="887719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38" name="Straight Connector 237"/>
                  <xdr:cNvCxnSpPr>
                    <a:stCxn id="236" idx="4"/>
                    <a:endCxn id="242" idx="0"/>
                  </xdr:cNvCxnSpPr>
                </xdr:nvCxnSpPr>
                <xdr:spPr>
                  <a:xfrm>
                    <a:off x="2728633" y="16091680"/>
                    <a:ext cx="4610770" cy="322368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</xdr:grpSp>
          <xdr:cxnSp macro="">
            <xdr:nvCxnSpPr>
              <xdr:cNvPr id="228" name="Straight Connector 227"/>
              <xdr:cNvCxnSpPr>
                <a:stCxn id="226" idx="4"/>
                <a:endCxn id="229" idx="0"/>
              </xdr:cNvCxnSpPr>
            </xdr:nvCxnSpPr>
            <xdr:spPr>
              <a:xfrm flipH="1">
                <a:off x="668086" y="23151386"/>
                <a:ext cx="635799" cy="772856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29" name="Oval 228"/>
              <xdr:cNvSpPr/>
            </xdr:nvSpPr>
            <xdr:spPr>
              <a:xfrm>
                <a:off x="0" y="23924242"/>
                <a:ext cx="1336171" cy="624538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1</a:t>
                </a:r>
                <a:endParaRPr lang="id-ID" sz="1100"/>
              </a:p>
            </xdr:txBody>
          </xdr:sp>
          <xdr:sp macro="" textlink="">
            <xdr:nvSpPr>
              <xdr:cNvPr id="230" name="Oval 229"/>
              <xdr:cNvSpPr/>
            </xdr:nvSpPr>
            <xdr:spPr>
              <a:xfrm>
                <a:off x="1425389" y="23922318"/>
                <a:ext cx="1334780" cy="62756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100"/>
                  <a:t>2</a:t>
                </a:r>
              </a:p>
            </xdr:txBody>
          </xdr:sp>
          <xdr:cxnSp macro="">
            <xdr:nvCxnSpPr>
              <xdr:cNvPr id="231" name="Straight Connector 230"/>
              <xdr:cNvCxnSpPr>
                <a:stCxn id="226" idx="4"/>
                <a:endCxn id="230" idx="0"/>
              </xdr:cNvCxnSpPr>
            </xdr:nvCxnSpPr>
            <xdr:spPr>
              <a:xfrm>
                <a:off x="1303885" y="23151386"/>
                <a:ext cx="788894" cy="770932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32" name="Straight Connector 231"/>
              <xdr:cNvCxnSpPr>
                <a:stCxn id="226" idx="4"/>
              </xdr:cNvCxnSpPr>
            </xdr:nvCxnSpPr>
            <xdr:spPr>
              <a:xfrm>
                <a:off x="1303885" y="23151386"/>
                <a:ext cx="2748162" cy="88299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21" name="Oval 220"/>
            <xdr:cNvSpPr/>
          </xdr:nvSpPr>
          <xdr:spPr>
            <a:xfrm>
              <a:off x="3379694" y="33480618"/>
              <a:ext cx="1334780" cy="62756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Umur</a:t>
              </a:r>
            </a:p>
          </xdr:txBody>
        </xdr:sp>
        <xdr:cxnSp macro="">
          <xdr:nvCxnSpPr>
            <xdr:cNvPr id="222" name="Straight Connector 221"/>
            <xdr:cNvCxnSpPr>
              <a:stCxn id="221" idx="4"/>
            </xdr:cNvCxnSpPr>
          </xdr:nvCxnSpPr>
          <xdr:spPr>
            <a:xfrm flipH="1">
              <a:off x="3182471" y="34108180"/>
              <a:ext cx="864613" cy="64798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23" name="Oval 222"/>
            <xdr:cNvSpPr/>
          </xdr:nvSpPr>
          <xdr:spPr>
            <a:xfrm>
              <a:off x="2510117" y="34744642"/>
              <a:ext cx="1334780" cy="62756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1</a:t>
              </a:r>
            </a:p>
          </xdr:txBody>
        </xdr:sp>
        <xdr:cxnSp macro="">
          <xdr:nvCxnSpPr>
            <xdr:cNvPr id="224" name="Straight Connector 223"/>
            <xdr:cNvCxnSpPr>
              <a:stCxn id="221" idx="4"/>
            </xdr:cNvCxnSpPr>
          </xdr:nvCxnSpPr>
          <xdr:spPr>
            <a:xfrm>
              <a:off x="4047084" y="34108180"/>
              <a:ext cx="1331740" cy="674879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25" name="Oval 224"/>
            <xdr:cNvSpPr/>
          </xdr:nvSpPr>
          <xdr:spPr>
            <a:xfrm>
              <a:off x="4643717" y="34744642"/>
              <a:ext cx="1334780" cy="62756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2</a:t>
              </a:r>
            </a:p>
          </xdr:txBody>
        </xdr:sp>
      </xdr:grpSp>
      <xdr:sp macro="" textlink="">
        <xdr:nvSpPr>
          <xdr:cNvPr id="242" name="Oval 241"/>
          <xdr:cNvSpPr/>
        </xdr:nvSpPr>
        <xdr:spPr>
          <a:xfrm>
            <a:off x="6221507" y="39471600"/>
            <a:ext cx="1334780" cy="62673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T. Darah</a:t>
            </a:r>
          </a:p>
        </xdr:txBody>
      </xdr:sp>
      <xdr:cxnSp macro="">
        <xdr:nvCxnSpPr>
          <xdr:cNvPr id="245" name="Straight Connector 244"/>
          <xdr:cNvCxnSpPr>
            <a:stCxn id="242" idx="4"/>
          </xdr:cNvCxnSpPr>
        </xdr:nvCxnSpPr>
        <xdr:spPr>
          <a:xfrm flipH="1">
            <a:off x="6185647" y="40098333"/>
            <a:ext cx="703250" cy="26077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8" name="Oval 247"/>
          <xdr:cNvSpPr/>
        </xdr:nvSpPr>
        <xdr:spPr>
          <a:xfrm>
            <a:off x="5262283" y="40332212"/>
            <a:ext cx="1336171" cy="62371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  <xdr:cxnSp macro="">
        <xdr:nvCxnSpPr>
          <xdr:cNvPr id="249" name="Straight Connector 248"/>
          <xdr:cNvCxnSpPr>
            <a:stCxn id="242" idx="4"/>
          </xdr:cNvCxnSpPr>
        </xdr:nvCxnSpPr>
        <xdr:spPr>
          <a:xfrm>
            <a:off x="6888897" y="40098333"/>
            <a:ext cx="4962" cy="78969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2" name="Straight Connector 251"/>
          <xdr:cNvCxnSpPr>
            <a:stCxn id="242" idx="4"/>
          </xdr:cNvCxnSpPr>
        </xdr:nvCxnSpPr>
        <xdr:spPr>
          <a:xfrm>
            <a:off x="6888897" y="40098333"/>
            <a:ext cx="2048915" cy="169512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247</xdr:row>
      <xdr:rowOff>42265</xdr:rowOff>
    </xdr:from>
    <xdr:to>
      <xdr:col>14</xdr:col>
      <xdr:colOff>403412</xdr:colOff>
      <xdr:row>284</xdr:row>
      <xdr:rowOff>176770</xdr:rowOff>
    </xdr:to>
    <xdr:grpSp>
      <xdr:nvGrpSpPr>
        <xdr:cNvPr id="331" name="Group 330"/>
        <xdr:cNvGrpSpPr/>
      </xdr:nvGrpSpPr>
      <xdr:grpSpPr>
        <a:xfrm>
          <a:off x="0" y="38599465"/>
          <a:ext cx="8937812" cy="5773305"/>
          <a:chOff x="0" y="44525136"/>
          <a:chExt cx="8937812" cy="6768387"/>
        </a:xfrm>
      </xdr:grpSpPr>
      <xdr:grpSp>
        <xdr:nvGrpSpPr>
          <xdr:cNvPr id="296" name="Group 295"/>
          <xdr:cNvGrpSpPr/>
        </xdr:nvGrpSpPr>
        <xdr:grpSpPr>
          <a:xfrm>
            <a:off x="0" y="44525136"/>
            <a:ext cx="8937812" cy="6768387"/>
            <a:chOff x="0" y="44525136"/>
            <a:chExt cx="8937812" cy="6768387"/>
          </a:xfrm>
        </xdr:grpSpPr>
        <xdr:grpSp>
          <xdr:nvGrpSpPr>
            <xdr:cNvPr id="258" name="Group 257"/>
            <xdr:cNvGrpSpPr/>
          </xdr:nvGrpSpPr>
          <xdr:grpSpPr>
            <a:xfrm>
              <a:off x="0" y="44525136"/>
              <a:ext cx="8937812" cy="6768387"/>
              <a:chOff x="0" y="36609300"/>
              <a:chExt cx="8937812" cy="6777352"/>
            </a:xfrm>
          </xdr:grpSpPr>
          <xdr:grpSp>
            <xdr:nvGrpSpPr>
              <xdr:cNvPr id="259" name="Group 258"/>
              <xdr:cNvGrpSpPr/>
            </xdr:nvGrpSpPr>
            <xdr:grpSpPr>
              <a:xfrm>
                <a:off x="0" y="36609300"/>
                <a:ext cx="6888898" cy="6777352"/>
                <a:chOff x="0" y="28585888"/>
                <a:chExt cx="6888898" cy="6786316"/>
              </a:xfrm>
            </xdr:grpSpPr>
            <xdr:grpSp>
              <xdr:nvGrpSpPr>
                <xdr:cNvPr id="265" name="Group 264"/>
                <xdr:cNvGrpSpPr/>
              </xdr:nvGrpSpPr>
              <xdr:grpSpPr>
                <a:xfrm>
                  <a:off x="0" y="28585888"/>
                  <a:ext cx="6888898" cy="5439685"/>
                  <a:chOff x="0" y="19110195"/>
                  <a:chExt cx="6888898" cy="5439685"/>
                </a:xfrm>
              </xdr:grpSpPr>
              <xdr:sp macro="" textlink="">
                <xdr:nvSpPr>
                  <xdr:cNvPr id="271" name="Oval 270"/>
                  <xdr:cNvSpPr/>
                </xdr:nvSpPr>
                <xdr:spPr>
                  <a:xfrm>
                    <a:off x="636495" y="22523824"/>
                    <a:ext cx="1334780" cy="62756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100"/>
                      <a:t>T. Darah</a:t>
                    </a:r>
                  </a:p>
                </xdr:txBody>
              </xdr:sp>
              <xdr:grpSp>
                <xdr:nvGrpSpPr>
                  <xdr:cNvPr id="272" name="Group 271"/>
                  <xdr:cNvGrpSpPr/>
                </xdr:nvGrpSpPr>
                <xdr:grpSpPr>
                  <a:xfrm>
                    <a:off x="1303885" y="19110195"/>
                    <a:ext cx="5585013" cy="3413628"/>
                    <a:chOff x="1303004" y="19626943"/>
                    <a:chExt cx="5579199" cy="3524656"/>
                  </a:xfrm>
                </xdr:grpSpPr>
                <xdr:sp macro="" textlink="">
                  <xdr:nvSpPr>
                    <xdr:cNvPr id="278" name="Oval 277"/>
                    <xdr:cNvSpPr/>
                  </xdr:nvSpPr>
                  <xdr:spPr>
                    <a:xfrm>
                      <a:off x="4652043" y="21542829"/>
                      <a:ext cx="1334780" cy="64485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...</a:t>
                      </a:r>
                      <a:endParaRPr lang="id-ID" sz="1100"/>
                    </a:p>
                  </xdr:txBody>
                </xdr:sp>
                <xdr:grpSp>
                  <xdr:nvGrpSpPr>
                    <xdr:cNvPr id="279" name="Group 278"/>
                    <xdr:cNvGrpSpPr/>
                  </xdr:nvGrpSpPr>
                  <xdr:grpSpPr>
                    <a:xfrm>
                      <a:off x="1303004" y="19626943"/>
                      <a:ext cx="5579199" cy="3524656"/>
                      <a:chOff x="1760204" y="13454743"/>
                      <a:chExt cx="5579199" cy="3524656"/>
                    </a:xfrm>
                  </xdr:grpSpPr>
                  <xdr:grpSp>
                    <xdr:nvGrpSpPr>
                      <xdr:cNvPr id="280" name="Group 279"/>
                      <xdr:cNvGrpSpPr/>
                    </xdr:nvGrpSpPr>
                    <xdr:grpSpPr>
                      <a:xfrm>
                        <a:off x="2728632" y="13454743"/>
                        <a:ext cx="2830286" cy="1992086"/>
                        <a:chOff x="2631904" y="8425388"/>
                        <a:chExt cx="2762941" cy="1977941"/>
                      </a:xfrm>
                    </xdr:grpSpPr>
                    <xdr:sp macro="" textlink="">
                      <xdr:nvSpPr>
                        <xdr:cNvPr id="284" name="Oval 283"/>
                        <xdr:cNvSpPr/>
                      </xdr:nvSpPr>
                      <xdr:spPr>
                        <a:xfrm>
                          <a:off x="3437729" y="8425388"/>
                          <a:ext cx="1303020" cy="64027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BMI</a:t>
                          </a:r>
                          <a:endParaRPr lang="id-ID" sz="1100"/>
                        </a:p>
                      </xdr:txBody>
                    </xdr:sp>
                    <xdr:cxnSp macro="">
                      <xdr:nvCxnSpPr>
                        <xdr:cNvPr id="285" name="Straight Connector 284"/>
                        <xdr:cNvCxnSpPr>
                          <a:stCxn id="284" idx="4"/>
                          <a:endCxn id="281" idx="0"/>
                        </xdr:cNvCxnSpPr>
                      </xdr:nvCxnSpPr>
                      <xdr:spPr>
                        <a:xfrm flipH="1">
                          <a:off x="2631904" y="9065660"/>
                          <a:ext cx="1457334" cy="1337669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86" name="Straight Connector 285"/>
                        <xdr:cNvCxnSpPr>
                          <a:stCxn id="284" idx="4"/>
                        </xdr:cNvCxnSpPr>
                      </xdr:nvCxnSpPr>
                      <xdr:spPr>
                        <a:xfrm>
                          <a:off x="4089238" y="9065660"/>
                          <a:ext cx="1305607" cy="1283627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81" name="Oval 280"/>
                      <xdr:cNvSpPr/>
                    </xdr:nvSpPr>
                    <xdr:spPr>
                      <a:xfrm>
                        <a:off x="2061242" y="15446829"/>
                        <a:ext cx="1334780" cy="644851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100"/>
                          <a:t>L. Perut</a:t>
                        </a:r>
                      </a:p>
                    </xdr:txBody>
                  </xdr:sp>
                  <xdr:cxnSp macro="">
                    <xdr:nvCxnSpPr>
                      <xdr:cNvPr id="282" name="Straight Connector 281"/>
                      <xdr:cNvCxnSpPr>
                        <a:stCxn id="281" idx="4"/>
                        <a:endCxn id="271" idx="0"/>
                      </xdr:cNvCxnSpPr>
                    </xdr:nvCxnSpPr>
                    <xdr:spPr>
                      <a:xfrm flipH="1">
                        <a:off x="1760204" y="16091680"/>
                        <a:ext cx="968429" cy="887719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83" name="Straight Connector 282"/>
                      <xdr:cNvCxnSpPr>
                        <a:stCxn id="281" idx="4"/>
                        <a:endCxn id="260" idx="0"/>
                      </xdr:cNvCxnSpPr>
                    </xdr:nvCxnSpPr>
                    <xdr:spPr>
                      <a:xfrm>
                        <a:off x="2728633" y="16091680"/>
                        <a:ext cx="4610770" cy="322368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  <xdr:cxnSp macro="">
                <xdr:nvCxnSpPr>
                  <xdr:cNvPr id="273" name="Straight Connector 272"/>
                  <xdr:cNvCxnSpPr>
                    <a:stCxn id="271" idx="4"/>
                    <a:endCxn id="274" idx="0"/>
                  </xdr:cNvCxnSpPr>
                </xdr:nvCxnSpPr>
                <xdr:spPr>
                  <a:xfrm flipH="1">
                    <a:off x="668086" y="23151386"/>
                    <a:ext cx="635799" cy="772856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74" name="Oval 273"/>
                  <xdr:cNvSpPr/>
                </xdr:nvSpPr>
                <xdr:spPr>
                  <a:xfrm>
                    <a:off x="0" y="23924242"/>
                    <a:ext cx="1336171" cy="624538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1</a:t>
                    </a:r>
                    <a:endParaRPr lang="id-ID" sz="1100"/>
                  </a:p>
                </xdr:txBody>
              </xdr:sp>
              <xdr:sp macro="" textlink="">
                <xdr:nvSpPr>
                  <xdr:cNvPr id="275" name="Oval 274"/>
                  <xdr:cNvSpPr/>
                </xdr:nvSpPr>
                <xdr:spPr>
                  <a:xfrm>
                    <a:off x="1425389" y="23922318"/>
                    <a:ext cx="1334780" cy="62756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100"/>
                      <a:t>2</a:t>
                    </a:r>
                  </a:p>
                </xdr:txBody>
              </xdr:sp>
              <xdr:cxnSp macro="">
                <xdr:nvCxnSpPr>
                  <xdr:cNvPr id="276" name="Straight Connector 275"/>
                  <xdr:cNvCxnSpPr>
                    <a:stCxn id="271" idx="4"/>
                    <a:endCxn id="275" idx="0"/>
                  </xdr:cNvCxnSpPr>
                </xdr:nvCxnSpPr>
                <xdr:spPr>
                  <a:xfrm>
                    <a:off x="1303885" y="23151386"/>
                    <a:ext cx="788894" cy="770932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7" name="Straight Connector 276"/>
                  <xdr:cNvCxnSpPr>
                    <a:stCxn id="271" idx="4"/>
                  </xdr:cNvCxnSpPr>
                </xdr:nvCxnSpPr>
                <xdr:spPr>
                  <a:xfrm>
                    <a:off x="1303885" y="23151386"/>
                    <a:ext cx="2748162" cy="88299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266" name="Oval 265"/>
                <xdr:cNvSpPr/>
              </xdr:nvSpPr>
              <xdr:spPr>
                <a:xfrm>
                  <a:off x="3379694" y="33480618"/>
                  <a:ext cx="1334780" cy="62756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100"/>
                    <a:t>Umur</a:t>
                  </a:r>
                </a:p>
              </xdr:txBody>
            </xdr:sp>
            <xdr:cxnSp macro="">
              <xdr:nvCxnSpPr>
                <xdr:cNvPr id="267" name="Straight Connector 266"/>
                <xdr:cNvCxnSpPr>
                  <a:stCxn id="266" idx="4"/>
                </xdr:cNvCxnSpPr>
              </xdr:nvCxnSpPr>
              <xdr:spPr>
                <a:xfrm flipH="1">
                  <a:off x="3182471" y="34108180"/>
                  <a:ext cx="864613" cy="647985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68" name="Oval 267"/>
                <xdr:cNvSpPr/>
              </xdr:nvSpPr>
              <xdr:spPr>
                <a:xfrm>
                  <a:off x="2510117" y="34744642"/>
                  <a:ext cx="1334780" cy="62756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100"/>
                    <a:t>1</a:t>
                  </a:r>
                </a:p>
              </xdr:txBody>
            </xdr:sp>
            <xdr:cxnSp macro="">
              <xdr:nvCxnSpPr>
                <xdr:cNvPr id="269" name="Straight Connector 268"/>
                <xdr:cNvCxnSpPr>
                  <a:stCxn id="266" idx="4"/>
                </xdr:cNvCxnSpPr>
              </xdr:nvCxnSpPr>
              <xdr:spPr>
                <a:xfrm>
                  <a:off x="4047084" y="34108180"/>
                  <a:ext cx="1331740" cy="674879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70" name="Oval 269"/>
                <xdr:cNvSpPr/>
              </xdr:nvSpPr>
              <xdr:spPr>
                <a:xfrm>
                  <a:off x="4643717" y="34744642"/>
                  <a:ext cx="1334780" cy="62756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100"/>
                    <a:t>2</a:t>
                  </a:r>
                </a:p>
              </xdr:txBody>
            </xdr:sp>
          </xdr:grpSp>
          <xdr:sp macro="" textlink="">
            <xdr:nvSpPr>
              <xdr:cNvPr id="260" name="Oval 259"/>
              <xdr:cNvSpPr/>
            </xdr:nvSpPr>
            <xdr:spPr>
              <a:xfrm>
                <a:off x="6221507" y="39471600"/>
                <a:ext cx="1334780" cy="626733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100"/>
                  <a:t>T. Darah</a:t>
                </a:r>
              </a:p>
            </xdr:txBody>
          </xdr:sp>
          <xdr:cxnSp macro="">
            <xdr:nvCxnSpPr>
              <xdr:cNvPr id="261" name="Straight Connector 260"/>
              <xdr:cNvCxnSpPr>
                <a:stCxn id="260" idx="4"/>
              </xdr:cNvCxnSpPr>
            </xdr:nvCxnSpPr>
            <xdr:spPr>
              <a:xfrm flipH="1">
                <a:off x="6185647" y="40098333"/>
                <a:ext cx="703250" cy="260773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62" name="Oval 261"/>
              <xdr:cNvSpPr/>
            </xdr:nvSpPr>
            <xdr:spPr>
              <a:xfrm>
                <a:off x="5262283" y="40332212"/>
                <a:ext cx="1336171" cy="623713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1</a:t>
                </a:r>
                <a:endParaRPr lang="id-ID" sz="1100"/>
              </a:p>
            </xdr:txBody>
          </xdr:sp>
          <xdr:cxnSp macro="">
            <xdr:nvCxnSpPr>
              <xdr:cNvPr id="263" name="Straight Connector 262"/>
              <xdr:cNvCxnSpPr>
                <a:stCxn id="260" idx="4"/>
              </xdr:cNvCxnSpPr>
            </xdr:nvCxnSpPr>
            <xdr:spPr>
              <a:xfrm>
                <a:off x="6888897" y="40098333"/>
                <a:ext cx="4962" cy="789691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64" name="Straight Connector 263"/>
              <xdr:cNvCxnSpPr>
                <a:stCxn id="260" idx="4"/>
              </xdr:cNvCxnSpPr>
            </xdr:nvCxnSpPr>
            <xdr:spPr>
              <a:xfrm>
                <a:off x="6888897" y="40098333"/>
                <a:ext cx="2048915" cy="1695126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87" name="Oval 286"/>
            <xdr:cNvSpPr/>
          </xdr:nvSpPr>
          <xdr:spPr>
            <a:xfrm>
              <a:off x="6221506" y="48756477"/>
              <a:ext cx="1336171" cy="62288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Umur</a:t>
              </a:r>
              <a:endParaRPr lang="id-ID" sz="1100"/>
            </a:p>
          </xdr:txBody>
        </xdr:sp>
        <xdr:sp macro="" textlink="">
          <xdr:nvSpPr>
            <xdr:cNvPr id="288" name="Oval 287"/>
            <xdr:cNvSpPr/>
          </xdr:nvSpPr>
          <xdr:spPr>
            <a:xfrm>
              <a:off x="4948518" y="49787418"/>
              <a:ext cx="1336171" cy="62288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  <a:endParaRPr lang="id-ID" sz="1100"/>
            </a:p>
          </xdr:txBody>
        </xdr:sp>
        <xdr:sp macro="" textlink="">
          <xdr:nvSpPr>
            <xdr:cNvPr id="289" name="Oval 288"/>
            <xdr:cNvSpPr/>
          </xdr:nvSpPr>
          <xdr:spPr>
            <a:xfrm>
              <a:off x="6795247" y="49787418"/>
              <a:ext cx="1336171" cy="62288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2</a:t>
              </a:r>
              <a:endParaRPr lang="id-ID" sz="1100"/>
            </a:p>
          </xdr:txBody>
        </xdr:sp>
        <xdr:cxnSp macro="">
          <xdr:nvCxnSpPr>
            <xdr:cNvPr id="290" name="Straight Connector 289"/>
            <xdr:cNvCxnSpPr>
              <a:stCxn id="287" idx="4"/>
              <a:endCxn id="288" idx="0"/>
            </xdr:cNvCxnSpPr>
          </xdr:nvCxnSpPr>
          <xdr:spPr>
            <a:xfrm flipH="1">
              <a:off x="5616604" y="49379365"/>
              <a:ext cx="1272988" cy="40805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3" name="Straight Connector 292"/>
          <xdr:cNvCxnSpPr>
            <a:stCxn id="287" idx="4"/>
            <a:endCxn id="289" idx="0"/>
          </xdr:cNvCxnSpPr>
        </xdr:nvCxnSpPr>
        <xdr:spPr>
          <a:xfrm>
            <a:off x="6889592" y="49379365"/>
            <a:ext cx="573741" cy="40805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291</xdr:row>
      <xdr:rowOff>176735</xdr:rowOff>
    </xdr:from>
    <xdr:to>
      <xdr:col>16</xdr:col>
      <xdr:colOff>332123</xdr:colOff>
      <xdr:row>330</xdr:row>
      <xdr:rowOff>160940</xdr:rowOff>
    </xdr:to>
    <xdr:grpSp>
      <xdr:nvGrpSpPr>
        <xdr:cNvPr id="342" name="Group 341"/>
        <xdr:cNvGrpSpPr/>
      </xdr:nvGrpSpPr>
      <xdr:grpSpPr>
        <a:xfrm>
          <a:off x="0" y="45439535"/>
          <a:ext cx="10314323" cy="5927805"/>
          <a:chOff x="0" y="52548547"/>
          <a:chExt cx="10282947" cy="6976675"/>
        </a:xfrm>
      </xdr:grpSpPr>
      <xdr:grpSp>
        <xdr:nvGrpSpPr>
          <xdr:cNvPr id="335" name="Group 334"/>
          <xdr:cNvGrpSpPr/>
        </xdr:nvGrpSpPr>
        <xdr:grpSpPr>
          <a:xfrm>
            <a:off x="0" y="52548547"/>
            <a:ext cx="9041121" cy="6759422"/>
            <a:chOff x="0" y="52548547"/>
            <a:chExt cx="9041121" cy="6759422"/>
          </a:xfrm>
        </xdr:grpSpPr>
        <xdr:grpSp>
          <xdr:nvGrpSpPr>
            <xdr:cNvPr id="297" name="Group 296"/>
            <xdr:cNvGrpSpPr/>
          </xdr:nvGrpSpPr>
          <xdr:grpSpPr>
            <a:xfrm>
              <a:off x="0" y="52548547"/>
              <a:ext cx="9041121" cy="6759422"/>
              <a:chOff x="0" y="44525136"/>
              <a:chExt cx="9041121" cy="6768387"/>
            </a:xfrm>
          </xdr:grpSpPr>
          <xdr:grpSp>
            <xdr:nvGrpSpPr>
              <xdr:cNvPr id="298" name="Group 297"/>
              <xdr:cNvGrpSpPr/>
            </xdr:nvGrpSpPr>
            <xdr:grpSpPr>
              <a:xfrm>
                <a:off x="0" y="44525136"/>
                <a:ext cx="9041121" cy="6768387"/>
                <a:chOff x="0" y="36609300"/>
                <a:chExt cx="9041121" cy="6777352"/>
              </a:xfrm>
            </xdr:grpSpPr>
            <xdr:grpSp>
              <xdr:nvGrpSpPr>
                <xdr:cNvPr id="303" name="Group 302"/>
                <xdr:cNvGrpSpPr/>
              </xdr:nvGrpSpPr>
              <xdr:grpSpPr>
                <a:xfrm>
                  <a:off x="0" y="36609300"/>
                  <a:ext cx="6888898" cy="6777352"/>
                  <a:chOff x="0" y="28585888"/>
                  <a:chExt cx="6888898" cy="6786316"/>
                </a:xfrm>
              </xdr:grpSpPr>
              <xdr:grpSp>
                <xdr:nvGrpSpPr>
                  <xdr:cNvPr id="309" name="Group 308"/>
                  <xdr:cNvGrpSpPr/>
                </xdr:nvGrpSpPr>
                <xdr:grpSpPr>
                  <a:xfrm>
                    <a:off x="0" y="28585888"/>
                    <a:ext cx="6888898" cy="5439685"/>
                    <a:chOff x="0" y="19110195"/>
                    <a:chExt cx="6888898" cy="5439685"/>
                  </a:xfrm>
                </xdr:grpSpPr>
                <xdr:sp macro="" textlink="">
                  <xdr:nvSpPr>
                    <xdr:cNvPr id="315" name="Oval 314"/>
                    <xdr:cNvSpPr/>
                  </xdr:nvSpPr>
                  <xdr:spPr>
                    <a:xfrm>
                      <a:off x="636495" y="22523824"/>
                      <a:ext cx="1334780" cy="62756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100"/>
                        <a:t>T. Darah</a:t>
                      </a:r>
                    </a:p>
                  </xdr:txBody>
                </xdr:sp>
                <xdr:grpSp>
                  <xdr:nvGrpSpPr>
                    <xdr:cNvPr id="316" name="Group 315"/>
                    <xdr:cNvGrpSpPr/>
                  </xdr:nvGrpSpPr>
                  <xdr:grpSpPr>
                    <a:xfrm>
                      <a:off x="1303885" y="19110195"/>
                      <a:ext cx="5585013" cy="3413628"/>
                      <a:chOff x="1303004" y="19626943"/>
                      <a:chExt cx="5579199" cy="3524656"/>
                    </a:xfrm>
                  </xdr:grpSpPr>
                  <xdr:sp macro="" textlink="">
                    <xdr:nvSpPr>
                      <xdr:cNvPr id="322" name="Oval 321"/>
                      <xdr:cNvSpPr/>
                    </xdr:nvSpPr>
                    <xdr:spPr>
                      <a:xfrm>
                        <a:off x="4652043" y="21542829"/>
                        <a:ext cx="1334780" cy="644851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...</a:t>
                        </a:r>
                        <a:endParaRPr lang="id-ID" sz="1100"/>
                      </a:p>
                    </xdr:txBody>
                  </xdr:sp>
                  <xdr:grpSp>
                    <xdr:nvGrpSpPr>
                      <xdr:cNvPr id="323" name="Group 322"/>
                      <xdr:cNvGrpSpPr/>
                    </xdr:nvGrpSpPr>
                    <xdr:grpSpPr>
                      <a:xfrm>
                        <a:off x="1303004" y="19626943"/>
                        <a:ext cx="5579199" cy="3524656"/>
                        <a:chOff x="1760204" y="13454743"/>
                        <a:chExt cx="5579199" cy="3524656"/>
                      </a:xfrm>
                    </xdr:grpSpPr>
                    <xdr:grpSp>
                      <xdr:nvGrpSpPr>
                        <xdr:cNvPr id="324" name="Group 323"/>
                        <xdr:cNvGrpSpPr/>
                      </xdr:nvGrpSpPr>
                      <xdr:grpSpPr>
                        <a:xfrm>
                          <a:off x="2728632" y="13454743"/>
                          <a:ext cx="2830286" cy="1992086"/>
                          <a:chOff x="2631904" y="8425388"/>
                          <a:chExt cx="2762941" cy="1977941"/>
                        </a:xfrm>
                      </xdr:grpSpPr>
                      <xdr:sp macro="" textlink="">
                        <xdr:nvSpPr>
                          <xdr:cNvPr id="328" name="Oval 327"/>
                          <xdr:cNvSpPr/>
                        </xdr:nvSpPr>
                        <xdr:spPr>
                          <a:xfrm>
                            <a:off x="3437729" y="8425388"/>
                            <a:ext cx="1303020" cy="640272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BMI</a:t>
                            </a:r>
                            <a:endParaRPr lang="id-ID" sz="1100"/>
                          </a:p>
                        </xdr:txBody>
                      </xdr:sp>
                      <xdr:cxnSp macro="">
                        <xdr:nvCxnSpPr>
                          <xdr:cNvPr id="329" name="Straight Connector 328"/>
                          <xdr:cNvCxnSpPr>
                            <a:stCxn id="328" idx="4"/>
                            <a:endCxn id="325" idx="0"/>
                          </xdr:cNvCxnSpPr>
                        </xdr:nvCxnSpPr>
                        <xdr:spPr>
                          <a:xfrm flipH="1">
                            <a:off x="2631904" y="9065660"/>
                            <a:ext cx="1457334" cy="1337669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0" name="Straight Connector 329"/>
                          <xdr:cNvCxnSpPr>
                            <a:stCxn id="328" idx="4"/>
                          </xdr:cNvCxnSpPr>
                        </xdr:nvCxnSpPr>
                        <xdr:spPr>
                          <a:xfrm>
                            <a:off x="4089238" y="9065660"/>
                            <a:ext cx="1305607" cy="1283627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325" name="Oval 324"/>
                        <xdr:cNvSpPr/>
                      </xdr:nvSpPr>
                      <xdr:spPr>
                        <a:xfrm>
                          <a:off x="2061242" y="15446829"/>
                          <a:ext cx="1334780" cy="644851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100"/>
                            <a:t>L. Perut</a:t>
                          </a:r>
                        </a:p>
                      </xdr:txBody>
                    </xdr:sp>
                    <xdr:cxnSp macro="">
                      <xdr:nvCxnSpPr>
                        <xdr:cNvPr id="326" name="Straight Connector 325"/>
                        <xdr:cNvCxnSpPr>
                          <a:stCxn id="325" idx="4"/>
                          <a:endCxn id="315" idx="0"/>
                        </xdr:cNvCxnSpPr>
                      </xdr:nvCxnSpPr>
                      <xdr:spPr>
                        <a:xfrm flipH="1">
                          <a:off x="1760204" y="16091680"/>
                          <a:ext cx="968429" cy="887719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27" name="Straight Connector 326"/>
                        <xdr:cNvCxnSpPr>
                          <a:stCxn id="325" idx="4"/>
                          <a:endCxn id="304" idx="0"/>
                        </xdr:cNvCxnSpPr>
                      </xdr:nvCxnSpPr>
                      <xdr:spPr>
                        <a:xfrm>
                          <a:off x="2728633" y="16091680"/>
                          <a:ext cx="4610770" cy="322368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</xdr:grpSp>
                <xdr:cxnSp macro="">
                  <xdr:nvCxnSpPr>
                    <xdr:cNvPr id="317" name="Straight Connector 316"/>
                    <xdr:cNvCxnSpPr>
                      <a:stCxn id="315" idx="4"/>
                      <a:endCxn id="318" idx="0"/>
                    </xdr:cNvCxnSpPr>
                  </xdr:nvCxnSpPr>
                  <xdr:spPr>
                    <a:xfrm flipH="1">
                      <a:off x="668086" y="23151386"/>
                      <a:ext cx="635799" cy="772856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318" name="Oval 317"/>
                    <xdr:cNvSpPr/>
                  </xdr:nvSpPr>
                  <xdr:spPr>
                    <a:xfrm>
                      <a:off x="0" y="23924242"/>
                      <a:ext cx="1336171" cy="624538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1</a:t>
                      </a:r>
                      <a:endParaRPr lang="id-ID" sz="1100"/>
                    </a:p>
                  </xdr:txBody>
                </xdr:sp>
                <xdr:sp macro="" textlink="">
                  <xdr:nvSpPr>
                    <xdr:cNvPr id="319" name="Oval 318"/>
                    <xdr:cNvSpPr/>
                  </xdr:nvSpPr>
                  <xdr:spPr>
                    <a:xfrm>
                      <a:off x="1425389" y="23922318"/>
                      <a:ext cx="1334780" cy="62756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100"/>
                        <a:t>2</a:t>
                      </a:r>
                    </a:p>
                  </xdr:txBody>
                </xdr:sp>
                <xdr:cxnSp macro="">
                  <xdr:nvCxnSpPr>
                    <xdr:cNvPr id="320" name="Straight Connector 319"/>
                    <xdr:cNvCxnSpPr>
                      <a:stCxn id="315" idx="4"/>
                      <a:endCxn id="319" idx="0"/>
                    </xdr:cNvCxnSpPr>
                  </xdr:nvCxnSpPr>
                  <xdr:spPr>
                    <a:xfrm>
                      <a:off x="1303885" y="23151386"/>
                      <a:ext cx="788894" cy="770932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1" name="Straight Connector 320"/>
                    <xdr:cNvCxnSpPr>
                      <a:stCxn id="315" idx="4"/>
                    </xdr:cNvCxnSpPr>
                  </xdr:nvCxnSpPr>
                  <xdr:spPr>
                    <a:xfrm>
                      <a:off x="1303885" y="23151386"/>
                      <a:ext cx="2748162" cy="882990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310" name="Oval 309"/>
                  <xdr:cNvSpPr/>
                </xdr:nvSpPr>
                <xdr:spPr>
                  <a:xfrm>
                    <a:off x="3379694" y="33480618"/>
                    <a:ext cx="1334780" cy="62756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100"/>
                      <a:t>Umur</a:t>
                    </a:r>
                  </a:p>
                </xdr:txBody>
              </xdr:sp>
              <xdr:cxnSp macro="">
                <xdr:nvCxnSpPr>
                  <xdr:cNvPr id="311" name="Straight Connector 310"/>
                  <xdr:cNvCxnSpPr>
                    <a:stCxn id="310" idx="4"/>
                  </xdr:cNvCxnSpPr>
                </xdr:nvCxnSpPr>
                <xdr:spPr>
                  <a:xfrm flipH="1">
                    <a:off x="3182471" y="34108180"/>
                    <a:ext cx="864613" cy="647985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312" name="Oval 311"/>
                  <xdr:cNvSpPr/>
                </xdr:nvSpPr>
                <xdr:spPr>
                  <a:xfrm>
                    <a:off x="2510117" y="34744642"/>
                    <a:ext cx="1334780" cy="62756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100"/>
                      <a:t>1</a:t>
                    </a:r>
                  </a:p>
                </xdr:txBody>
              </xdr:sp>
              <xdr:cxnSp macro="">
                <xdr:nvCxnSpPr>
                  <xdr:cNvPr id="313" name="Straight Connector 312"/>
                  <xdr:cNvCxnSpPr>
                    <a:stCxn id="310" idx="4"/>
                  </xdr:cNvCxnSpPr>
                </xdr:nvCxnSpPr>
                <xdr:spPr>
                  <a:xfrm>
                    <a:off x="4047084" y="34108180"/>
                    <a:ext cx="1331740" cy="674879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314" name="Oval 313"/>
                  <xdr:cNvSpPr/>
                </xdr:nvSpPr>
                <xdr:spPr>
                  <a:xfrm>
                    <a:off x="4643717" y="34744642"/>
                    <a:ext cx="1334780" cy="62756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100"/>
                      <a:t>2</a:t>
                    </a:r>
                  </a:p>
                </xdr:txBody>
              </xdr:sp>
            </xdr:grpSp>
            <xdr:sp macro="" textlink="">
              <xdr:nvSpPr>
                <xdr:cNvPr id="304" name="Oval 303"/>
                <xdr:cNvSpPr/>
              </xdr:nvSpPr>
              <xdr:spPr>
                <a:xfrm>
                  <a:off x="6221507" y="39471600"/>
                  <a:ext cx="1334780" cy="626733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100"/>
                    <a:t>T. Darah</a:t>
                  </a:r>
                </a:p>
              </xdr:txBody>
            </xdr:sp>
            <xdr:cxnSp macro="">
              <xdr:nvCxnSpPr>
                <xdr:cNvPr id="305" name="Straight Connector 304"/>
                <xdr:cNvCxnSpPr>
                  <a:stCxn id="304" idx="4"/>
                </xdr:cNvCxnSpPr>
              </xdr:nvCxnSpPr>
              <xdr:spPr>
                <a:xfrm flipH="1">
                  <a:off x="6185647" y="40098333"/>
                  <a:ext cx="703250" cy="260773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06" name="Oval 305"/>
                <xdr:cNvSpPr/>
              </xdr:nvSpPr>
              <xdr:spPr>
                <a:xfrm>
                  <a:off x="5262283" y="40332212"/>
                  <a:ext cx="1336171" cy="623713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1</a:t>
                  </a:r>
                  <a:endParaRPr lang="id-ID" sz="1100"/>
                </a:p>
              </xdr:txBody>
            </xdr:sp>
            <xdr:cxnSp macro="">
              <xdr:nvCxnSpPr>
                <xdr:cNvPr id="307" name="Straight Connector 306"/>
                <xdr:cNvCxnSpPr>
                  <a:stCxn id="304" idx="4"/>
                </xdr:cNvCxnSpPr>
              </xdr:nvCxnSpPr>
              <xdr:spPr>
                <a:xfrm>
                  <a:off x="6888897" y="40098333"/>
                  <a:ext cx="4962" cy="789691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8" name="Straight Connector 307"/>
                <xdr:cNvCxnSpPr>
                  <a:stCxn id="304" idx="4"/>
                  <a:endCxn id="336" idx="0"/>
                </xdr:cNvCxnSpPr>
              </xdr:nvCxnSpPr>
              <xdr:spPr>
                <a:xfrm>
                  <a:off x="6888897" y="40098334"/>
                  <a:ext cx="2152224" cy="1850128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99" name="Oval 298"/>
              <xdr:cNvSpPr/>
            </xdr:nvSpPr>
            <xdr:spPr>
              <a:xfrm>
                <a:off x="6221506" y="48756477"/>
                <a:ext cx="1336171" cy="622888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Umur</a:t>
                </a:r>
                <a:endParaRPr lang="id-ID" sz="1100"/>
              </a:p>
            </xdr:txBody>
          </xdr:sp>
          <xdr:sp macro="" textlink="">
            <xdr:nvSpPr>
              <xdr:cNvPr id="300" name="Oval 299"/>
              <xdr:cNvSpPr/>
            </xdr:nvSpPr>
            <xdr:spPr>
              <a:xfrm>
                <a:off x="4948518" y="49787418"/>
                <a:ext cx="1336171" cy="622888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1</a:t>
                </a:r>
                <a:endParaRPr lang="id-ID" sz="1100"/>
              </a:p>
            </xdr:txBody>
          </xdr:sp>
          <xdr:sp macro="" textlink="">
            <xdr:nvSpPr>
              <xdr:cNvPr id="301" name="Oval 300"/>
              <xdr:cNvSpPr/>
            </xdr:nvSpPr>
            <xdr:spPr>
              <a:xfrm>
                <a:off x="6795247" y="49787418"/>
                <a:ext cx="1336171" cy="622888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2</a:t>
                </a:r>
                <a:endParaRPr lang="id-ID" sz="1100"/>
              </a:p>
            </xdr:txBody>
          </xdr:sp>
          <xdr:cxnSp macro="">
            <xdr:nvCxnSpPr>
              <xdr:cNvPr id="302" name="Straight Connector 301"/>
              <xdr:cNvCxnSpPr>
                <a:stCxn id="299" idx="4"/>
                <a:endCxn id="300" idx="0"/>
              </xdr:cNvCxnSpPr>
            </xdr:nvCxnSpPr>
            <xdr:spPr>
              <a:xfrm flipH="1">
                <a:off x="5616604" y="49379365"/>
                <a:ext cx="1272988" cy="408053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32" name="Straight Connector 331"/>
            <xdr:cNvCxnSpPr>
              <a:stCxn id="299" idx="4"/>
              <a:endCxn id="301" idx="0"/>
            </xdr:cNvCxnSpPr>
          </xdr:nvCxnSpPr>
          <xdr:spPr>
            <a:xfrm>
              <a:off x="6889592" y="57393811"/>
              <a:ext cx="573741" cy="40805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336" name="Oval 335"/>
          <xdr:cNvSpPr/>
        </xdr:nvSpPr>
        <xdr:spPr>
          <a:xfrm>
            <a:off x="8373035" y="57873583"/>
            <a:ext cx="1336171" cy="62206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Umur</a:t>
            </a:r>
            <a:endParaRPr lang="id-ID" sz="1100"/>
          </a:p>
        </xdr:txBody>
      </xdr:sp>
      <xdr:sp macro="" textlink="">
        <xdr:nvSpPr>
          <xdr:cNvPr id="337" name="Oval 336"/>
          <xdr:cNvSpPr/>
        </xdr:nvSpPr>
        <xdr:spPr>
          <a:xfrm>
            <a:off x="7100047" y="58903159"/>
            <a:ext cx="1336171" cy="62206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2</a:t>
            </a:r>
            <a:endParaRPr lang="id-ID" sz="1100"/>
          </a:p>
        </xdr:txBody>
      </xdr:sp>
      <xdr:sp macro="" textlink="">
        <xdr:nvSpPr>
          <xdr:cNvPr id="338" name="Oval 337"/>
          <xdr:cNvSpPr/>
        </xdr:nvSpPr>
        <xdr:spPr>
          <a:xfrm>
            <a:off x="8946776" y="58903159"/>
            <a:ext cx="1336171" cy="62206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3</a:t>
            </a:r>
            <a:endParaRPr lang="id-ID" sz="1100"/>
          </a:p>
        </xdr:txBody>
      </xdr:sp>
      <xdr:cxnSp macro="">
        <xdr:nvCxnSpPr>
          <xdr:cNvPr id="339" name="Straight Connector 338"/>
          <xdr:cNvCxnSpPr>
            <a:stCxn id="336" idx="4"/>
            <a:endCxn id="337" idx="0"/>
          </xdr:cNvCxnSpPr>
        </xdr:nvCxnSpPr>
        <xdr:spPr>
          <a:xfrm flipH="1">
            <a:off x="7768133" y="58495646"/>
            <a:ext cx="1272988" cy="40751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0" name="Straight Connector 339"/>
          <xdr:cNvCxnSpPr>
            <a:stCxn id="336" idx="4"/>
            <a:endCxn id="338" idx="0"/>
          </xdr:cNvCxnSpPr>
        </xdr:nvCxnSpPr>
        <xdr:spPr>
          <a:xfrm>
            <a:off x="9041121" y="58493111"/>
            <a:ext cx="573741" cy="40805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333</xdr:row>
      <xdr:rowOff>0</xdr:rowOff>
    </xdr:from>
    <xdr:to>
      <xdr:col>43</xdr:col>
      <xdr:colOff>468085</xdr:colOff>
      <xdr:row>333</xdr:row>
      <xdr:rowOff>87083</xdr:rowOff>
    </xdr:to>
    <xdr:cxnSp macro="">
      <xdr:nvCxnSpPr>
        <xdr:cNvPr id="413" name="Straight Connector 412"/>
        <xdr:cNvCxnSpPr/>
      </xdr:nvCxnSpPr>
      <xdr:spPr>
        <a:xfrm flipV="1">
          <a:off x="0" y="59902165"/>
          <a:ext cx="26905003" cy="87083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206188</xdr:colOff>
      <xdr:row>338</xdr:row>
      <xdr:rowOff>152392</xdr:rowOff>
    </xdr:from>
    <xdr:to>
      <xdr:col>23</xdr:col>
      <xdr:colOff>412806</xdr:colOff>
      <xdr:row>380</xdr:row>
      <xdr:rowOff>130994</xdr:rowOff>
    </xdr:to>
    <xdr:grpSp>
      <xdr:nvGrpSpPr>
        <xdr:cNvPr id="431" name="Group 430"/>
        <xdr:cNvGrpSpPr/>
      </xdr:nvGrpSpPr>
      <xdr:grpSpPr>
        <a:xfrm>
          <a:off x="2796988" y="52577992"/>
          <a:ext cx="11865218" cy="6379402"/>
          <a:chOff x="2770094" y="60951027"/>
          <a:chExt cx="11887630" cy="7508955"/>
        </a:xfrm>
      </xdr:grpSpPr>
      <xdr:grpSp>
        <xdr:nvGrpSpPr>
          <xdr:cNvPr id="343" name="Group 342"/>
          <xdr:cNvGrpSpPr/>
        </xdr:nvGrpSpPr>
        <xdr:grpSpPr>
          <a:xfrm>
            <a:off x="2770094" y="60951027"/>
            <a:ext cx="10408452" cy="7508955"/>
            <a:chOff x="-4213411" y="52548538"/>
            <a:chExt cx="10408452" cy="7508955"/>
          </a:xfrm>
        </xdr:grpSpPr>
        <xdr:grpSp>
          <xdr:nvGrpSpPr>
            <xdr:cNvPr id="344" name="Group 343"/>
            <xdr:cNvGrpSpPr/>
          </xdr:nvGrpSpPr>
          <xdr:grpSpPr>
            <a:xfrm>
              <a:off x="-4213411" y="52548538"/>
              <a:ext cx="10205996" cy="7508955"/>
              <a:chOff x="-4213411" y="52548538"/>
              <a:chExt cx="10205996" cy="7508955"/>
            </a:xfrm>
          </xdr:grpSpPr>
          <xdr:grpSp>
            <xdr:nvGrpSpPr>
              <xdr:cNvPr id="350" name="Group 349"/>
              <xdr:cNvGrpSpPr/>
            </xdr:nvGrpSpPr>
            <xdr:grpSpPr>
              <a:xfrm>
                <a:off x="-4213411" y="52548538"/>
                <a:ext cx="10205996" cy="7508955"/>
                <a:chOff x="-4213411" y="44525132"/>
                <a:chExt cx="10205996" cy="7518915"/>
              </a:xfrm>
            </xdr:grpSpPr>
            <xdr:grpSp>
              <xdr:nvGrpSpPr>
                <xdr:cNvPr id="352" name="Group 351"/>
                <xdr:cNvGrpSpPr/>
              </xdr:nvGrpSpPr>
              <xdr:grpSpPr>
                <a:xfrm>
                  <a:off x="-4213411" y="44525132"/>
                  <a:ext cx="10205996" cy="6651688"/>
                  <a:chOff x="-4213411" y="36609299"/>
                  <a:chExt cx="10205996" cy="6660499"/>
                </a:xfrm>
              </xdr:grpSpPr>
              <xdr:grpSp>
                <xdr:nvGrpSpPr>
                  <xdr:cNvPr id="357" name="Group 356"/>
                  <xdr:cNvGrpSpPr/>
                </xdr:nvGrpSpPr>
                <xdr:grpSpPr>
                  <a:xfrm>
                    <a:off x="-4213411" y="36609299"/>
                    <a:ext cx="10205996" cy="6660499"/>
                    <a:chOff x="-4213411" y="28585889"/>
                    <a:chExt cx="10205996" cy="6669309"/>
                  </a:xfrm>
                </xdr:grpSpPr>
                <xdr:grpSp>
                  <xdr:nvGrpSpPr>
                    <xdr:cNvPr id="363" name="Group 362"/>
                    <xdr:cNvGrpSpPr/>
                  </xdr:nvGrpSpPr>
                  <xdr:grpSpPr>
                    <a:xfrm>
                      <a:off x="-4213411" y="28585889"/>
                      <a:ext cx="10205996" cy="5610691"/>
                      <a:chOff x="-4213411" y="19110196"/>
                      <a:chExt cx="10205996" cy="5610691"/>
                    </a:xfrm>
                  </xdr:grpSpPr>
                  <xdr:sp macro="" textlink="">
                    <xdr:nvSpPr>
                      <xdr:cNvPr id="369" name="Oval 368"/>
                      <xdr:cNvSpPr/>
                    </xdr:nvSpPr>
                    <xdr:spPr>
                      <a:xfrm>
                        <a:off x="-2581835" y="22721833"/>
                        <a:ext cx="1334780" cy="62756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100"/>
                          <a:t>T. Darah</a:t>
                        </a:r>
                      </a:p>
                    </xdr:txBody>
                  </xdr:sp>
                  <xdr:grpSp>
                    <xdr:nvGrpSpPr>
                      <xdr:cNvPr id="370" name="Group 369"/>
                      <xdr:cNvGrpSpPr/>
                    </xdr:nvGrpSpPr>
                    <xdr:grpSpPr>
                      <a:xfrm>
                        <a:off x="-1914445" y="19110196"/>
                        <a:ext cx="7907030" cy="3611638"/>
                        <a:chOff x="-1911976" y="19626943"/>
                        <a:chExt cx="7898799" cy="3729106"/>
                      </a:xfrm>
                    </xdr:grpSpPr>
                    <xdr:sp macro="" textlink="">
                      <xdr:nvSpPr>
                        <xdr:cNvPr id="376" name="Oval 375"/>
                        <xdr:cNvSpPr/>
                      </xdr:nvSpPr>
                      <xdr:spPr>
                        <a:xfrm>
                          <a:off x="4652043" y="21542829"/>
                          <a:ext cx="1334780" cy="644851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T. Darah</a:t>
                          </a:r>
                          <a:endParaRPr lang="id-ID" sz="1100"/>
                        </a:p>
                      </xdr:txBody>
                    </xdr:sp>
                    <xdr:grpSp>
                      <xdr:nvGrpSpPr>
                        <xdr:cNvPr id="377" name="Group 376"/>
                        <xdr:cNvGrpSpPr/>
                      </xdr:nvGrpSpPr>
                      <xdr:grpSpPr>
                        <a:xfrm>
                          <a:off x="-1911976" y="19626943"/>
                          <a:ext cx="7013694" cy="3729106"/>
                          <a:chOff x="-1454776" y="13454743"/>
                          <a:chExt cx="7013694" cy="3729106"/>
                        </a:xfrm>
                      </xdr:grpSpPr>
                      <xdr:grpSp>
                        <xdr:nvGrpSpPr>
                          <xdr:cNvPr id="378" name="Group 377"/>
                          <xdr:cNvGrpSpPr/>
                        </xdr:nvGrpSpPr>
                        <xdr:grpSpPr>
                          <a:xfrm>
                            <a:off x="2728632" y="13454743"/>
                            <a:ext cx="2830286" cy="1992086"/>
                            <a:chOff x="2631904" y="8425388"/>
                            <a:chExt cx="2762941" cy="1977941"/>
                          </a:xfrm>
                        </xdr:grpSpPr>
                        <xdr:sp macro="" textlink="">
                          <xdr:nvSpPr>
                            <xdr:cNvPr id="382" name="Oval 381"/>
                            <xdr:cNvSpPr/>
                          </xdr:nvSpPr>
                          <xdr:spPr>
                            <a:xfrm>
                              <a:off x="3437729" y="8425388"/>
                              <a:ext cx="1303020" cy="640272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id-ID" sz="1400"/>
                                <a:t>BMI</a:t>
                              </a:r>
                              <a:endParaRPr lang="id-ID" sz="1100"/>
                            </a:p>
                          </xdr:txBody>
                        </xdr:sp>
                        <xdr:cxnSp macro="">
                          <xdr:nvCxnSpPr>
                            <xdr:cNvPr id="383" name="Straight Connector 382"/>
                            <xdr:cNvCxnSpPr>
                              <a:stCxn id="382" idx="4"/>
                              <a:endCxn id="379" idx="0"/>
                            </xdr:cNvCxnSpPr>
                          </xdr:nvCxnSpPr>
                          <xdr:spPr>
                            <a:xfrm flipH="1">
                              <a:off x="2631904" y="9065660"/>
                              <a:ext cx="1457334" cy="1337669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384" name="Straight Connector 383"/>
                            <xdr:cNvCxnSpPr>
                              <a:stCxn id="382" idx="4"/>
                            </xdr:cNvCxnSpPr>
                          </xdr:nvCxnSpPr>
                          <xdr:spPr>
                            <a:xfrm>
                              <a:off x="4089238" y="9065660"/>
                              <a:ext cx="1305607" cy="1283627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379" name="Oval 378"/>
                          <xdr:cNvSpPr/>
                        </xdr:nvSpPr>
                        <xdr:spPr>
                          <a:xfrm>
                            <a:off x="2061242" y="15446829"/>
                            <a:ext cx="1334780" cy="644851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100"/>
                              <a:t>L. Perut</a:t>
                            </a:r>
                          </a:p>
                        </xdr:txBody>
                      </xdr:sp>
                      <xdr:cxnSp macro="">
                        <xdr:nvCxnSpPr>
                          <xdr:cNvPr id="380" name="Straight Connector 379"/>
                          <xdr:cNvCxnSpPr>
                            <a:stCxn id="379" idx="4"/>
                            <a:endCxn id="369" idx="0"/>
                          </xdr:cNvCxnSpPr>
                        </xdr:nvCxnSpPr>
                        <xdr:spPr>
                          <a:xfrm flipH="1">
                            <a:off x="-1454776" y="16091680"/>
                            <a:ext cx="4183409" cy="1092169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81" name="Straight Connector 380"/>
                          <xdr:cNvCxnSpPr>
                            <a:stCxn id="379" idx="4"/>
                            <a:endCxn id="358" idx="0"/>
                          </xdr:cNvCxnSpPr>
                        </xdr:nvCxnSpPr>
                        <xdr:spPr>
                          <a:xfrm>
                            <a:off x="2728633" y="16091680"/>
                            <a:ext cx="52484" cy="1065816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</xdr:grpSp>
                  <xdr:cxnSp macro="">
                    <xdr:nvCxnSpPr>
                      <xdr:cNvPr id="371" name="Straight Connector 370"/>
                      <xdr:cNvCxnSpPr>
                        <a:stCxn id="369" idx="4"/>
                        <a:endCxn id="372" idx="0"/>
                      </xdr:cNvCxnSpPr>
                    </xdr:nvCxnSpPr>
                    <xdr:spPr>
                      <a:xfrm flipH="1">
                        <a:off x="-3545325" y="23349395"/>
                        <a:ext cx="1630880" cy="700851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72" name="Oval 371"/>
                      <xdr:cNvSpPr/>
                    </xdr:nvSpPr>
                    <xdr:spPr>
                      <a:xfrm>
                        <a:off x="-4213411" y="24050246"/>
                        <a:ext cx="1336171" cy="624538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1</a:t>
                        </a:r>
                        <a:endParaRPr lang="id-ID" sz="1100"/>
                      </a:p>
                    </xdr:txBody>
                  </xdr:sp>
                  <xdr:sp macro="" textlink="">
                    <xdr:nvSpPr>
                      <xdr:cNvPr id="373" name="Oval 372"/>
                      <xdr:cNvSpPr/>
                    </xdr:nvSpPr>
                    <xdr:spPr>
                      <a:xfrm>
                        <a:off x="-2563904" y="24093325"/>
                        <a:ext cx="1334780" cy="62756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100"/>
                          <a:t>2</a:t>
                        </a:r>
                      </a:p>
                    </xdr:txBody>
                  </xdr:sp>
                  <xdr:cxnSp macro="">
                    <xdr:nvCxnSpPr>
                      <xdr:cNvPr id="374" name="Straight Connector 373"/>
                      <xdr:cNvCxnSpPr>
                        <a:stCxn id="369" idx="4"/>
                        <a:endCxn id="373" idx="0"/>
                      </xdr:cNvCxnSpPr>
                    </xdr:nvCxnSpPr>
                    <xdr:spPr>
                      <a:xfrm>
                        <a:off x="-1914445" y="23349395"/>
                        <a:ext cx="17931" cy="743930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375" name="Straight Connector 374"/>
                      <xdr:cNvCxnSpPr>
                        <a:stCxn id="369" idx="4"/>
                        <a:endCxn id="364" idx="0"/>
                      </xdr:cNvCxnSpPr>
                    </xdr:nvCxnSpPr>
                    <xdr:spPr>
                      <a:xfrm>
                        <a:off x="-1914445" y="23349395"/>
                        <a:ext cx="1568823" cy="682531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364" name="Oval 363"/>
                    <xdr:cNvSpPr/>
                  </xdr:nvSpPr>
                  <xdr:spPr>
                    <a:xfrm>
                      <a:off x="-1013012" y="33507619"/>
                      <a:ext cx="1334780" cy="62756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100"/>
                        <a:t>Umur</a:t>
                      </a:r>
                    </a:p>
                  </xdr:txBody>
                </xdr:sp>
                <xdr:cxnSp macro="">
                  <xdr:nvCxnSpPr>
                    <xdr:cNvPr id="365" name="Straight Connector 364"/>
                    <xdr:cNvCxnSpPr>
                      <a:stCxn id="364" idx="4"/>
                      <a:endCxn id="366" idx="0"/>
                    </xdr:cNvCxnSpPr>
                  </xdr:nvCxnSpPr>
                  <xdr:spPr>
                    <a:xfrm flipH="1">
                      <a:off x="-1277952" y="34135181"/>
                      <a:ext cx="932330" cy="492455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366" name="Oval 365"/>
                    <xdr:cNvSpPr/>
                  </xdr:nvSpPr>
                  <xdr:spPr>
                    <a:xfrm>
                      <a:off x="-1945342" y="34627636"/>
                      <a:ext cx="1334780" cy="62756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100"/>
                        <a:t>1</a:t>
                      </a:r>
                    </a:p>
                  </xdr:txBody>
                </xdr:sp>
                <xdr:cxnSp macro="">
                  <xdr:nvCxnSpPr>
                    <xdr:cNvPr id="367" name="Straight Connector 366"/>
                    <xdr:cNvCxnSpPr>
                      <a:stCxn id="364" idx="4"/>
                      <a:endCxn id="368" idx="0"/>
                    </xdr:cNvCxnSpPr>
                  </xdr:nvCxnSpPr>
                  <xdr:spPr>
                    <a:xfrm>
                      <a:off x="-345622" y="34135182"/>
                      <a:ext cx="860611" cy="483455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368" name="Oval 367"/>
                    <xdr:cNvSpPr/>
                  </xdr:nvSpPr>
                  <xdr:spPr>
                    <a:xfrm>
                      <a:off x="-152401" y="34618636"/>
                      <a:ext cx="1334780" cy="62756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100"/>
                        <a:t>2</a:t>
                      </a:r>
                    </a:p>
                  </xdr:txBody>
                </xdr:sp>
              </xdr:grpSp>
              <xdr:sp macro="" textlink="">
                <xdr:nvSpPr>
                  <xdr:cNvPr id="358" name="Oval 357"/>
                  <xdr:cNvSpPr/>
                </xdr:nvSpPr>
                <xdr:spPr>
                  <a:xfrm>
                    <a:off x="1658472" y="40190678"/>
                    <a:ext cx="1334780" cy="626733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100"/>
                      <a:t>T. Darah</a:t>
                    </a:r>
                  </a:p>
                </xdr:txBody>
              </xdr:sp>
              <xdr:cxnSp macro="">
                <xdr:nvCxnSpPr>
                  <xdr:cNvPr id="359" name="Straight Connector 358"/>
                  <xdr:cNvCxnSpPr>
                    <a:stCxn id="358" idx="4"/>
                    <a:endCxn id="360" idx="0"/>
                  </xdr:cNvCxnSpPr>
                </xdr:nvCxnSpPr>
                <xdr:spPr>
                  <a:xfrm flipH="1">
                    <a:off x="1205969" y="40817412"/>
                    <a:ext cx="1119893" cy="368707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360" name="Oval 359"/>
                  <xdr:cNvSpPr/>
                </xdr:nvSpPr>
                <xdr:spPr>
                  <a:xfrm>
                    <a:off x="537883" y="41186118"/>
                    <a:ext cx="1336171" cy="623713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1</a:t>
                    </a:r>
                    <a:endParaRPr lang="id-ID" sz="1100"/>
                  </a:p>
                </xdr:txBody>
              </xdr:sp>
              <xdr:cxnSp macro="">
                <xdr:nvCxnSpPr>
                  <xdr:cNvPr id="361" name="Straight Connector 360"/>
                  <xdr:cNvCxnSpPr>
                    <a:stCxn id="358" idx="4"/>
                    <a:endCxn id="353" idx="0"/>
                  </xdr:cNvCxnSpPr>
                </xdr:nvCxnSpPr>
                <xdr:spPr>
                  <a:xfrm>
                    <a:off x="2325862" y="40817412"/>
                    <a:ext cx="54483" cy="846789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62" name="Straight Connector 361"/>
                  <xdr:cNvCxnSpPr>
                    <a:stCxn id="358" idx="4"/>
                    <a:endCxn id="345" idx="0"/>
                  </xdr:cNvCxnSpPr>
                </xdr:nvCxnSpPr>
                <xdr:spPr>
                  <a:xfrm>
                    <a:off x="2325862" y="40817412"/>
                    <a:ext cx="1479871" cy="259175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353" name="Oval 352"/>
                <xdr:cNvSpPr/>
              </xdr:nvSpPr>
              <xdr:spPr>
                <a:xfrm>
                  <a:off x="1712259" y="49573347"/>
                  <a:ext cx="1336171" cy="622888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Umur</a:t>
                  </a:r>
                  <a:endParaRPr lang="id-ID" sz="1100"/>
                </a:p>
              </xdr:txBody>
            </xdr:sp>
            <xdr:sp macro="" textlink="">
              <xdr:nvSpPr>
                <xdr:cNvPr id="354" name="Oval 353"/>
                <xdr:cNvSpPr/>
              </xdr:nvSpPr>
              <xdr:spPr>
                <a:xfrm>
                  <a:off x="421341" y="51421159"/>
                  <a:ext cx="1336171" cy="622888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1</a:t>
                  </a:r>
                  <a:endParaRPr lang="id-ID" sz="1100"/>
                </a:p>
              </xdr:txBody>
            </xdr:sp>
            <xdr:sp macro="" textlink="">
              <xdr:nvSpPr>
                <xdr:cNvPr id="355" name="Oval 354"/>
                <xdr:cNvSpPr/>
              </xdr:nvSpPr>
              <xdr:spPr>
                <a:xfrm>
                  <a:off x="2859741" y="51376275"/>
                  <a:ext cx="1336171" cy="622888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2</a:t>
                  </a:r>
                  <a:endParaRPr lang="id-ID" sz="1100"/>
                </a:p>
              </xdr:txBody>
            </xdr:sp>
            <xdr:cxnSp macro="">
              <xdr:nvCxnSpPr>
                <xdr:cNvPr id="356" name="Straight Connector 355"/>
                <xdr:cNvCxnSpPr>
                  <a:stCxn id="353" idx="4"/>
                  <a:endCxn id="354" idx="0"/>
                </xdr:cNvCxnSpPr>
              </xdr:nvCxnSpPr>
              <xdr:spPr>
                <a:xfrm flipH="1">
                  <a:off x="1089427" y="50196235"/>
                  <a:ext cx="1290918" cy="1224924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351" name="Straight Connector 350"/>
              <xdr:cNvCxnSpPr>
                <a:stCxn id="353" idx="4"/>
                <a:endCxn id="355" idx="0"/>
              </xdr:cNvCxnSpPr>
            </xdr:nvCxnSpPr>
            <xdr:spPr>
              <a:xfrm>
                <a:off x="2380345" y="58212129"/>
                <a:ext cx="1147482" cy="1178477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45" name="Oval 344"/>
            <xdr:cNvSpPr/>
          </xdr:nvSpPr>
          <xdr:spPr>
            <a:xfrm>
              <a:off x="3137647" y="57004006"/>
              <a:ext cx="1336171" cy="622063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Umur</a:t>
              </a:r>
              <a:endParaRPr lang="id-ID" sz="1100"/>
            </a:p>
          </xdr:txBody>
        </xdr:sp>
        <xdr:sp macro="" textlink="">
          <xdr:nvSpPr>
            <xdr:cNvPr id="346" name="Oval 345"/>
            <xdr:cNvSpPr/>
          </xdr:nvSpPr>
          <xdr:spPr>
            <a:xfrm>
              <a:off x="3272117" y="58580429"/>
              <a:ext cx="1336171" cy="622063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2</a:t>
              </a:r>
              <a:endParaRPr lang="id-ID" sz="1100"/>
            </a:p>
          </xdr:txBody>
        </xdr:sp>
        <xdr:sp macro="" textlink="">
          <xdr:nvSpPr>
            <xdr:cNvPr id="347" name="Oval 346"/>
            <xdr:cNvSpPr/>
          </xdr:nvSpPr>
          <xdr:spPr>
            <a:xfrm>
              <a:off x="4858870" y="59118312"/>
              <a:ext cx="1336171" cy="622063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3</a:t>
              </a:r>
              <a:endParaRPr lang="id-ID" sz="1100"/>
            </a:p>
          </xdr:txBody>
        </xdr:sp>
        <xdr:cxnSp macro="">
          <xdr:nvCxnSpPr>
            <xdr:cNvPr id="348" name="Straight Connector 347"/>
            <xdr:cNvCxnSpPr>
              <a:stCxn id="345" idx="4"/>
              <a:endCxn id="346" idx="0"/>
            </xdr:cNvCxnSpPr>
          </xdr:nvCxnSpPr>
          <xdr:spPr>
            <a:xfrm>
              <a:off x="3805733" y="57626069"/>
              <a:ext cx="134470" cy="95436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9" name="Straight Connector 348"/>
            <xdr:cNvCxnSpPr>
              <a:stCxn id="345" idx="4"/>
              <a:endCxn id="347" idx="0"/>
            </xdr:cNvCxnSpPr>
          </xdr:nvCxnSpPr>
          <xdr:spPr>
            <a:xfrm>
              <a:off x="3805733" y="57626069"/>
              <a:ext cx="1721223" cy="149224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17" name="Straight Connector 416"/>
          <xdr:cNvCxnSpPr>
            <a:stCxn id="376" idx="4"/>
          </xdr:cNvCxnSpPr>
        </xdr:nvCxnSpPr>
        <xdr:spPr>
          <a:xfrm flipH="1">
            <a:off x="10883153" y="63421271"/>
            <a:ext cx="1424852" cy="40743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0" name="Straight Connector 419"/>
          <xdr:cNvCxnSpPr>
            <a:stCxn id="376" idx="4"/>
          </xdr:cNvCxnSpPr>
        </xdr:nvCxnSpPr>
        <xdr:spPr>
          <a:xfrm>
            <a:off x="12308005" y="63421271"/>
            <a:ext cx="536" cy="131287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25" name="Oval 424"/>
          <xdr:cNvSpPr/>
        </xdr:nvSpPr>
        <xdr:spPr>
          <a:xfrm>
            <a:off x="10210800" y="63837663"/>
            <a:ext cx="1336171" cy="62206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  <xdr:cxnSp macro="">
        <xdr:nvCxnSpPr>
          <xdr:cNvPr id="426" name="Straight Connector 425"/>
          <xdr:cNvCxnSpPr>
            <a:stCxn id="376" idx="4"/>
          </xdr:cNvCxnSpPr>
        </xdr:nvCxnSpPr>
        <xdr:spPr>
          <a:xfrm>
            <a:off x="12308005" y="63421271"/>
            <a:ext cx="1524536" cy="49708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29" name="Oval 428"/>
          <xdr:cNvSpPr/>
        </xdr:nvSpPr>
        <xdr:spPr>
          <a:xfrm>
            <a:off x="13321553" y="63900416"/>
            <a:ext cx="1336171" cy="62206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3</a:t>
            </a:r>
            <a:endParaRPr lang="id-ID" sz="1100"/>
          </a:p>
        </xdr:txBody>
      </xdr:sp>
    </xdr:grpSp>
    <xdr:clientData/>
  </xdr:twoCellAnchor>
  <xdr:twoCellAnchor>
    <xdr:from>
      <xdr:col>0</xdr:col>
      <xdr:colOff>0</xdr:colOff>
      <xdr:row>381</xdr:row>
      <xdr:rowOff>143435</xdr:rowOff>
    </xdr:from>
    <xdr:to>
      <xdr:col>43</xdr:col>
      <xdr:colOff>468085</xdr:colOff>
      <xdr:row>382</xdr:row>
      <xdr:rowOff>51224</xdr:rowOff>
    </xdr:to>
    <xdr:cxnSp macro="">
      <xdr:nvCxnSpPr>
        <xdr:cNvPr id="430" name="Straight Connector 429"/>
        <xdr:cNvCxnSpPr/>
      </xdr:nvCxnSpPr>
      <xdr:spPr>
        <a:xfrm flipV="1">
          <a:off x="0" y="68651717"/>
          <a:ext cx="26905003" cy="87083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383</xdr:row>
      <xdr:rowOff>35858</xdr:rowOff>
    </xdr:from>
    <xdr:to>
      <xdr:col>19</xdr:col>
      <xdr:colOff>108006</xdr:colOff>
      <xdr:row>425</xdr:row>
      <xdr:rowOff>14460</xdr:rowOff>
    </xdr:to>
    <xdr:grpSp>
      <xdr:nvGrpSpPr>
        <xdr:cNvPr id="489" name="Group 488"/>
        <xdr:cNvGrpSpPr/>
      </xdr:nvGrpSpPr>
      <xdr:grpSpPr>
        <a:xfrm>
          <a:off x="0" y="59319458"/>
          <a:ext cx="11919006" cy="6379402"/>
          <a:chOff x="0" y="68902729"/>
          <a:chExt cx="11887630" cy="7508955"/>
        </a:xfrm>
      </xdr:grpSpPr>
      <xdr:grpSp>
        <xdr:nvGrpSpPr>
          <xdr:cNvPr id="432" name="Group 431"/>
          <xdr:cNvGrpSpPr/>
        </xdr:nvGrpSpPr>
        <xdr:grpSpPr>
          <a:xfrm>
            <a:off x="0" y="68902729"/>
            <a:ext cx="11887630" cy="7508955"/>
            <a:chOff x="2770094" y="60951027"/>
            <a:chExt cx="11887630" cy="7508955"/>
          </a:xfrm>
        </xdr:grpSpPr>
        <xdr:grpSp>
          <xdr:nvGrpSpPr>
            <xdr:cNvPr id="433" name="Group 432"/>
            <xdr:cNvGrpSpPr/>
          </xdr:nvGrpSpPr>
          <xdr:grpSpPr>
            <a:xfrm>
              <a:off x="2770094" y="60951027"/>
              <a:ext cx="10408452" cy="7508955"/>
              <a:chOff x="-4213411" y="52548538"/>
              <a:chExt cx="10408452" cy="7508955"/>
            </a:xfrm>
          </xdr:grpSpPr>
          <xdr:grpSp>
            <xdr:nvGrpSpPr>
              <xdr:cNvPr id="439" name="Group 438"/>
              <xdr:cNvGrpSpPr/>
            </xdr:nvGrpSpPr>
            <xdr:grpSpPr>
              <a:xfrm>
                <a:off x="-4213411" y="52548538"/>
                <a:ext cx="10205996" cy="7508955"/>
                <a:chOff x="-4213411" y="52548538"/>
                <a:chExt cx="10205996" cy="7508955"/>
              </a:xfrm>
            </xdr:grpSpPr>
            <xdr:grpSp>
              <xdr:nvGrpSpPr>
                <xdr:cNvPr id="445" name="Group 444"/>
                <xdr:cNvGrpSpPr/>
              </xdr:nvGrpSpPr>
              <xdr:grpSpPr>
                <a:xfrm>
                  <a:off x="-4213411" y="52548538"/>
                  <a:ext cx="10205996" cy="7508955"/>
                  <a:chOff x="-4213411" y="44525132"/>
                  <a:chExt cx="10205996" cy="7518915"/>
                </a:xfrm>
              </xdr:grpSpPr>
              <xdr:grpSp>
                <xdr:nvGrpSpPr>
                  <xdr:cNvPr id="447" name="Group 446"/>
                  <xdr:cNvGrpSpPr/>
                </xdr:nvGrpSpPr>
                <xdr:grpSpPr>
                  <a:xfrm>
                    <a:off x="-4213411" y="44525132"/>
                    <a:ext cx="10205996" cy="6651688"/>
                    <a:chOff x="-4213411" y="36609299"/>
                    <a:chExt cx="10205996" cy="6660499"/>
                  </a:xfrm>
                </xdr:grpSpPr>
                <xdr:grpSp>
                  <xdr:nvGrpSpPr>
                    <xdr:cNvPr id="452" name="Group 451"/>
                    <xdr:cNvGrpSpPr/>
                  </xdr:nvGrpSpPr>
                  <xdr:grpSpPr>
                    <a:xfrm>
                      <a:off x="-4213411" y="36609299"/>
                      <a:ext cx="10205996" cy="6660499"/>
                      <a:chOff x="-4213411" y="28585889"/>
                      <a:chExt cx="10205996" cy="6669309"/>
                    </a:xfrm>
                  </xdr:grpSpPr>
                  <xdr:grpSp>
                    <xdr:nvGrpSpPr>
                      <xdr:cNvPr id="458" name="Group 457"/>
                      <xdr:cNvGrpSpPr/>
                    </xdr:nvGrpSpPr>
                    <xdr:grpSpPr>
                      <a:xfrm>
                        <a:off x="-4213411" y="28585889"/>
                        <a:ext cx="10205996" cy="5610691"/>
                        <a:chOff x="-4213411" y="19110196"/>
                        <a:chExt cx="10205996" cy="5610691"/>
                      </a:xfrm>
                    </xdr:grpSpPr>
                    <xdr:sp macro="" textlink="">
                      <xdr:nvSpPr>
                        <xdr:cNvPr id="464" name="Oval 463"/>
                        <xdr:cNvSpPr/>
                      </xdr:nvSpPr>
                      <xdr:spPr>
                        <a:xfrm>
                          <a:off x="-2581835" y="22721833"/>
                          <a:ext cx="1334780" cy="62756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100"/>
                            <a:t>T. Darah</a:t>
                          </a:r>
                        </a:p>
                      </xdr:txBody>
                    </xdr:sp>
                    <xdr:grpSp>
                      <xdr:nvGrpSpPr>
                        <xdr:cNvPr id="465" name="Group 464"/>
                        <xdr:cNvGrpSpPr/>
                      </xdr:nvGrpSpPr>
                      <xdr:grpSpPr>
                        <a:xfrm>
                          <a:off x="-1914445" y="19110196"/>
                          <a:ext cx="7907030" cy="3611638"/>
                          <a:chOff x="-1911976" y="19626943"/>
                          <a:chExt cx="7898799" cy="3729106"/>
                        </a:xfrm>
                      </xdr:grpSpPr>
                      <xdr:sp macro="" textlink="">
                        <xdr:nvSpPr>
                          <xdr:cNvPr id="471" name="Oval 470"/>
                          <xdr:cNvSpPr/>
                        </xdr:nvSpPr>
                        <xdr:spPr>
                          <a:xfrm>
                            <a:off x="4652043" y="21542829"/>
                            <a:ext cx="1334780" cy="644851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T. Darah</a:t>
                            </a:r>
                            <a:endParaRPr lang="id-ID" sz="1100"/>
                          </a:p>
                        </xdr:txBody>
                      </xdr:sp>
                      <xdr:grpSp>
                        <xdr:nvGrpSpPr>
                          <xdr:cNvPr id="472" name="Group 471"/>
                          <xdr:cNvGrpSpPr/>
                        </xdr:nvGrpSpPr>
                        <xdr:grpSpPr>
                          <a:xfrm>
                            <a:off x="-1911976" y="19626943"/>
                            <a:ext cx="7013694" cy="3729106"/>
                            <a:chOff x="-1454776" y="13454743"/>
                            <a:chExt cx="7013694" cy="3729106"/>
                          </a:xfrm>
                        </xdr:grpSpPr>
                        <xdr:grpSp>
                          <xdr:nvGrpSpPr>
                            <xdr:cNvPr id="473" name="Group 472"/>
                            <xdr:cNvGrpSpPr/>
                          </xdr:nvGrpSpPr>
                          <xdr:grpSpPr>
                            <a:xfrm>
                              <a:off x="2728632" y="13454743"/>
                              <a:ext cx="2830286" cy="1992086"/>
                              <a:chOff x="2631904" y="8425388"/>
                              <a:chExt cx="2762941" cy="1977941"/>
                            </a:xfrm>
                          </xdr:grpSpPr>
                          <xdr:sp macro="" textlink="">
                            <xdr:nvSpPr>
                              <xdr:cNvPr id="477" name="Oval 476"/>
                              <xdr:cNvSpPr/>
                            </xdr:nvSpPr>
                            <xdr:spPr>
                              <a:xfrm>
                                <a:off x="3437729" y="8425388"/>
                                <a:ext cx="1303020" cy="640272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ctr"/>
                                <a:r>
                                  <a:rPr lang="id-ID" sz="1400"/>
                                  <a:t>BMI</a:t>
                                </a:r>
                                <a:endParaRPr lang="id-ID" sz="1100"/>
                              </a:p>
                            </xdr:txBody>
                          </xdr:sp>
                          <xdr:cxnSp macro="">
                            <xdr:nvCxnSpPr>
                              <xdr:cNvPr id="478" name="Straight Connector 477"/>
                              <xdr:cNvCxnSpPr>
                                <a:stCxn id="477" idx="4"/>
                                <a:endCxn id="474" idx="0"/>
                              </xdr:cNvCxnSpPr>
                            </xdr:nvCxnSpPr>
                            <xdr:spPr>
                              <a:xfrm flipH="1">
                                <a:off x="2631904" y="9065660"/>
                                <a:ext cx="1457334" cy="1337669"/>
                              </a:xfrm>
                              <a:prstGeom prst="line">
                                <a:avLst/>
                              </a:prstGeom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79" name="Straight Connector 478"/>
                              <xdr:cNvCxnSpPr>
                                <a:stCxn id="477" idx="4"/>
                              </xdr:cNvCxnSpPr>
                            </xdr:nvCxnSpPr>
                            <xdr:spPr>
                              <a:xfrm>
                                <a:off x="4089238" y="9065660"/>
                                <a:ext cx="1305607" cy="1283627"/>
                              </a:xfrm>
                              <a:prstGeom prst="line">
                                <a:avLst/>
                              </a:prstGeom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sp macro="" textlink="">
                          <xdr:nvSpPr>
                            <xdr:cNvPr id="474" name="Oval 473"/>
                            <xdr:cNvSpPr/>
                          </xdr:nvSpPr>
                          <xdr:spPr>
                            <a:xfrm>
                              <a:off x="2061242" y="15446829"/>
                              <a:ext cx="1334780" cy="644851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id-ID" sz="1100"/>
                                <a:t>L. Perut</a:t>
                              </a:r>
                            </a:p>
                          </xdr:txBody>
                        </xdr:sp>
                        <xdr:cxnSp macro="">
                          <xdr:nvCxnSpPr>
                            <xdr:cNvPr id="475" name="Straight Connector 474"/>
                            <xdr:cNvCxnSpPr>
                              <a:stCxn id="474" idx="4"/>
                              <a:endCxn id="464" idx="0"/>
                            </xdr:cNvCxnSpPr>
                          </xdr:nvCxnSpPr>
                          <xdr:spPr>
                            <a:xfrm flipH="1">
                              <a:off x="-1454776" y="16091680"/>
                              <a:ext cx="4183409" cy="1092169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76" name="Straight Connector 475"/>
                            <xdr:cNvCxnSpPr>
                              <a:stCxn id="474" idx="4"/>
                              <a:endCxn id="453" idx="0"/>
                            </xdr:cNvCxnSpPr>
                          </xdr:nvCxnSpPr>
                          <xdr:spPr>
                            <a:xfrm>
                              <a:off x="2728633" y="16091680"/>
                              <a:ext cx="52484" cy="1065816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</xdr:grpSp>
                    <xdr:cxnSp macro="">
                      <xdr:nvCxnSpPr>
                        <xdr:cNvPr id="466" name="Straight Connector 465"/>
                        <xdr:cNvCxnSpPr>
                          <a:stCxn id="464" idx="4"/>
                          <a:endCxn id="467" idx="0"/>
                        </xdr:cNvCxnSpPr>
                      </xdr:nvCxnSpPr>
                      <xdr:spPr>
                        <a:xfrm flipH="1">
                          <a:off x="-3545325" y="23349395"/>
                          <a:ext cx="1630880" cy="700851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467" name="Oval 466"/>
                        <xdr:cNvSpPr/>
                      </xdr:nvSpPr>
                      <xdr:spPr>
                        <a:xfrm>
                          <a:off x="-4213411" y="24050246"/>
                          <a:ext cx="1336171" cy="624538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1</a:t>
                          </a:r>
                          <a:endParaRPr lang="id-ID" sz="1100"/>
                        </a:p>
                      </xdr:txBody>
                    </xdr:sp>
                    <xdr:sp macro="" textlink="">
                      <xdr:nvSpPr>
                        <xdr:cNvPr id="468" name="Oval 467"/>
                        <xdr:cNvSpPr/>
                      </xdr:nvSpPr>
                      <xdr:spPr>
                        <a:xfrm>
                          <a:off x="-2563904" y="24093325"/>
                          <a:ext cx="1334780" cy="62756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100"/>
                            <a:t>2</a:t>
                          </a:r>
                        </a:p>
                      </xdr:txBody>
                    </xdr:sp>
                    <xdr:cxnSp macro="">
                      <xdr:nvCxnSpPr>
                        <xdr:cNvPr id="469" name="Straight Connector 468"/>
                        <xdr:cNvCxnSpPr>
                          <a:stCxn id="464" idx="4"/>
                          <a:endCxn id="468" idx="0"/>
                        </xdr:cNvCxnSpPr>
                      </xdr:nvCxnSpPr>
                      <xdr:spPr>
                        <a:xfrm>
                          <a:off x="-1914445" y="23349395"/>
                          <a:ext cx="17931" cy="743930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70" name="Straight Connector 469"/>
                        <xdr:cNvCxnSpPr>
                          <a:stCxn id="464" idx="4"/>
                          <a:endCxn id="459" idx="0"/>
                        </xdr:cNvCxnSpPr>
                      </xdr:nvCxnSpPr>
                      <xdr:spPr>
                        <a:xfrm>
                          <a:off x="-1914445" y="23349395"/>
                          <a:ext cx="1568823" cy="682531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459" name="Oval 458"/>
                      <xdr:cNvSpPr/>
                    </xdr:nvSpPr>
                    <xdr:spPr>
                      <a:xfrm>
                        <a:off x="-1013012" y="33507619"/>
                        <a:ext cx="1334780" cy="62756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100"/>
                          <a:t>Umur</a:t>
                        </a:r>
                      </a:p>
                    </xdr:txBody>
                  </xdr:sp>
                  <xdr:cxnSp macro="">
                    <xdr:nvCxnSpPr>
                      <xdr:cNvPr id="460" name="Straight Connector 459"/>
                      <xdr:cNvCxnSpPr>
                        <a:stCxn id="459" idx="4"/>
                        <a:endCxn id="461" idx="0"/>
                      </xdr:cNvCxnSpPr>
                    </xdr:nvCxnSpPr>
                    <xdr:spPr>
                      <a:xfrm flipH="1">
                        <a:off x="-1277952" y="34135181"/>
                        <a:ext cx="932330" cy="492455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461" name="Oval 460"/>
                      <xdr:cNvSpPr/>
                    </xdr:nvSpPr>
                    <xdr:spPr>
                      <a:xfrm>
                        <a:off x="-1945342" y="34627636"/>
                        <a:ext cx="1334780" cy="62756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100"/>
                          <a:t>1</a:t>
                        </a:r>
                      </a:p>
                    </xdr:txBody>
                  </xdr:sp>
                  <xdr:cxnSp macro="">
                    <xdr:nvCxnSpPr>
                      <xdr:cNvPr id="462" name="Straight Connector 461"/>
                      <xdr:cNvCxnSpPr>
                        <a:stCxn id="459" idx="4"/>
                        <a:endCxn id="463" idx="0"/>
                      </xdr:cNvCxnSpPr>
                    </xdr:nvCxnSpPr>
                    <xdr:spPr>
                      <a:xfrm>
                        <a:off x="-345622" y="34135182"/>
                        <a:ext cx="860611" cy="483455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463" name="Oval 462"/>
                      <xdr:cNvSpPr/>
                    </xdr:nvSpPr>
                    <xdr:spPr>
                      <a:xfrm>
                        <a:off x="-152401" y="34618636"/>
                        <a:ext cx="1334780" cy="62756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100"/>
                          <a:t>2</a:t>
                        </a:r>
                      </a:p>
                    </xdr:txBody>
                  </xdr:sp>
                </xdr:grpSp>
                <xdr:sp macro="" textlink="">
                  <xdr:nvSpPr>
                    <xdr:cNvPr id="453" name="Oval 452"/>
                    <xdr:cNvSpPr/>
                  </xdr:nvSpPr>
                  <xdr:spPr>
                    <a:xfrm>
                      <a:off x="1658472" y="40190678"/>
                      <a:ext cx="1334780" cy="626733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100"/>
                        <a:t>T. Darah</a:t>
                      </a:r>
                    </a:p>
                  </xdr:txBody>
                </xdr:sp>
                <xdr:cxnSp macro="">
                  <xdr:nvCxnSpPr>
                    <xdr:cNvPr id="454" name="Straight Connector 453"/>
                    <xdr:cNvCxnSpPr>
                      <a:stCxn id="453" idx="4"/>
                      <a:endCxn id="455" idx="0"/>
                    </xdr:cNvCxnSpPr>
                  </xdr:nvCxnSpPr>
                  <xdr:spPr>
                    <a:xfrm flipH="1">
                      <a:off x="1205969" y="40817412"/>
                      <a:ext cx="1119893" cy="36870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55" name="Oval 454"/>
                    <xdr:cNvSpPr/>
                  </xdr:nvSpPr>
                  <xdr:spPr>
                    <a:xfrm>
                      <a:off x="537883" y="41186118"/>
                      <a:ext cx="1336171" cy="623713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1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456" name="Straight Connector 455"/>
                    <xdr:cNvCxnSpPr>
                      <a:stCxn id="453" idx="4"/>
                      <a:endCxn id="448" idx="0"/>
                    </xdr:cNvCxnSpPr>
                  </xdr:nvCxnSpPr>
                  <xdr:spPr>
                    <a:xfrm>
                      <a:off x="2325862" y="40817412"/>
                      <a:ext cx="54483" cy="846789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57" name="Straight Connector 456"/>
                    <xdr:cNvCxnSpPr>
                      <a:stCxn id="453" idx="4"/>
                      <a:endCxn id="440" idx="0"/>
                    </xdr:cNvCxnSpPr>
                  </xdr:nvCxnSpPr>
                  <xdr:spPr>
                    <a:xfrm>
                      <a:off x="2325862" y="40817412"/>
                      <a:ext cx="1479871" cy="259175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448" name="Oval 447"/>
                  <xdr:cNvSpPr/>
                </xdr:nvSpPr>
                <xdr:spPr>
                  <a:xfrm>
                    <a:off x="1712259" y="49573347"/>
                    <a:ext cx="1336171" cy="622888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Umur</a:t>
                    </a:r>
                    <a:endParaRPr lang="id-ID" sz="1100"/>
                  </a:p>
                </xdr:txBody>
              </xdr:sp>
              <xdr:sp macro="" textlink="">
                <xdr:nvSpPr>
                  <xdr:cNvPr id="449" name="Oval 448"/>
                  <xdr:cNvSpPr/>
                </xdr:nvSpPr>
                <xdr:spPr>
                  <a:xfrm>
                    <a:off x="421341" y="51421159"/>
                    <a:ext cx="1336171" cy="622888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1</a:t>
                    </a:r>
                    <a:endParaRPr lang="id-ID" sz="1100"/>
                  </a:p>
                </xdr:txBody>
              </xdr:sp>
              <xdr:sp macro="" textlink="">
                <xdr:nvSpPr>
                  <xdr:cNvPr id="450" name="Oval 449"/>
                  <xdr:cNvSpPr/>
                </xdr:nvSpPr>
                <xdr:spPr>
                  <a:xfrm>
                    <a:off x="2859741" y="51376275"/>
                    <a:ext cx="1336171" cy="622888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2</a:t>
                    </a:r>
                    <a:endParaRPr lang="id-ID" sz="1100"/>
                  </a:p>
                </xdr:txBody>
              </xdr:sp>
              <xdr:cxnSp macro="">
                <xdr:nvCxnSpPr>
                  <xdr:cNvPr id="451" name="Straight Connector 450"/>
                  <xdr:cNvCxnSpPr>
                    <a:stCxn id="448" idx="4"/>
                    <a:endCxn id="449" idx="0"/>
                  </xdr:cNvCxnSpPr>
                </xdr:nvCxnSpPr>
                <xdr:spPr>
                  <a:xfrm flipH="1">
                    <a:off x="1089427" y="50196235"/>
                    <a:ext cx="1290918" cy="1224924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446" name="Straight Connector 445"/>
                <xdr:cNvCxnSpPr>
                  <a:stCxn id="448" idx="4"/>
                  <a:endCxn id="450" idx="0"/>
                </xdr:cNvCxnSpPr>
              </xdr:nvCxnSpPr>
              <xdr:spPr>
                <a:xfrm>
                  <a:off x="2380345" y="58212129"/>
                  <a:ext cx="1147482" cy="117847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40" name="Oval 439"/>
              <xdr:cNvSpPr/>
            </xdr:nvSpPr>
            <xdr:spPr>
              <a:xfrm>
                <a:off x="3137647" y="57004006"/>
                <a:ext cx="1336171" cy="622063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Umur</a:t>
                </a:r>
                <a:endParaRPr lang="id-ID" sz="1100"/>
              </a:p>
            </xdr:txBody>
          </xdr:sp>
          <xdr:sp macro="" textlink="">
            <xdr:nvSpPr>
              <xdr:cNvPr id="441" name="Oval 440"/>
              <xdr:cNvSpPr/>
            </xdr:nvSpPr>
            <xdr:spPr>
              <a:xfrm>
                <a:off x="3272117" y="58580429"/>
                <a:ext cx="1336171" cy="622063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2</a:t>
                </a:r>
                <a:endParaRPr lang="id-ID" sz="1100"/>
              </a:p>
            </xdr:txBody>
          </xdr:sp>
          <xdr:sp macro="" textlink="">
            <xdr:nvSpPr>
              <xdr:cNvPr id="442" name="Oval 441"/>
              <xdr:cNvSpPr/>
            </xdr:nvSpPr>
            <xdr:spPr>
              <a:xfrm>
                <a:off x="4858870" y="59118312"/>
                <a:ext cx="1336171" cy="622063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3</a:t>
                </a:r>
                <a:endParaRPr lang="id-ID" sz="1100"/>
              </a:p>
            </xdr:txBody>
          </xdr:sp>
          <xdr:cxnSp macro="">
            <xdr:nvCxnSpPr>
              <xdr:cNvPr id="443" name="Straight Connector 442"/>
              <xdr:cNvCxnSpPr>
                <a:stCxn id="440" idx="4"/>
                <a:endCxn id="441" idx="0"/>
              </xdr:cNvCxnSpPr>
            </xdr:nvCxnSpPr>
            <xdr:spPr>
              <a:xfrm>
                <a:off x="3805733" y="57626069"/>
                <a:ext cx="134470" cy="95436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44" name="Straight Connector 443"/>
              <xdr:cNvCxnSpPr>
                <a:stCxn id="440" idx="4"/>
                <a:endCxn id="442" idx="0"/>
              </xdr:cNvCxnSpPr>
            </xdr:nvCxnSpPr>
            <xdr:spPr>
              <a:xfrm>
                <a:off x="3805733" y="57626069"/>
                <a:ext cx="1721223" cy="1492243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34" name="Straight Connector 433"/>
            <xdr:cNvCxnSpPr>
              <a:stCxn id="471" idx="4"/>
            </xdr:cNvCxnSpPr>
          </xdr:nvCxnSpPr>
          <xdr:spPr>
            <a:xfrm flipH="1">
              <a:off x="10883153" y="63421271"/>
              <a:ext cx="1424852" cy="40743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35" name="Straight Connector 434"/>
            <xdr:cNvCxnSpPr>
              <a:stCxn id="471" idx="4"/>
              <a:endCxn id="480" idx="0"/>
            </xdr:cNvCxnSpPr>
          </xdr:nvCxnSpPr>
          <xdr:spPr>
            <a:xfrm>
              <a:off x="12308005" y="63421271"/>
              <a:ext cx="471398" cy="127700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36" name="Oval 435"/>
            <xdr:cNvSpPr/>
          </xdr:nvSpPr>
          <xdr:spPr>
            <a:xfrm>
              <a:off x="10210800" y="63837663"/>
              <a:ext cx="1336171" cy="622063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  <a:endParaRPr lang="id-ID" sz="1100"/>
            </a:p>
          </xdr:txBody>
        </xdr:sp>
        <xdr:cxnSp macro="">
          <xdr:nvCxnSpPr>
            <xdr:cNvPr id="437" name="Straight Connector 436"/>
            <xdr:cNvCxnSpPr>
              <a:stCxn id="471" idx="4"/>
            </xdr:cNvCxnSpPr>
          </xdr:nvCxnSpPr>
          <xdr:spPr>
            <a:xfrm>
              <a:off x="12308005" y="63421271"/>
              <a:ext cx="1524536" cy="497082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38" name="Oval 437"/>
            <xdr:cNvSpPr/>
          </xdr:nvSpPr>
          <xdr:spPr>
            <a:xfrm>
              <a:off x="13321553" y="63900416"/>
              <a:ext cx="1336171" cy="622063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3</a:t>
              </a:r>
              <a:endParaRPr lang="id-ID" sz="1100"/>
            </a:p>
          </xdr:txBody>
        </xdr:sp>
      </xdr:grpSp>
      <xdr:sp macro="" textlink="">
        <xdr:nvSpPr>
          <xdr:cNvPr id="480" name="Oval 479"/>
          <xdr:cNvSpPr/>
        </xdr:nvSpPr>
        <xdr:spPr>
          <a:xfrm>
            <a:off x="9341223" y="72649976"/>
            <a:ext cx="1336171" cy="62206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L. Perut</a:t>
            </a:r>
            <a:endParaRPr lang="id-ID" sz="1100"/>
          </a:p>
        </xdr:txBody>
      </xdr:sp>
      <xdr:cxnSp macro="">
        <xdr:nvCxnSpPr>
          <xdr:cNvPr id="482" name="Straight Connector 481"/>
          <xdr:cNvCxnSpPr>
            <a:stCxn id="480" idx="4"/>
          </xdr:cNvCxnSpPr>
        </xdr:nvCxnSpPr>
        <xdr:spPr>
          <a:xfrm flipH="1">
            <a:off x="9744635" y="73272039"/>
            <a:ext cx="264674" cy="42680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85" name="Oval 484"/>
          <xdr:cNvSpPr/>
        </xdr:nvSpPr>
        <xdr:spPr>
          <a:xfrm>
            <a:off x="8892989" y="73654024"/>
            <a:ext cx="1336171" cy="62206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2</a:t>
            </a:r>
            <a:endParaRPr lang="id-ID" sz="1100"/>
          </a:p>
        </xdr:txBody>
      </xdr:sp>
      <xdr:cxnSp macro="">
        <xdr:nvCxnSpPr>
          <xdr:cNvPr id="486" name="Straight Connector 485"/>
          <xdr:cNvCxnSpPr>
            <a:stCxn id="480" idx="4"/>
          </xdr:cNvCxnSpPr>
        </xdr:nvCxnSpPr>
        <xdr:spPr>
          <a:xfrm>
            <a:off x="10009309" y="73272039"/>
            <a:ext cx="775232" cy="42680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427</xdr:row>
      <xdr:rowOff>107576</xdr:rowOff>
    </xdr:from>
    <xdr:to>
      <xdr:col>19</xdr:col>
      <xdr:colOff>108006</xdr:colOff>
      <xdr:row>469</xdr:row>
      <xdr:rowOff>86178</xdr:rowOff>
    </xdr:to>
    <xdr:grpSp>
      <xdr:nvGrpSpPr>
        <xdr:cNvPr id="490" name="Group 489"/>
        <xdr:cNvGrpSpPr/>
      </xdr:nvGrpSpPr>
      <xdr:grpSpPr>
        <a:xfrm>
          <a:off x="0" y="66096776"/>
          <a:ext cx="11919006" cy="6379402"/>
          <a:chOff x="0" y="68902729"/>
          <a:chExt cx="11887630" cy="7508955"/>
        </a:xfrm>
      </xdr:grpSpPr>
      <xdr:grpSp>
        <xdr:nvGrpSpPr>
          <xdr:cNvPr id="491" name="Group 490"/>
          <xdr:cNvGrpSpPr/>
        </xdr:nvGrpSpPr>
        <xdr:grpSpPr>
          <a:xfrm>
            <a:off x="0" y="68902729"/>
            <a:ext cx="11887630" cy="7508955"/>
            <a:chOff x="2770094" y="60951027"/>
            <a:chExt cx="11887630" cy="7508955"/>
          </a:xfrm>
        </xdr:grpSpPr>
        <xdr:grpSp>
          <xdr:nvGrpSpPr>
            <xdr:cNvPr id="496" name="Group 495"/>
            <xdr:cNvGrpSpPr/>
          </xdr:nvGrpSpPr>
          <xdr:grpSpPr>
            <a:xfrm>
              <a:off x="2770094" y="60951027"/>
              <a:ext cx="10408452" cy="7508955"/>
              <a:chOff x="-4213411" y="52548538"/>
              <a:chExt cx="10408452" cy="7508955"/>
            </a:xfrm>
          </xdr:grpSpPr>
          <xdr:grpSp>
            <xdr:nvGrpSpPr>
              <xdr:cNvPr id="502" name="Group 501"/>
              <xdr:cNvGrpSpPr/>
            </xdr:nvGrpSpPr>
            <xdr:grpSpPr>
              <a:xfrm>
                <a:off x="-4213411" y="52548538"/>
                <a:ext cx="10205996" cy="7508955"/>
                <a:chOff x="-4213411" y="52548538"/>
                <a:chExt cx="10205996" cy="7508955"/>
              </a:xfrm>
            </xdr:grpSpPr>
            <xdr:grpSp>
              <xdr:nvGrpSpPr>
                <xdr:cNvPr id="508" name="Group 507"/>
                <xdr:cNvGrpSpPr/>
              </xdr:nvGrpSpPr>
              <xdr:grpSpPr>
                <a:xfrm>
                  <a:off x="-4213411" y="52548538"/>
                  <a:ext cx="10205996" cy="7508955"/>
                  <a:chOff x="-4213411" y="44525132"/>
                  <a:chExt cx="10205996" cy="7518915"/>
                </a:xfrm>
              </xdr:grpSpPr>
              <xdr:grpSp>
                <xdr:nvGrpSpPr>
                  <xdr:cNvPr id="510" name="Group 509"/>
                  <xdr:cNvGrpSpPr/>
                </xdr:nvGrpSpPr>
                <xdr:grpSpPr>
                  <a:xfrm>
                    <a:off x="-4213411" y="44525132"/>
                    <a:ext cx="10205996" cy="6651688"/>
                    <a:chOff x="-4213411" y="36609299"/>
                    <a:chExt cx="10205996" cy="6660499"/>
                  </a:xfrm>
                </xdr:grpSpPr>
                <xdr:grpSp>
                  <xdr:nvGrpSpPr>
                    <xdr:cNvPr id="515" name="Group 514"/>
                    <xdr:cNvGrpSpPr/>
                  </xdr:nvGrpSpPr>
                  <xdr:grpSpPr>
                    <a:xfrm>
                      <a:off x="-4213411" y="36609299"/>
                      <a:ext cx="10205996" cy="6660499"/>
                      <a:chOff x="-4213411" y="28585889"/>
                      <a:chExt cx="10205996" cy="6669309"/>
                    </a:xfrm>
                  </xdr:grpSpPr>
                  <xdr:grpSp>
                    <xdr:nvGrpSpPr>
                      <xdr:cNvPr id="521" name="Group 520"/>
                      <xdr:cNvGrpSpPr/>
                    </xdr:nvGrpSpPr>
                    <xdr:grpSpPr>
                      <a:xfrm>
                        <a:off x="-4213411" y="28585889"/>
                        <a:ext cx="10205996" cy="5610691"/>
                        <a:chOff x="-4213411" y="19110196"/>
                        <a:chExt cx="10205996" cy="5610691"/>
                      </a:xfrm>
                    </xdr:grpSpPr>
                    <xdr:sp macro="" textlink="">
                      <xdr:nvSpPr>
                        <xdr:cNvPr id="527" name="Oval 526"/>
                        <xdr:cNvSpPr/>
                      </xdr:nvSpPr>
                      <xdr:spPr>
                        <a:xfrm>
                          <a:off x="-2581835" y="22721833"/>
                          <a:ext cx="1334780" cy="62756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100"/>
                            <a:t>T. Darah</a:t>
                          </a:r>
                        </a:p>
                      </xdr:txBody>
                    </xdr:sp>
                    <xdr:grpSp>
                      <xdr:nvGrpSpPr>
                        <xdr:cNvPr id="528" name="Group 527"/>
                        <xdr:cNvGrpSpPr/>
                      </xdr:nvGrpSpPr>
                      <xdr:grpSpPr>
                        <a:xfrm>
                          <a:off x="-1914445" y="19110196"/>
                          <a:ext cx="7907030" cy="3611638"/>
                          <a:chOff x="-1911976" y="19626943"/>
                          <a:chExt cx="7898799" cy="3729106"/>
                        </a:xfrm>
                      </xdr:grpSpPr>
                      <xdr:sp macro="" textlink="">
                        <xdr:nvSpPr>
                          <xdr:cNvPr id="534" name="Oval 533"/>
                          <xdr:cNvSpPr/>
                        </xdr:nvSpPr>
                        <xdr:spPr>
                          <a:xfrm>
                            <a:off x="4652043" y="21542829"/>
                            <a:ext cx="1334780" cy="644851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T. Darah</a:t>
                            </a:r>
                            <a:endParaRPr lang="id-ID" sz="1100"/>
                          </a:p>
                        </xdr:txBody>
                      </xdr:sp>
                      <xdr:grpSp>
                        <xdr:nvGrpSpPr>
                          <xdr:cNvPr id="535" name="Group 534"/>
                          <xdr:cNvGrpSpPr/>
                        </xdr:nvGrpSpPr>
                        <xdr:grpSpPr>
                          <a:xfrm>
                            <a:off x="-1911976" y="19626943"/>
                            <a:ext cx="7013694" cy="3729106"/>
                            <a:chOff x="-1454776" y="13454743"/>
                            <a:chExt cx="7013694" cy="3729106"/>
                          </a:xfrm>
                        </xdr:grpSpPr>
                        <xdr:grpSp>
                          <xdr:nvGrpSpPr>
                            <xdr:cNvPr id="536" name="Group 535"/>
                            <xdr:cNvGrpSpPr/>
                          </xdr:nvGrpSpPr>
                          <xdr:grpSpPr>
                            <a:xfrm>
                              <a:off x="2728632" y="13454743"/>
                              <a:ext cx="2830286" cy="1992086"/>
                              <a:chOff x="2631904" y="8425388"/>
                              <a:chExt cx="2762941" cy="1977941"/>
                            </a:xfrm>
                          </xdr:grpSpPr>
                          <xdr:sp macro="" textlink="">
                            <xdr:nvSpPr>
                              <xdr:cNvPr id="540" name="Oval 539"/>
                              <xdr:cNvSpPr/>
                            </xdr:nvSpPr>
                            <xdr:spPr>
                              <a:xfrm>
                                <a:off x="3437729" y="8425388"/>
                                <a:ext cx="1303020" cy="640272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ctr"/>
                                <a:r>
                                  <a:rPr lang="id-ID" sz="1400"/>
                                  <a:t>BMI</a:t>
                                </a:r>
                                <a:endParaRPr lang="id-ID" sz="1100"/>
                              </a:p>
                            </xdr:txBody>
                          </xdr:sp>
                          <xdr:cxnSp macro="">
                            <xdr:nvCxnSpPr>
                              <xdr:cNvPr id="541" name="Straight Connector 540"/>
                              <xdr:cNvCxnSpPr>
                                <a:stCxn id="540" idx="4"/>
                                <a:endCxn id="537" idx="0"/>
                              </xdr:cNvCxnSpPr>
                            </xdr:nvCxnSpPr>
                            <xdr:spPr>
                              <a:xfrm flipH="1">
                                <a:off x="2631904" y="9065660"/>
                                <a:ext cx="1457334" cy="1337669"/>
                              </a:xfrm>
                              <a:prstGeom prst="line">
                                <a:avLst/>
                              </a:prstGeom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542" name="Straight Connector 541"/>
                              <xdr:cNvCxnSpPr>
                                <a:stCxn id="540" idx="4"/>
                              </xdr:cNvCxnSpPr>
                            </xdr:nvCxnSpPr>
                            <xdr:spPr>
                              <a:xfrm>
                                <a:off x="4089238" y="9065660"/>
                                <a:ext cx="1305607" cy="1283627"/>
                              </a:xfrm>
                              <a:prstGeom prst="line">
                                <a:avLst/>
                              </a:prstGeom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sp macro="" textlink="">
                          <xdr:nvSpPr>
                            <xdr:cNvPr id="537" name="Oval 536"/>
                            <xdr:cNvSpPr/>
                          </xdr:nvSpPr>
                          <xdr:spPr>
                            <a:xfrm>
                              <a:off x="2061242" y="15446829"/>
                              <a:ext cx="1334780" cy="644851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id-ID" sz="1100"/>
                                <a:t>L. Perut</a:t>
                              </a:r>
                            </a:p>
                          </xdr:txBody>
                        </xdr:sp>
                        <xdr:cxnSp macro="">
                          <xdr:nvCxnSpPr>
                            <xdr:cNvPr id="538" name="Straight Connector 537"/>
                            <xdr:cNvCxnSpPr>
                              <a:stCxn id="537" idx="4"/>
                              <a:endCxn id="527" idx="0"/>
                            </xdr:cNvCxnSpPr>
                          </xdr:nvCxnSpPr>
                          <xdr:spPr>
                            <a:xfrm flipH="1">
                              <a:off x="-1454776" y="16091680"/>
                              <a:ext cx="4183409" cy="1092169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539" name="Straight Connector 538"/>
                            <xdr:cNvCxnSpPr>
                              <a:stCxn id="537" idx="4"/>
                              <a:endCxn id="516" idx="0"/>
                            </xdr:cNvCxnSpPr>
                          </xdr:nvCxnSpPr>
                          <xdr:spPr>
                            <a:xfrm>
                              <a:off x="2728633" y="16091680"/>
                              <a:ext cx="52484" cy="1065816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</xdr:grpSp>
                    <xdr:cxnSp macro="">
                      <xdr:nvCxnSpPr>
                        <xdr:cNvPr id="529" name="Straight Connector 528"/>
                        <xdr:cNvCxnSpPr>
                          <a:stCxn id="527" idx="4"/>
                          <a:endCxn id="530" idx="0"/>
                        </xdr:cNvCxnSpPr>
                      </xdr:nvCxnSpPr>
                      <xdr:spPr>
                        <a:xfrm flipH="1">
                          <a:off x="-3545325" y="23349395"/>
                          <a:ext cx="1630880" cy="700851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530" name="Oval 529"/>
                        <xdr:cNvSpPr/>
                      </xdr:nvSpPr>
                      <xdr:spPr>
                        <a:xfrm>
                          <a:off x="-4213411" y="24050246"/>
                          <a:ext cx="1336171" cy="624538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1</a:t>
                          </a:r>
                          <a:endParaRPr lang="id-ID" sz="1100"/>
                        </a:p>
                      </xdr:txBody>
                    </xdr:sp>
                    <xdr:sp macro="" textlink="">
                      <xdr:nvSpPr>
                        <xdr:cNvPr id="531" name="Oval 530"/>
                        <xdr:cNvSpPr/>
                      </xdr:nvSpPr>
                      <xdr:spPr>
                        <a:xfrm>
                          <a:off x="-2563904" y="24093325"/>
                          <a:ext cx="1334780" cy="62756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100"/>
                            <a:t>2</a:t>
                          </a:r>
                        </a:p>
                      </xdr:txBody>
                    </xdr:sp>
                    <xdr:cxnSp macro="">
                      <xdr:nvCxnSpPr>
                        <xdr:cNvPr id="532" name="Straight Connector 531"/>
                        <xdr:cNvCxnSpPr>
                          <a:stCxn id="527" idx="4"/>
                          <a:endCxn id="531" idx="0"/>
                        </xdr:cNvCxnSpPr>
                      </xdr:nvCxnSpPr>
                      <xdr:spPr>
                        <a:xfrm>
                          <a:off x="-1914445" y="23349395"/>
                          <a:ext cx="17931" cy="743930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33" name="Straight Connector 532"/>
                        <xdr:cNvCxnSpPr>
                          <a:stCxn id="527" idx="4"/>
                          <a:endCxn id="522" idx="0"/>
                        </xdr:cNvCxnSpPr>
                      </xdr:nvCxnSpPr>
                      <xdr:spPr>
                        <a:xfrm>
                          <a:off x="-1914445" y="23349395"/>
                          <a:ext cx="1568823" cy="682531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522" name="Oval 521"/>
                      <xdr:cNvSpPr/>
                    </xdr:nvSpPr>
                    <xdr:spPr>
                      <a:xfrm>
                        <a:off x="-1013012" y="33507619"/>
                        <a:ext cx="1334780" cy="62756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100"/>
                          <a:t>Umur</a:t>
                        </a:r>
                      </a:p>
                    </xdr:txBody>
                  </xdr:sp>
                  <xdr:cxnSp macro="">
                    <xdr:nvCxnSpPr>
                      <xdr:cNvPr id="523" name="Straight Connector 522"/>
                      <xdr:cNvCxnSpPr>
                        <a:stCxn id="522" idx="4"/>
                        <a:endCxn id="524" idx="0"/>
                      </xdr:cNvCxnSpPr>
                    </xdr:nvCxnSpPr>
                    <xdr:spPr>
                      <a:xfrm flipH="1">
                        <a:off x="-1277952" y="34135181"/>
                        <a:ext cx="932330" cy="492455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524" name="Oval 523"/>
                      <xdr:cNvSpPr/>
                    </xdr:nvSpPr>
                    <xdr:spPr>
                      <a:xfrm>
                        <a:off x="-1945342" y="34627636"/>
                        <a:ext cx="1334780" cy="62756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100"/>
                          <a:t>1</a:t>
                        </a:r>
                      </a:p>
                    </xdr:txBody>
                  </xdr:sp>
                  <xdr:cxnSp macro="">
                    <xdr:nvCxnSpPr>
                      <xdr:cNvPr id="525" name="Straight Connector 524"/>
                      <xdr:cNvCxnSpPr>
                        <a:stCxn id="522" idx="4"/>
                        <a:endCxn id="526" idx="0"/>
                      </xdr:cNvCxnSpPr>
                    </xdr:nvCxnSpPr>
                    <xdr:spPr>
                      <a:xfrm>
                        <a:off x="-345622" y="34135182"/>
                        <a:ext cx="860611" cy="483455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526" name="Oval 525"/>
                      <xdr:cNvSpPr/>
                    </xdr:nvSpPr>
                    <xdr:spPr>
                      <a:xfrm>
                        <a:off x="-152401" y="34618636"/>
                        <a:ext cx="1334780" cy="62756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100"/>
                          <a:t>2</a:t>
                        </a:r>
                      </a:p>
                    </xdr:txBody>
                  </xdr:sp>
                </xdr:grpSp>
                <xdr:sp macro="" textlink="">
                  <xdr:nvSpPr>
                    <xdr:cNvPr id="516" name="Oval 515"/>
                    <xdr:cNvSpPr/>
                  </xdr:nvSpPr>
                  <xdr:spPr>
                    <a:xfrm>
                      <a:off x="1658472" y="40190678"/>
                      <a:ext cx="1334780" cy="626733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100"/>
                        <a:t>T. Darah</a:t>
                      </a:r>
                    </a:p>
                  </xdr:txBody>
                </xdr:sp>
                <xdr:cxnSp macro="">
                  <xdr:nvCxnSpPr>
                    <xdr:cNvPr id="517" name="Straight Connector 516"/>
                    <xdr:cNvCxnSpPr>
                      <a:stCxn id="516" idx="4"/>
                      <a:endCxn id="518" idx="0"/>
                    </xdr:cNvCxnSpPr>
                  </xdr:nvCxnSpPr>
                  <xdr:spPr>
                    <a:xfrm flipH="1">
                      <a:off x="1205969" y="40817412"/>
                      <a:ext cx="1119893" cy="36870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18" name="Oval 517"/>
                    <xdr:cNvSpPr/>
                  </xdr:nvSpPr>
                  <xdr:spPr>
                    <a:xfrm>
                      <a:off x="537883" y="41186118"/>
                      <a:ext cx="1336171" cy="623713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1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519" name="Straight Connector 518"/>
                    <xdr:cNvCxnSpPr>
                      <a:stCxn id="516" idx="4"/>
                      <a:endCxn id="511" idx="0"/>
                    </xdr:cNvCxnSpPr>
                  </xdr:nvCxnSpPr>
                  <xdr:spPr>
                    <a:xfrm>
                      <a:off x="2325862" y="40817412"/>
                      <a:ext cx="54483" cy="846789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20" name="Straight Connector 519"/>
                    <xdr:cNvCxnSpPr>
                      <a:stCxn id="516" idx="4"/>
                      <a:endCxn id="503" idx="0"/>
                    </xdr:cNvCxnSpPr>
                  </xdr:nvCxnSpPr>
                  <xdr:spPr>
                    <a:xfrm>
                      <a:off x="2325862" y="40817412"/>
                      <a:ext cx="1479871" cy="259175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511" name="Oval 510"/>
                  <xdr:cNvSpPr/>
                </xdr:nvSpPr>
                <xdr:spPr>
                  <a:xfrm>
                    <a:off x="1712259" y="49573347"/>
                    <a:ext cx="1336171" cy="622888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Umur</a:t>
                    </a:r>
                    <a:endParaRPr lang="id-ID" sz="1100"/>
                  </a:p>
                </xdr:txBody>
              </xdr:sp>
              <xdr:sp macro="" textlink="">
                <xdr:nvSpPr>
                  <xdr:cNvPr id="512" name="Oval 511"/>
                  <xdr:cNvSpPr/>
                </xdr:nvSpPr>
                <xdr:spPr>
                  <a:xfrm>
                    <a:off x="421341" y="51421159"/>
                    <a:ext cx="1336171" cy="622888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1</a:t>
                    </a:r>
                    <a:endParaRPr lang="id-ID" sz="1100"/>
                  </a:p>
                </xdr:txBody>
              </xdr:sp>
              <xdr:sp macro="" textlink="">
                <xdr:nvSpPr>
                  <xdr:cNvPr id="513" name="Oval 512"/>
                  <xdr:cNvSpPr/>
                </xdr:nvSpPr>
                <xdr:spPr>
                  <a:xfrm>
                    <a:off x="2859741" y="51376275"/>
                    <a:ext cx="1336171" cy="622888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2</a:t>
                    </a:r>
                    <a:endParaRPr lang="id-ID" sz="1100"/>
                  </a:p>
                </xdr:txBody>
              </xdr:sp>
              <xdr:cxnSp macro="">
                <xdr:nvCxnSpPr>
                  <xdr:cNvPr id="514" name="Straight Connector 513"/>
                  <xdr:cNvCxnSpPr>
                    <a:stCxn id="511" idx="4"/>
                    <a:endCxn id="512" idx="0"/>
                  </xdr:cNvCxnSpPr>
                </xdr:nvCxnSpPr>
                <xdr:spPr>
                  <a:xfrm flipH="1">
                    <a:off x="1089427" y="50196235"/>
                    <a:ext cx="1290918" cy="1224924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509" name="Straight Connector 508"/>
                <xdr:cNvCxnSpPr>
                  <a:stCxn id="511" idx="4"/>
                  <a:endCxn id="513" idx="0"/>
                </xdr:cNvCxnSpPr>
              </xdr:nvCxnSpPr>
              <xdr:spPr>
                <a:xfrm>
                  <a:off x="2380345" y="58212129"/>
                  <a:ext cx="1147482" cy="117847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03" name="Oval 502"/>
              <xdr:cNvSpPr/>
            </xdr:nvSpPr>
            <xdr:spPr>
              <a:xfrm>
                <a:off x="3137647" y="57004006"/>
                <a:ext cx="1336171" cy="622063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Umur</a:t>
                </a:r>
                <a:endParaRPr lang="id-ID" sz="1100"/>
              </a:p>
            </xdr:txBody>
          </xdr:sp>
          <xdr:sp macro="" textlink="">
            <xdr:nvSpPr>
              <xdr:cNvPr id="504" name="Oval 503"/>
              <xdr:cNvSpPr/>
            </xdr:nvSpPr>
            <xdr:spPr>
              <a:xfrm>
                <a:off x="3272117" y="58580429"/>
                <a:ext cx="1336171" cy="622063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2</a:t>
                </a:r>
                <a:endParaRPr lang="id-ID" sz="1100"/>
              </a:p>
            </xdr:txBody>
          </xdr:sp>
          <xdr:sp macro="" textlink="">
            <xdr:nvSpPr>
              <xdr:cNvPr id="505" name="Oval 504"/>
              <xdr:cNvSpPr/>
            </xdr:nvSpPr>
            <xdr:spPr>
              <a:xfrm>
                <a:off x="4858870" y="59118312"/>
                <a:ext cx="1336171" cy="622063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3</a:t>
                </a:r>
                <a:endParaRPr lang="id-ID" sz="1100"/>
              </a:p>
            </xdr:txBody>
          </xdr:sp>
          <xdr:cxnSp macro="">
            <xdr:nvCxnSpPr>
              <xdr:cNvPr id="506" name="Straight Connector 505"/>
              <xdr:cNvCxnSpPr>
                <a:stCxn id="503" idx="4"/>
                <a:endCxn id="504" idx="0"/>
              </xdr:cNvCxnSpPr>
            </xdr:nvCxnSpPr>
            <xdr:spPr>
              <a:xfrm>
                <a:off x="3805733" y="57626069"/>
                <a:ext cx="134470" cy="95436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7" name="Straight Connector 506"/>
              <xdr:cNvCxnSpPr>
                <a:stCxn id="503" idx="4"/>
                <a:endCxn id="505" idx="0"/>
              </xdr:cNvCxnSpPr>
            </xdr:nvCxnSpPr>
            <xdr:spPr>
              <a:xfrm>
                <a:off x="3805733" y="57626069"/>
                <a:ext cx="1721223" cy="1492243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97" name="Straight Connector 496"/>
            <xdr:cNvCxnSpPr>
              <a:stCxn id="534" idx="4"/>
            </xdr:cNvCxnSpPr>
          </xdr:nvCxnSpPr>
          <xdr:spPr>
            <a:xfrm flipH="1">
              <a:off x="10883153" y="63421271"/>
              <a:ext cx="1424852" cy="40743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8" name="Straight Connector 497"/>
            <xdr:cNvCxnSpPr>
              <a:stCxn id="534" idx="4"/>
              <a:endCxn id="492" idx="0"/>
            </xdr:cNvCxnSpPr>
          </xdr:nvCxnSpPr>
          <xdr:spPr>
            <a:xfrm>
              <a:off x="12308005" y="63421271"/>
              <a:ext cx="471398" cy="127700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99" name="Oval 498"/>
            <xdr:cNvSpPr/>
          </xdr:nvSpPr>
          <xdr:spPr>
            <a:xfrm>
              <a:off x="10210800" y="63837663"/>
              <a:ext cx="1336171" cy="622063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  <a:endParaRPr lang="id-ID" sz="1100"/>
            </a:p>
          </xdr:txBody>
        </xdr:sp>
        <xdr:cxnSp macro="">
          <xdr:nvCxnSpPr>
            <xdr:cNvPr id="500" name="Straight Connector 499"/>
            <xdr:cNvCxnSpPr>
              <a:stCxn id="534" idx="4"/>
            </xdr:cNvCxnSpPr>
          </xdr:nvCxnSpPr>
          <xdr:spPr>
            <a:xfrm>
              <a:off x="12308005" y="63421271"/>
              <a:ext cx="1524536" cy="497082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01" name="Oval 500"/>
            <xdr:cNvSpPr/>
          </xdr:nvSpPr>
          <xdr:spPr>
            <a:xfrm>
              <a:off x="13321553" y="63900416"/>
              <a:ext cx="1336171" cy="622063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3</a:t>
              </a:r>
              <a:endParaRPr lang="id-ID" sz="1100"/>
            </a:p>
          </xdr:txBody>
        </xdr:sp>
      </xdr:grpSp>
      <xdr:sp macro="" textlink="">
        <xdr:nvSpPr>
          <xdr:cNvPr id="492" name="Oval 491"/>
          <xdr:cNvSpPr/>
        </xdr:nvSpPr>
        <xdr:spPr>
          <a:xfrm>
            <a:off x="9341223" y="72649976"/>
            <a:ext cx="1336171" cy="62206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L. Perut</a:t>
            </a:r>
            <a:endParaRPr lang="id-ID" sz="1100"/>
          </a:p>
        </xdr:txBody>
      </xdr:sp>
      <xdr:cxnSp macro="">
        <xdr:nvCxnSpPr>
          <xdr:cNvPr id="493" name="Straight Connector 492"/>
          <xdr:cNvCxnSpPr>
            <a:stCxn id="492" idx="4"/>
          </xdr:cNvCxnSpPr>
        </xdr:nvCxnSpPr>
        <xdr:spPr>
          <a:xfrm flipH="1">
            <a:off x="9744635" y="73272039"/>
            <a:ext cx="264674" cy="42680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4" name="Oval 493"/>
          <xdr:cNvSpPr/>
        </xdr:nvSpPr>
        <xdr:spPr>
          <a:xfrm>
            <a:off x="8892989" y="73654024"/>
            <a:ext cx="1336171" cy="62206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2</a:t>
            </a:r>
            <a:endParaRPr lang="id-ID" sz="1100"/>
          </a:p>
        </xdr:txBody>
      </xdr:sp>
      <xdr:cxnSp macro="">
        <xdr:nvCxnSpPr>
          <xdr:cNvPr id="495" name="Straight Connector 494"/>
          <xdr:cNvCxnSpPr>
            <a:stCxn id="492" idx="4"/>
          </xdr:cNvCxnSpPr>
        </xdr:nvCxnSpPr>
        <xdr:spPr>
          <a:xfrm>
            <a:off x="10009309" y="73272039"/>
            <a:ext cx="775232" cy="42680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425</xdr:row>
      <xdr:rowOff>116540</xdr:rowOff>
    </xdr:from>
    <xdr:to>
      <xdr:col>43</xdr:col>
      <xdr:colOff>468085</xdr:colOff>
      <xdr:row>426</xdr:row>
      <xdr:rowOff>24329</xdr:rowOff>
    </xdr:to>
    <xdr:cxnSp macro="">
      <xdr:nvCxnSpPr>
        <xdr:cNvPr id="543" name="Straight Connector 542"/>
        <xdr:cNvCxnSpPr/>
      </xdr:nvCxnSpPr>
      <xdr:spPr>
        <a:xfrm flipV="1">
          <a:off x="0" y="76513764"/>
          <a:ext cx="26905003" cy="87083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35858</xdr:colOff>
      <xdr:row>453</xdr:row>
      <xdr:rowOff>152400</xdr:rowOff>
    </xdr:from>
    <xdr:to>
      <xdr:col>19</xdr:col>
      <xdr:colOff>152829</xdr:colOff>
      <xdr:row>457</xdr:row>
      <xdr:rowOff>57287</xdr:rowOff>
    </xdr:to>
    <xdr:sp macro="" textlink="">
      <xdr:nvSpPr>
        <xdr:cNvPr id="544" name="Oval 543"/>
        <xdr:cNvSpPr/>
      </xdr:nvSpPr>
      <xdr:spPr>
        <a:xfrm>
          <a:off x="10596282" y="81569859"/>
          <a:ext cx="1336171" cy="62206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Umur</a:t>
          </a:r>
          <a:endParaRPr lang="id-ID" sz="1100"/>
        </a:p>
      </xdr:txBody>
    </xdr:sp>
    <xdr:clientData/>
  </xdr:twoCellAnchor>
  <xdr:twoCellAnchor>
    <xdr:from>
      <xdr:col>17</xdr:col>
      <xdr:colOff>264673</xdr:colOff>
      <xdr:row>457</xdr:row>
      <xdr:rowOff>57287</xdr:rowOff>
    </xdr:from>
    <xdr:to>
      <xdr:col>18</xdr:col>
      <xdr:colOff>94344</xdr:colOff>
      <xdr:row>460</xdr:row>
      <xdr:rowOff>0</xdr:rowOff>
    </xdr:to>
    <xdr:cxnSp macro="">
      <xdr:nvCxnSpPr>
        <xdr:cNvPr id="545" name="Straight Connector 544"/>
        <xdr:cNvCxnSpPr>
          <a:stCxn id="544" idx="4"/>
          <a:endCxn id="547" idx="0"/>
        </xdr:cNvCxnSpPr>
      </xdr:nvCxnSpPr>
      <xdr:spPr>
        <a:xfrm flipH="1">
          <a:off x="10825097" y="82191922"/>
          <a:ext cx="439271" cy="4805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94344</xdr:colOff>
      <xdr:row>457</xdr:row>
      <xdr:rowOff>57287</xdr:rowOff>
    </xdr:from>
    <xdr:to>
      <xdr:col>19</xdr:col>
      <xdr:colOff>524649</xdr:colOff>
      <xdr:row>459</xdr:row>
      <xdr:rowOff>143435</xdr:rowOff>
    </xdr:to>
    <xdr:cxnSp macro="">
      <xdr:nvCxnSpPr>
        <xdr:cNvPr id="546" name="Straight Connector 545"/>
        <xdr:cNvCxnSpPr>
          <a:stCxn id="544" idx="4"/>
          <a:endCxn id="552" idx="0"/>
        </xdr:cNvCxnSpPr>
      </xdr:nvCxnSpPr>
      <xdr:spPr>
        <a:xfrm>
          <a:off x="11264368" y="82191922"/>
          <a:ext cx="1039905" cy="4447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206187</xdr:colOff>
      <xdr:row>460</xdr:row>
      <xdr:rowOff>0</xdr:rowOff>
    </xdr:from>
    <xdr:to>
      <xdr:col>18</xdr:col>
      <xdr:colOff>323158</xdr:colOff>
      <xdr:row>463</xdr:row>
      <xdr:rowOff>84181</xdr:rowOff>
    </xdr:to>
    <xdr:sp macro="" textlink="">
      <xdr:nvSpPr>
        <xdr:cNvPr id="547" name="Oval 546"/>
        <xdr:cNvSpPr/>
      </xdr:nvSpPr>
      <xdr:spPr>
        <a:xfrm>
          <a:off x="10157011" y="82672518"/>
          <a:ext cx="1336171" cy="62206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  <xdr:twoCellAnchor>
    <xdr:from>
      <xdr:col>18</xdr:col>
      <xdr:colOff>466163</xdr:colOff>
      <xdr:row>459</xdr:row>
      <xdr:rowOff>143435</xdr:rowOff>
    </xdr:from>
    <xdr:to>
      <xdr:col>20</xdr:col>
      <xdr:colOff>583134</xdr:colOff>
      <xdr:row>463</xdr:row>
      <xdr:rowOff>48322</xdr:rowOff>
    </xdr:to>
    <xdr:sp macro="" textlink="">
      <xdr:nvSpPr>
        <xdr:cNvPr id="552" name="Oval 551"/>
        <xdr:cNvSpPr/>
      </xdr:nvSpPr>
      <xdr:spPr>
        <a:xfrm>
          <a:off x="11636187" y="82636659"/>
          <a:ext cx="1336171" cy="62206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1</a:t>
          </a:r>
          <a:endParaRPr lang="id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286871</xdr:colOff>
      <xdr:row>44</xdr:row>
      <xdr:rowOff>152401</xdr:rowOff>
    </xdr:from>
    <xdr:to>
      <xdr:col>9</xdr:col>
      <xdr:colOff>322729</xdr:colOff>
      <xdr:row>53</xdr:row>
      <xdr:rowOff>8965</xdr:rowOff>
    </xdr:to>
    <xdr:grpSp>
      <xdr:nvGrpSpPr>
        <xdr:cNvPr id="15" name="Group 14"/>
        <xdr:cNvGrpSpPr/>
      </xdr:nvGrpSpPr>
      <xdr:grpSpPr>
        <a:xfrm>
          <a:off x="896471" y="8351521"/>
          <a:ext cx="4912658" cy="1502484"/>
          <a:chOff x="896471" y="8403772"/>
          <a:chExt cx="4912658" cy="1522079"/>
        </a:xfrm>
      </xdr:grpSpPr>
      <xdr:sp macro="" textlink="">
        <xdr:nvSpPr>
          <xdr:cNvPr id="2" name="Oval 1"/>
          <xdr:cNvSpPr/>
        </xdr:nvSpPr>
        <xdr:spPr>
          <a:xfrm>
            <a:off x="2800127" y="8403772"/>
            <a:ext cx="1303020" cy="64027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T. Darah</a:t>
            </a:r>
            <a:endParaRPr lang="id-ID" sz="1100"/>
          </a:p>
        </xdr:txBody>
      </xdr:sp>
      <xdr:cxnSp macro="">
        <xdr:nvCxnSpPr>
          <xdr:cNvPr id="3" name="Straight Connector 2"/>
          <xdr:cNvCxnSpPr>
            <a:stCxn id="2" idx="3"/>
          </xdr:cNvCxnSpPr>
        </xdr:nvCxnSpPr>
        <xdr:spPr>
          <a:xfrm flipH="1">
            <a:off x="896471" y="8947891"/>
            <a:ext cx="2094479" cy="96899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>
            <a:stCxn id="2" idx="4"/>
          </xdr:cNvCxnSpPr>
        </xdr:nvCxnSpPr>
        <xdr:spPr>
          <a:xfrm flipH="1">
            <a:off x="3451412" y="9044044"/>
            <a:ext cx="225" cy="88180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>
            <a:stCxn id="2" idx="5"/>
          </xdr:cNvCxnSpPr>
        </xdr:nvCxnSpPr>
        <xdr:spPr>
          <a:xfrm>
            <a:off x="3912324" y="8947891"/>
            <a:ext cx="1896805" cy="96899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69</xdr:row>
      <xdr:rowOff>130628</xdr:rowOff>
    </xdr:from>
    <xdr:to>
      <xdr:col>10</xdr:col>
      <xdr:colOff>72934</xdr:colOff>
      <xdr:row>94</xdr:row>
      <xdr:rowOff>0</xdr:rowOff>
    </xdr:to>
    <xdr:grpSp>
      <xdr:nvGrpSpPr>
        <xdr:cNvPr id="51" name="Group 50"/>
        <xdr:cNvGrpSpPr/>
      </xdr:nvGrpSpPr>
      <xdr:grpSpPr>
        <a:xfrm>
          <a:off x="0" y="12901748"/>
          <a:ext cx="6168934" cy="4441372"/>
          <a:chOff x="0" y="13008428"/>
          <a:chExt cx="6168934" cy="4495801"/>
        </a:xfrm>
      </xdr:grpSpPr>
      <xdr:grpSp>
        <xdr:nvGrpSpPr>
          <xdr:cNvPr id="16" name="Group 15"/>
          <xdr:cNvGrpSpPr/>
        </xdr:nvGrpSpPr>
        <xdr:grpSpPr>
          <a:xfrm>
            <a:off x="522514" y="13008428"/>
            <a:ext cx="4912658" cy="1522079"/>
            <a:chOff x="896471" y="8403772"/>
            <a:chExt cx="4912658" cy="1522079"/>
          </a:xfrm>
        </xdr:grpSpPr>
        <xdr:sp macro="" textlink="">
          <xdr:nvSpPr>
            <xdr:cNvPr id="17" name="Oval 16"/>
            <xdr:cNvSpPr/>
          </xdr:nvSpPr>
          <xdr:spPr>
            <a:xfrm>
              <a:off x="2800127" y="8403772"/>
              <a:ext cx="1303020" cy="64027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T. Darah</a:t>
              </a:r>
              <a:endParaRPr lang="id-ID" sz="1100"/>
            </a:p>
          </xdr:txBody>
        </xdr:sp>
        <xdr:cxnSp macro="">
          <xdr:nvCxnSpPr>
            <xdr:cNvPr id="18" name="Straight Connector 17"/>
            <xdr:cNvCxnSpPr>
              <a:stCxn id="17" idx="3"/>
            </xdr:cNvCxnSpPr>
          </xdr:nvCxnSpPr>
          <xdr:spPr>
            <a:xfrm flipH="1">
              <a:off x="896471" y="8947891"/>
              <a:ext cx="2094479" cy="96899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18"/>
            <xdr:cNvCxnSpPr>
              <a:stCxn id="17" idx="4"/>
            </xdr:cNvCxnSpPr>
          </xdr:nvCxnSpPr>
          <xdr:spPr>
            <a:xfrm flipH="1">
              <a:off x="3451412" y="9044044"/>
              <a:ext cx="225" cy="88180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/>
            <xdr:cNvCxnSpPr>
              <a:stCxn id="17" idx="5"/>
            </xdr:cNvCxnSpPr>
          </xdr:nvCxnSpPr>
          <xdr:spPr>
            <a:xfrm>
              <a:off x="3912324" y="8947891"/>
              <a:ext cx="1896805" cy="96899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21" name="Oval 20"/>
          <xdr:cNvSpPr/>
        </xdr:nvSpPr>
        <xdr:spPr>
          <a:xfrm>
            <a:off x="4865914" y="14521543"/>
            <a:ext cx="1303020" cy="64027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?</a:t>
            </a:r>
          </a:p>
        </xdr:txBody>
      </xdr:sp>
      <xdr:sp macro="" textlink="">
        <xdr:nvSpPr>
          <xdr:cNvPr id="22" name="Oval 21"/>
          <xdr:cNvSpPr/>
        </xdr:nvSpPr>
        <xdr:spPr>
          <a:xfrm>
            <a:off x="2449285" y="14521543"/>
            <a:ext cx="1303020" cy="64027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?</a:t>
            </a:r>
            <a:endParaRPr lang="id-ID" sz="1100"/>
          </a:p>
        </xdr:txBody>
      </xdr:sp>
      <xdr:grpSp>
        <xdr:nvGrpSpPr>
          <xdr:cNvPr id="49" name="Group 48"/>
          <xdr:cNvGrpSpPr/>
        </xdr:nvGrpSpPr>
        <xdr:grpSpPr>
          <a:xfrm>
            <a:off x="0" y="14510658"/>
            <a:ext cx="3494314" cy="2993571"/>
            <a:chOff x="0" y="14510658"/>
            <a:chExt cx="3494314" cy="2993571"/>
          </a:xfrm>
        </xdr:grpSpPr>
        <xdr:sp macro="" textlink="">
          <xdr:nvSpPr>
            <xdr:cNvPr id="23" name="Oval 22"/>
            <xdr:cNvSpPr/>
          </xdr:nvSpPr>
          <xdr:spPr>
            <a:xfrm>
              <a:off x="0" y="14510658"/>
              <a:ext cx="1303020" cy="64027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L. Perut</a:t>
              </a:r>
              <a:endParaRPr lang="id-ID" sz="1100"/>
            </a:p>
          </xdr:txBody>
        </xdr:sp>
        <xdr:cxnSp macro="">
          <xdr:nvCxnSpPr>
            <xdr:cNvPr id="24" name="Straight Connector 23"/>
            <xdr:cNvCxnSpPr/>
          </xdr:nvCxnSpPr>
          <xdr:spPr>
            <a:xfrm>
              <a:off x="615366" y="15155136"/>
              <a:ext cx="5120" cy="234909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" name="Straight Connector 24"/>
            <xdr:cNvCxnSpPr/>
          </xdr:nvCxnSpPr>
          <xdr:spPr>
            <a:xfrm>
              <a:off x="615366" y="15155136"/>
              <a:ext cx="2878948" cy="234909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0</xdr:colOff>
      <xdr:row>109</xdr:row>
      <xdr:rowOff>54427</xdr:rowOff>
    </xdr:from>
    <xdr:to>
      <xdr:col>10</xdr:col>
      <xdr:colOff>72934</xdr:colOff>
      <xdr:row>137</xdr:row>
      <xdr:rowOff>10885</xdr:rowOff>
    </xdr:to>
    <xdr:grpSp>
      <xdr:nvGrpSpPr>
        <xdr:cNvPr id="74" name="Group 73"/>
        <xdr:cNvGrpSpPr/>
      </xdr:nvGrpSpPr>
      <xdr:grpSpPr>
        <a:xfrm>
          <a:off x="0" y="20140747"/>
          <a:ext cx="6168934" cy="5077098"/>
          <a:chOff x="0" y="20334513"/>
          <a:chExt cx="6168934" cy="5138058"/>
        </a:xfrm>
      </xdr:grpSpPr>
      <xdr:grpSp>
        <xdr:nvGrpSpPr>
          <xdr:cNvPr id="52" name="Group 51"/>
          <xdr:cNvGrpSpPr/>
        </xdr:nvGrpSpPr>
        <xdr:grpSpPr>
          <a:xfrm>
            <a:off x="0" y="20334513"/>
            <a:ext cx="6168934" cy="3276601"/>
            <a:chOff x="0" y="13008428"/>
            <a:chExt cx="6168934" cy="3276601"/>
          </a:xfrm>
        </xdr:grpSpPr>
        <xdr:grpSp>
          <xdr:nvGrpSpPr>
            <xdr:cNvPr id="53" name="Group 52"/>
            <xdr:cNvGrpSpPr/>
          </xdr:nvGrpSpPr>
          <xdr:grpSpPr>
            <a:xfrm>
              <a:off x="522514" y="13008428"/>
              <a:ext cx="4912658" cy="1522079"/>
              <a:chOff x="896471" y="8403772"/>
              <a:chExt cx="4912658" cy="1522079"/>
            </a:xfrm>
          </xdr:grpSpPr>
          <xdr:sp macro="" textlink="">
            <xdr:nvSpPr>
              <xdr:cNvPr id="60" name="Oval 59"/>
              <xdr:cNvSpPr/>
            </xdr:nvSpPr>
            <xdr:spPr>
              <a:xfrm>
                <a:off x="2800127" y="8403772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T. Darah</a:t>
                </a:r>
                <a:endParaRPr lang="id-ID" sz="1100"/>
              </a:p>
            </xdr:txBody>
          </xdr:sp>
          <xdr:cxnSp macro="">
            <xdr:nvCxnSpPr>
              <xdr:cNvPr id="61" name="Straight Connector 60"/>
              <xdr:cNvCxnSpPr>
                <a:stCxn id="60" idx="3"/>
              </xdr:cNvCxnSpPr>
            </xdr:nvCxnSpPr>
            <xdr:spPr>
              <a:xfrm flipH="1">
                <a:off x="896471" y="8947891"/>
                <a:ext cx="2094479" cy="968995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2" name="Straight Connector 61"/>
              <xdr:cNvCxnSpPr>
                <a:stCxn id="60" idx="4"/>
              </xdr:cNvCxnSpPr>
            </xdr:nvCxnSpPr>
            <xdr:spPr>
              <a:xfrm flipH="1">
                <a:off x="3451412" y="9044044"/>
                <a:ext cx="225" cy="881807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3" name="Straight Connector 62"/>
              <xdr:cNvCxnSpPr>
                <a:stCxn id="60" idx="5"/>
              </xdr:cNvCxnSpPr>
            </xdr:nvCxnSpPr>
            <xdr:spPr>
              <a:xfrm>
                <a:off x="3912324" y="8947891"/>
                <a:ext cx="1896805" cy="968995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4" name="Oval 53"/>
            <xdr:cNvSpPr/>
          </xdr:nvSpPr>
          <xdr:spPr>
            <a:xfrm>
              <a:off x="4865914" y="14521543"/>
              <a:ext cx="1303020" cy="64027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3</a:t>
              </a:r>
            </a:p>
          </xdr:txBody>
        </xdr:sp>
        <xdr:sp macro="" textlink="">
          <xdr:nvSpPr>
            <xdr:cNvPr id="55" name="Oval 54"/>
            <xdr:cNvSpPr/>
          </xdr:nvSpPr>
          <xdr:spPr>
            <a:xfrm>
              <a:off x="2449285" y="14521543"/>
              <a:ext cx="1303020" cy="64027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?</a:t>
              </a:r>
              <a:endParaRPr lang="id-ID" sz="1100"/>
            </a:p>
          </xdr:txBody>
        </xdr:sp>
        <xdr:grpSp>
          <xdr:nvGrpSpPr>
            <xdr:cNvPr id="56" name="Group 55"/>
            <xdr:cNvGrpSpPr/>
          </xdr:nvGrpSpPr>
          <xdr:grpSpPr>
            <a:xfrm>
              <a:off x="0" y="14510658"/>
              <a:ext cx="3026229" cy="1774371"/>
              <a:chOff x="0" y="14510658"/>
              <a:chExt cx="3026229" cy="1774371"/>
            </a:xfrm>
          </xdr:grpSpPr>
          <xdr:sp macro="" textlink="">
            <xdr:nvSpPr>
              <xdr:cNvPr id="57" name="Oval 56"/>
              <xdr:cNvSpPr/>
            </xdr:nvSpPr>
            <xdr:spPr>
              <a:xfrm>
                <a:off x="0" y="14510658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L. Perut</a:t>
                </a:r>
                <a:endParaRPr lang="id-ID" sz="1100"/>
              </a:p>
            </xdr:txBody>
          </xdr:sp>
          <xdr:cxnSp macro="">
            <xdr:nvCxnSpPr>
              <xdr:cNvPr id="58" name="Straight Connector 57"/>
              <xdr:cNvCxnSpPr/>
            </xdr:nvCxnSpPr>
            <xdr:spPr>
              <a:xfrm>
                <a:off x="615366" y="15155136"/>
                <a:ext cx="5120" cy="1129893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9" name="Straight Connector 58"/>
              <xdr:cNvCxnSpPr/>
            </xdr:nvCxnSpPr>
            <xdr:spPr>
              <a:xfrm>
                <a:off x="615366" y="15155136"/>
                <a:ext cx="2410863" cy="1119008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64" name="Oval 63"/>
          <xdr:cNvSpPr/>
        </xdr:nvSpPr>
        <xdr:spPr>
          <a:xfrm>
            <a:off x="0" y="23545798"/>
            <a:ext cx="1303020" cy="64027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BMI</a:t>
            </a:r>
            <a:endParaRPr lang="id-ID" sz="1100"/>
          </a:p>
        </xdr:txBody>
      </xdr:sp>
      <xdr:cxnSp macro="">
        <xdr:nvCxnSpPr>
          <xdr:cNvPr id="68" name="Straight Connector 67"/>
          <xdr:cNvCxnSpPr/>
        </xdr:nvCxnSpPr>
        <xdr:spPr>
          <a:xfrm>
            <a:off x="609600" y="24198942"/>
            <a:ext cx="10886" cy="127362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Straight Connector 69"/>
          <xdr:cNvCxnSpPr/>
        </xdr:nvCxnSpPr>
        <xdr:spPr>
          <a:xfrm>
            <a:off x="620486" y="24188056"/>
            <a:ext cx="3341914" cy="126274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184</xdr:row>
      <xdr:rowOff>43542</xdr:rowOff>
    </xdr:from>
    <xdr:to>
      <xdr:col>2</xdr:col>
      <xdr:colOff>83820</xdr:colOff>
      <xdr:row>187</xdr:row>
      <xdr:rowOff>128642</xdr:rowOff>
    </xdr:to>
    <xdr:sp macro="" textlink="">
      <xdr:nvSpPr>
        <xdr:cNvPr id="94" name="Oval 93"/>
        <xdr:cNvSpPr/>
      </xdr:nvSpPr>
      <xdr:spPr>
        <a:xfrm>
          <a:off x="0" y="34202913"/>
          <a:ext cx="1303020" cy="640272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  <xdr:twoCellAnchor>
    <xdr:from>
      <xdr:col>2</xdr:col>
      <xdr:colOff>424543</xdr:colOff>
      <xdr:row>183</xdr:row>
      <xdr:rowOff>174170</xdr:rowOff>
    </xdr:from>
    <xdr:to>
      <xdr:col>4</xdr:col>
      <xdr:colOff>508363</xdr:colOff>
      <xdr:row>187</xdr:row>
      <xdr:rowOff>74213</xdr:rowOff>
    </xdr:to>
    <xdr:sp macro="" textlink="">
      <xdr:nvSpPr>
        <xdr:cNvPr id="95" name="Oval 94"/>
        <xdr:cNvSpPr/>
      </xdr:nvSpPr>
      <xdr:spPr>
        <a:xfrm>
          <a:off x="1643743" y="34148484"/>
          <a:ext cx="1303020" cy="640272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  <xdr:twoCellAnchor>
    <xdr:from>
      <xdr:col>0</xdr:col>
      <xdr:colOff>0</xdr:colOff>
      <xdr:row>146</xdr:row>
      <xdr:rowOff>65313</xdr:rowOff>
    </xdr:from>
    <xdr:to>
      <xdr:col>12</xdr:col>
      <xdr:colOff>587829</xdr:colOff>
      <xdr:row>185</xdr:row>
      <xdr:rowOff>21770</xdr:rowOff>
    </xdr:to>
    <xdr:grpSp>
      <xdr:nvGrpSpPr>
        <xdr:cNvPr id="104" name="Group 103"/>
        <xdr:cNvGrpSpPr/>
      </xdr:nvGrpSpPr>
      <xdr:grpSpPr>
        <a:xfrm>
          <a:off x="0" y="26918193"/>
          <a:ext cx="7880169" cy="7088777"/>
          <a:chOff x="0" y="27192513"/>
          <a:chExt cx="7903029" cy="7173686"/>
        </a:xfrm>
      </xdr:grpSpPr>
      <xdr:grpSp>
        <xdr:nvGrpSpPr>
          <xdr:cNvPr id="75" name="Group 74"/>
          <xdr:cNvGrpSpPr/>
        </xdr:nvGrpSpPr>
        <xdr:grpSpPr>
          <a:xfrm>
            <a:off x="0" y="27192513"/>
            <a:ext cx="6168934" cy="5257801"/>
            <a:chOff x="0" y="20334513"/>
            <a:chExt cx="6168934" cy="5257801"/>
          </a:xfrm>
        </xdr:grpSpPr>
        <xdr:grpSp>
          <xdr:nvGrpSpPr>
            <xdr:cNvPr id="76" name="Group 75"/>
            <xdr:cNvGrpSpPr/>
          </xdr:nvGrpSpPr>
          <xdr:grpSpPr>
            <a:xfrm>
              <a:off x="0" y="20334513"/>
              <a:ext cx="6168934" cy="3276601"/>
              <a:chOff x="0" y="13008428"/>
              <a:chExt cx="6168934" cy="3276601"/>
            </a:xfrm>
          </xdr:grpSpPr>
          <xdr:grpSp>
            <xdr:nvGrpSpPr>
              <xdr:cNvPr id="80" name="Group 79"/>
              <xdr:cNvGrpSpPr/>
            </xdr:nvGrpSpPr>
            <xdr:grpSpPr>
              <a:xfrm>
                <a:off x="522514" y="13008428"/>
                <a:ext cx="4912658" cy="1522079"/>
                <a:chOff x="896471" y="8403772"/>
                <a:chExt cx="4912658" cy="1522079"/>
              </a:xfrm>
            </xdr:grpSpPr>
            <xdr:sp macro="" textlink="">
              <xdr:nvSpPr>
                <xdr:cNvPr id="87" name="Oval 86"/>
                <xdr:cNvSpPr/>
              </xdr:nvSpPr>
              <xdr:spPr>
                <a:xfrm>
                  <a:off x="2800127" y="8403772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T. Darah</a:t>
                  </a:r>
                  <a:endParaRPr lang="id-ID" sz="1100"/>
                </a:p>
              </xdr:txBody>
            </xdr:sp>
            <xdr:cxnSp macro="">
              <xdr:nvCxnSpPr>
                <xdr:cNvPr id="88" name="Straight Connector 87"/>
                <xdr:cNvCxnSpPr>
                  <a:stCxn id="87" idx="3"/>
                </xdr:cNvCxnSpPr>
              </xdr:nvCxnSpPr>
              <xdr:spPr>
                <a:xfrm flipH="1">
                  <a:off x="896471" y="8947891"/>
                  <a:ext cx="2094479" cy="968995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9" name="Straight Connector 88"/>
                <xdr:cNvCxnSpPr>
                  <a:stCxn id="87" idx="4"/>
                </xdr:cNvCxnSpPr>
              </xdr:nvCxnSpPr>
              <xdr:spPr>
                <a:xfrm flipH="1">
                  <a:off x="3451412" y="9044044"/>
                  <a:ext cx="225" cy="88180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0" name="Straight Connector 89"/>
                <xdr:cNvCxnSpPr>
                  <a:stCxn id="87" idx="5"/>
                </xdr:cNvCxnSpPr>
              </xdr:nvCxnSpPr>
              <xdr:spPr>
                <a:xfrm>
                  <a:off x="3912324" y="8947891"/>
                  <a:ext cx="1896805" cy="968995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81" name="Oval 80"/>
              <xdr:cNvSpPr/>
            </xdr:nvSpPr>
            <xdr:spPr>
              <a:xfrm>
                <a:off x="4865914" y="14521543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3</a:t>
                </a:r>
              </a:p>
            </xdr:txBody>
          </xdr:sp>
          <xdr:sp macro="" textlink="">
            <xdr:nvSpPr>
              <xdr:cNvPr id="82" name="Oval 81"/>
              <xdr:cNvSpPr/>
            </xdr:nvSpPr>
            <xdr:spPr>
              <a:xfrm>
                <a:off x="2449285" y="14521543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?</a:t>
                </a:r>
                <a:endParaRPr lang="id-ID" sz="1100"/>
              </a:p>
            </xdr:txBody>
          </xdr:sp>
          <xdr:grpSp>
            <xdr:nvGrpSpPr>
              <xdr:cNvPr id="83" name="Group 82"/>
              <xdr:cNvGrpSpPr/>
            </xdr:nvGrpSpPr>
            <xdr:grpSpPr>
              <a:xfrm>
                <a:off x="0" y="14510658"/>
                <a:ext cx="3026229" cy="1774371"/>
                <a:chOff x="0" y="14510658"/>
                <a:chExt cx="3026229" cy="1774371"/>
              </a:xfrm>
            </xdr:grpSpPr>
            <xdr:sp macro="" textlink="">
              <xdr:nvSpPr>
                <xdr:cNvPr id="84" name="Oval 83"/>
                <xdr:cNvSpPr/>
              </xdr:nvSpPr>
              <xdr:spPr>
                <a:xfrm>
                  <a:off x="0" y="14510658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L. Perut</a:t>
                  </a:r>
                  <a:endParaRPr lang="id-ID" sz="1100"/>
                </a:p>
              </xdr:txBody>
            </xdr:sp>
            <xdr:cxnSp macro="">
              <xdr:nvCxnSpPr>
                <xdr:cNvPr id="85" name="Straight Connector 84"/>
                <xdr:cNvCxnSpPr/>
              </xdr:nvCxnSpPr>
              <xdr:spPr>
                <a:xfrm>
                  <a:off x="615366" y="15155136"/>
                  <a:ext cx="5120" cy="1129893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6" name="Straight Connector 85"/>
                <xdr:cNvCxnSpPr/>
              </xdr:nvCxnSpPr>
              <xdr:spPr>
                <a:xfrm>
                  <a:off x="615366" y="15155136"/>
                  <a:ext cx="2410863" cy="1119008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77" name="Oval 76"/>
            <xdr:cNvSpPr/>
          </xdr:nvSpPr>
          <xdr:spPr>
            <a:xfrm>
              <a:off x="0" y="23545798"/>
              <a:ext cx="1303020" cy="64027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BMI</a:t>
              </a:r>
              <a:endParaRPr lang="id-ID" sz="1100"/>
            </a:p>
          </xdr:txBody>
        </xdr:sp>
        <xdr:cxnSp macro="">
          <xdr:nvCxnSpPr>
            <xdr:cNvPr id="78" name="Straight Connector 77"/>
            <xdr:cNvCxnSpPr/>
          </xdr:nvCxnSpPr>
          <xdr:spPr>
            <a:xfrm>
              <a:off x="609600" y="24198942"/>
              <a:ext cx="10886" cy="1273629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" name="Straight Connector 78"/>
            <xdr:cNvCxnSpPr>
              <a:endCxn id="98" idx="0"/>
            </xdr:cNvCxnSpPr>
          </xdr:nvCxnSpPr>
          <xdr:spPr>
            <a:xfrm>
              <a:off x="620486" y="24188056"/>
              <a:ext cx="2610937" cy="1404258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91" name="Oval 90"/>
          <xdr:cNvSpPr/>
        </xdr:nvSpPr>
        <xdr:spPr>
          <a:xfrm>
            <a:off x="0" y="32330570"/>
            <a:ext cx="1303020" cy="64027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Umur</a:t>
            </a:r>
            <a:endParaRPr lang="id-ID" sz="1100"/>
          </a:p>
        </xdr:txBody>
      </xdr:sp>
      <xdr:cxnSp macro="">
        <xdr:nvCxnSpPr>
          <xdr:cNvPr id="92" name="Straight Connector 91"/>
          <xdr:cNvCxnSpPr>
            <a:endCxn id="94" idx="0"/>
          </xdr:cNvCxnSpPr>
        </xdr:nvCxnSpPr>
        <xdr:spPr>
          <a:xfrm>
            <a:off x="642257" y="32972827"/>
            <a:ext cx="9253" cy="123008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3" name="Straight Connector 92"/>
          <xdr:cNvCxnSpPr>
            <a:stCxn id="91" idx="4"/>
            <a:endCxn id="95" idx="0"/>
          </xdr:cNvCxnSpPr>
        </xdr:nvCxnSpPr>
        <xdr:spPr>
          <a:xfrm>
            <a:off x="651510" y="32970842"/>
            <a:ext cx="1643743" cy="117764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8" name="Oval 97"/>
          <xdr:cNvSpPr/>
        </xdr:nvSpPr>
        <xdr:spPr>
          <a:xfrm>
            <a:off x="2579913" y="32450314"/>
            <a:ext cx="1303020" cy="64027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Umur</a:t>
            </a:r>
            <a:endParaRPr lang="id-ID" sz="1100"/>
          </a:p>
        </xdr:txBody>
      </xdr:sp>
      <xdr:cxnSp macro="">
        <xdr:nvCxnSpPr>
          <xdr:cNvPr id="100" name="Straight Connector 99"/>
          <xdr:cNvCxnSpPr/>
        </xdr:nvCxnSpPr>
        <xdr:spPr>
          <a:xfrm>
            <a:off x="3374572" y="33092570"/>
            <a:ext cx="10886" cy="127362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Straight Connector 100"/>
          <xdr:cNvCxnSpPr/>
        </xdr:nvCxnSpPr>
        <xdr:spPr>
          <a:xfrm>
            <a:off x="3383825" y="33090585"/>
            <a:ext cx="4519204" cy="124295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196</xdr:row>
      <xdr:rowOff>163286</xdr:rowOff>
    </xdr:from>
    <xdr:to>
      <xdr:col>10</xdr:col>
      <xdr:colOff>72934</xdr:colOff>
      <xdr:row>250</xdr:row>
      <xdr:rowOff>167128</xdr:rowOff>
    </xdr:to>
    <xdr:grpSp>
      <xdr:nvGrpSpPr>
        <xdr:cNvPr id="105" name="Group 104"/>
        <xdr:cNvGrpSpPr/>
      </xdr:nvGrpSpPr>
      <xdr:grpSpPr>
        <a:xfrm>
          <a:off x="0" y="36160166"/>
          <a:ext cx="6168934" cy="10016522"/>
          <a:chOff x="0" y="27192513"/>
          <a:chExt cx="6168934" cy="10002978"/>
        </a:xfrm>
      </xdr:grpSpPr>
      <xdr:grpSp>
        <xdr:nvGrpSpPr>
          <xdr:cNvPr id="106" name="Group 105"/>
          <xdr:cNvGrpSpPr/>
        </xdr:nvGrpSpPr>
        <xdr:grpSpPr>
          <a:xfrm>
            <a:off x="0" y="27192513"/>
            <a:ext cx="6168934" cy="8174179"/>
            <a:chOff x="0" y="20334513"/>
            <a:chExt cx="6168934" cy="8174179"/>
          </a:xfrm>
        </xdr:grpSpPr>
        <xdr:grpSp>
          <xdr:nvGrpSpPr>
            <xdr:cNvPr id="113" name="Group 112"/>
            <xdr:cNvGrpSpPr/>
          </xdr:nvGrpSpPr>
          <xdr:grpSpPr>
            <a:xfrm>
              <a:off x="0" y="20334513"/>
              <a:ext cx="6168934" cy="3349536"/>
              <a:chOff x="0" y="13008428"/>
              <a:chExt cx="6168934" cy="3349536"/>
            </a:xfrm>
          </xdr:grpSpPr>
          <xdr:grpSp>
            <xdr:nvGrpSpPr>
              <xdr:cNvPr id="117" name="Group 116"/>
              <xdr:cNvGrpSpPr/>
            </xdr:nvGrpSpPr>
            <xdr:grpSpPr>
              <a:xfrm>
                <a:off x="522514" y="13008428"/>
                <a:ext cx="4912658" cy="1522079"/>
                <a:chOff x="896471" y="8403772"/>
                <a:chExt cx="4912658" cy="1522079"/>
              </a:xfrm>
            </xdr:grpSpPr>
            <xdr:sp macro="" textlink="">
              <xdr:nvSpPr>
                <xdr:cNvPr id="124" name="Oval 123"/>
                <xdr:cNvSpPr/>
              </xdr:nvSpPr>
              <xdr:spPr>
                <a:xfrm>
                  <a:off x="2800127" y="8403772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T. Darah</a:t>
                  </a:r>
                  <a:endParaRPr lang="id-ID" sz="1100"/>
                </a:p>
              </xdr:txBody>
            </xdr:sp>
            <xdr:cxnSp macro="">
              <xdr:nvCxnSpPr>
                <xdr:cNvPr id="125" name="Straight Connector 124"/>
                <xdr:cNvCxnSpPr>
                  <a:stCxn id="124" idx="3"/>
                </xdr:cNvCxnSpPr>
              </xdr:nvCxnSpPr>
              <xdr:spPr>
                <a:xfrm flipH="1">
                  <a:off x="896471" y="8947891"/>
                  <a:ext cx="2094479" cy="968995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6" name="Straight Connector 125"/>
                <xdr:cNvCxnSpPr>
                  <a:stCxn id="124" idx="4"/>
                </xdr:cNvCxnSpPr>
              </xdr:nvCxnSpPr>
              <xdr:spPr>
                <a:xfrm flipH="1">
                  <a:off x="3451412" y="9044044"/>
                  <a:ext cx="225" cy="88180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7" name="Straight Connector 126"/>
                <xdr:cNvCxnSpPr>
                  <a:stCxn id="124" idx="5"/>
                </xdr:cNvCxnSpPr>
              </xdr:nvCxnSpPr>
              <xdr:spPr>
                <a:xfrm>
                  <a:off x="3912324" y="8947891"/>
                  <a:ext cx="1896805" cy="968995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18" name="Oval 117"/>
              <xdr:cNvSpPr/>
            </xdr:nvSpPr>
            <xdr:spPr>
              <a:xfrm>
                <a:off x="4865914" y="14521543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3</a:t>
                </a:r>
              </a:p>
            </xdr:txBody>
          </xdr:sp>
          <xdr:sp macro="" textlink="">
            <xdr:nvSpPr>
              <xdr:cNvPr id="119" name="Oval 118"/>
              <xdr:cNvSpPr/>
            </xdr:nvSpPr>
            <xdr:spPr>
              <a:xfrm>
                <a:off x="2449285" y="14521543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?</a:t>
                </a:r>
                <a:endParaRPr lang="id-ID" sz="1100"/>
              </a:p>
            </xdr:txBody>
          </xdr:sp>
          <xdr:grpSp>
            <xdr:nvGrpSpPr>
              <xdr:cNvPr id="120" name="Group 119"/>
              <xdr:cNvGrpSpPr/>
            </xdr:nvGrpSpPr>
            <xdr:grpSpPr>
              <a:xfrm>
                <a:off x="0" y="14510658"/>
                <a:ext cx="4258235" cy="1847306"/>
                <a:chOff x="0" y="14510658"/>
                <a:chExt cx="4258235" cy="1847306"/>
              </a:xfrm>
            </xdr:grpSpPr>
            <xdr:sp macro="" textlink="">
              <xdr:nvSpPr>
                <xdr:cNvPr id="121" name="Oval 120"/>
                <xdr:cNvSpPr/>
              </xdr:nvSpPr>
              <xdr:spPr>
                <a:xfrm>
                  <a:off x="0" y="14510658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L. Perut</a:t>
                  </a:r>
                  <a:endParaRPr lang="id-ID" sz="1100"/>
                </a:p>
              </xdr:txBody>
            </xdr:sp>
            <xdr:cxnSp macro="">
              <xdr:nvCxnSpPr>
                <xdr:cNvPr id="122" name="Straight Connector 121"/>
                <xdr:cNvCxnSpPr/>
              </xdr:nvCxnSpPr>
              <xdr:spPr>
                <a:xfrm>
                  <a:off x="615366" y="15155136"/>
                  <a:ext cx="5120" cy="1129893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" name="Straight Connector 122"/>
                <xdr:cNvCxnSpPr/>
              </xdr:nvCxnSpPr>
              <xdr:spPr>
                <a:xfrm>
                  <a:off x="615366" y="15155136"/>
                  <a:ext cx="3642869" cy="1202828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14" name="Oval 113"/>
            <xdr:cNvSpPr/>
          </xdr:nvSpPr>
          <xdr:spPr>
            <a:xfrm>
              <a:off x="0" y="23545798"/>
              <a:ext cx="1303020" cy="640272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BMI</a:t>
              </a:r>
              <a:endParaRPr lang="id-ID" sz="1100"/>
            </a:p>
          </xdr:txBody>
        </xdr:sp>
        <xdr:cxnSp macro="">
          <xdr:nvCxnSpPr>
            <xdr:cNvPr id="115" name="Straight Connector 114"/>
            <xdr:cNvCxnSpPr/>
          </xdr:nvCxnSpPr>
          <xdr:spPr>
            <a:xfrm>
              <a:off x="609600" y="24198942"/>
              <a:ext cx="10886" cy="1273629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" name="Straight Connector 115"/>
            <xdr:cNvCxnSpPr>
              <a:stCxn id="114" idx="4"/>
              <a:endCxn id="110" idx="0"/>
            </xdr:cNvCxnSpPr>
          </xdr:nvCxnSpPr>
          <xdr:spPr>
            <a:xfrm>
              <a:off x="651510" y="24186069"/>
              <a:ext cx="2642666" cy="432262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07" name="Oval 106"/>
          <xdr:cNvSpPr/>
        </xdr:nvSpPr>
        <xdr:spPr>
          <a:xfrm>
            <a:off x="0" y="32330570"/>
            <a:ext cx="1303020" cy="64027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Umur</a:t>
            </a:r>
            <a:endParaRPr lang="id-ID" sz="1100"/>
          </a:p>
        </xdr:txBody>
      </xdr:sp>
      <xdr:cxnSp macro="">
        <xdr:nvCxnSpPr>
          <xdr:cNvPr id="108" name="Straight Connector 107"/>
          <xdr:cNvCxnSpPr/>
        </xdr:nvCxnSpPr>
        <xdr:spPr>
          <a:xfrm>
            <a:off x="642257" y="32972827"/>
            <a:ext cx="10886" cy="127362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Straight Connector 108"/>
          <xdr:cNvCxnSpPr>
            <a:stCxn id="107" idx="4"/>
          </xdr:cNvCxnSpPr>
        </xdr:nvCxnSpPr>
        <xdr:spPr>
          <a:xfrm>
            <a:off x="651510" y="32970842"/>
            <a:ext cx="1643743" cy="117764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0" name="Oval 109"/>
          <xdr:cNvSpPr/>
        </xdr:nvSpPr>
        <xdr:spPr>
          <a:xfrm>
            <a:off x="2642666" y="35366692"/>
            <a:ext cx="1303020" cy="64027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Umur</a:t>
            </a:r>
            <a:endParaRPr lang="id-ID" sz="1100"/>
          </a:p>
        </xdr:txBody>
      </xdr:sp>
      <xdr:cxnSp macro="">
        <xdr:nvCxnSpPr>
          <xdr:cNvPr id="111" name="Straight Connector 110"/>
          <xdr:cNvCxnSpPr/>
        </xdr:nvCxnSpPr>
        <xdr:spPr>
          <a:xfrm>
            <a:off x="3437325" y="36008948"/>
            <a:ext cx="455566" cy="118654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Straight Connector 111"/>
          <xdr:cNvCxnSpPr/>
        </xdr:nvCxnSpPr>
        <xdr:spPr>
          <a:xfrm>
            <a:off x="3446578" y="36006963"/>
            <a:ext cx="2318655" cy="115587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43543</xdr:colOff>
      <xdr:row>235</xdr:row>
      <xdr:rowOff>-1</xdr:rowOff>
    </xdr:from>
    <xdr:to>
      <xdr:col>2</xdr:col>
      <xdr:colOff>127363</xdr:colOff>
      <xdr:row>238</xdr:row>
      <xdr:rowOff>85100</xdr:rowOff>
    </xdr:to>
    <xdr:sp macro="" textlink="">
      <xdr:nvSpPr>
        <xdr:cNvPr id="129" name="Oval 128"/>
        <xdr:cNvSpPr/>
      </xdr:nvSpPr>
      <xdr:spPr>
        <a:xfrm>
          <a:off x="43543" y="43597285"/>
          <a:ext cx="1303020" cy="640272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  <xdr:twoCellAnchor>
    <xdr:from>
      <xdr:col>2</xdr:col>
      <xdr:colOff>424543</xdr:colOff>
      <xdr:row>234</xdr:row>
      <xdr:rowOff>65313</xdr:rowOff>
    </xdr:from>
    <xdr:to>
      <xdr:col>4</xdr:col>
      <xdr:colOff>508363</xdr:colOff>
      <xdr:row>237</xdr:row>
      <xdr:rowOff>150414</xdr:rowOff>
    </xdr:to>
    <xdr:sp macro="" textlink="">
      <xdr:nvSpPr>
        <xdr:cNvPr id="130" name="Oval 129"/>
        <xdr:cNvSpPr/>
      </xdr:nvSpPr>
      <xdr:spPr>
        <a:xfrm>
          <a:off x="1643743" y="43477542"/>
          <a:ext cx="1303020" cy="640272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  <xdr:twoCellAnchor>
    <xdr:from>
      <xdr:col>5</xdr:col>
      <xdr:colOff>211310</xdr:colOff>
      <xdr:row>250</xdr:row>
      <xdr:rowOff>140232</xdr:rowOff>
    </xdr:from>
    <xdr:to>
      <xdr:col>7</xdr:col>
      <xdr:colOff>295130</xdr:colOff>
      <xdr:row>254</xdr:row>
      <xdr:rowOff>46039</xdr:rowOff>
    </xdr:to>
    <xdr:sp macro="" textlink="">
      <xdr:nvSpPr>
        <xdr:cNvPr id="131" name="Oval 130"/>
        <xdr:cNvSpPr/>
      </xdr:nvSpPr>
      <xdr:spPr>
        <a:xfrm>
          <a:off x="3259310" y="45143056"/>
          <a:ext cx="1303020" cy="62298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  <xdr:twoCellAnchor>
    <xdr:from>
      <xdr:col>8</xdr:col>
      <xdr:colOff>317605</xdr:colOff>
      <xdr:row>250</xdr:row>
      <xdr:rowOff>95408</xdr:rowOff>
    </xdr:from>
    <xdr:to>
      <xdr:col>10</xdr:col>
      <xdr:colOff>401425</xdr:colOff>
      <xdr:row>253</xdr:row>
      <xdr:rowOff>174746</xdr:rowOff>
    </xdr:to>
    <xdr:sp macro="" textlink="">
      <xdr:nvSpPr>
        <xdr:cNvPr id="132" name="Oval 131"/>
        <xdr:cNvSpPr/>
      </xdr:nvSpPr>
      <xdr:spPr>
        <a:xfrm>
          <a:off x="5194405" y="45098232"/>
          <a:ext cx="1303020" cy="61722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  <xdr:twoCellAnchor>
    <xdr:from>
      <xdr:col>6</xdr:col>
      <xdr:colOff>0</xdr:colOff>
      <xdr:row>214</xdr:row>
      <xdr:rowOff>145356</xdr:rowOff>
    </xdr:from>
    <xdr:to>
      <xdr:col>8</xdr:col>
      <xdr:colOff>83820</xdr:colOff>
      <xdr:row>218</xdr:row>
      <xdr:rowOff>48144</xdr:rowOff>
    </xdr:to>
    <xdr:sp macro="" textlink="">
      <xdr:nvSpPr>
        <xdr:cNvPr id="159" name="Oval 158"/>
        <xdr:cNvSpPr/>
      </xdr:nvSpPr>
      <xdr:spPr>
        <a:xfrm>
          <a:off x="3657600" y="38693591"/>
          <a:ext cx="1303020" cy="61996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Umur</a:t>
          </a:r>
          <a:endParaRPr lang="id-ID" sz="1100"/>
        </a:p>
      </xdr:txBody>
    </xdr:sp>
    <xdr:clientData/>
  </xdr:twoCellAnchor>
  <xdr:twoCellAnchor>
    <xdr:from>
      <xdr:col>5</xdr:col>
      <xdr:colOff>484094</xdr:colOff>
      <xdr:row>218</xdr:row>
      <xdr:rowOff>48666</xdr:rowOff>
    </xdr:from>
    <xdr:to>
      <xdr:col>7</xdr:col>
      <xdr:colOff>1</xdr:colOff>
      <xdr:row>222</xdr:row>
      <xdr:rowOff>0</xdr:rowOff>
    </xdr:to>
    <xdr:cxnSp macro="">
      <xdr:nvCxnSpPr>
        <xdr:cNvPr id="167" name="Straight Connector 166"/>
        <xdr:cNvCxnSpPr/>
      </xdr:nvCxnSpPr>
      <xdr:spPr>
        <a:xfrm flipH="1">
          <a:off x="3532094" y="39314078"/>
          <a:ext cx="735107" cy="6685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9253</xdr:colOff>
      <xdr:row>218</xdr:row>
      <xdr:rowOff>46744</xdr:rowOff>
    </xdr:from>
    <xdr:to>
      <xdr:col>9</xdr:col>
      <xdr:colOff>8965</xdr:colOff>
      <xdr:row>222</xdr:row>
      <xdr:rowOff>0</xdr:rowOff>
    </xdr:to>
    <xdr:cxnSp macro="">
      <xdr:nvCxnSpPr>
        <xdr:cNvPr id="168" name="Straight Connector 167"/>
        <xdr:cNvCxnSpPr/>
      </xdr:nvCxnSpPr>
      <xdr:spPr>
        <a:xfrm>
          <a:off x="4276453" y="39312156"/>
          <a:ext cx="1218912" cy="6704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587189</xdr:colOff>
      <xdr:row>255</xdr:row>
      <xdr:rowOff>137352</xdr:rowOff>
    </xdr:from>
    <xdr:to>
      <xdr:col>28</xdr:col>
      <xdr:colOff>231981</xdr:colOff>
      <xdr:row>296</xdr:row>
      <xdr:rowOff>70372</xdr:rowOff>
    </xdr:to>
    <xdr:grpSp>
      <xdr:nvGrpSpPr>
        <xdr:cNvPr id="207" name="Group 206"/>
        <xdr:cNvGrpSpPr/>
      </xdr:nvGrpSpPr>
      <xdr:grpSpPr>
        <a:xfrm>
          <a:off x="6073589" y="47061312"/>
          <a:ext cx="11204332" cy="7705420"/>
          <a:chOff x="5822577" y="46383068"/>
          <a:chExt cx="11209263" cy="7284079"/>
        </a:xfrm>
      </xdr:grpSpPr>
      <xdr:sp macro="" textlink="">
        <xdr:nvSpPr>
          <xdr:cNvPr id="177" name="Oval 176"/>
          <xdr:cNvSpPr/>
        </xdr:nvSpPr>
        <xdr:spPr>
          <a:xfrm>
            <a:off x="5822577" y="52643633"/>
            <a:ext cx="1303020" cy="622985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  <xdr:sp macro="" textlink="">
        <xdr:nvSpPr>
          <xdr:cNvPr id="179" name="Oval 178"/>
          <xdr:cNvSpPr/>
        </xdr:nvSpPr>
        <xdr:spPr>
          <a:xfrm>
            <a:off x="7705804" y="52673409"/>
            <a:ext cx="1303020" cy="62298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  <xdr:sp macro="" textlink="">
        <xdr:nvSpPr>
          <xdr:cNvPr id="180" name="Oval 179"/>
          <xdr:cNvSpPr/>
        </xdr:nvSpPr>
        <xdr:spPr>
          <a:xfrm>
            <a:off x="9362993" y="53049926"/>
            <a:ext cx="1303020" cy="61722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  <xdr:grpSp>
        <xdr:nvGrpSpPr>
          <xdr:cNvPr id="205" name="Group 204"/>
          <xdr:cNvGrpSpPr/>
        </xdr:nvGrpSpPr>
        <xdr:grpSpPr>
          <a:xfrm>
            <a:off x="6474087" y="46383068"/>
            <a:ext cx="10557753" cy="6666859"/>
            <a:chOff x="-4360261" y="46959048"/>
            <a:chExt cx="10529195" cy="6677763"/>
          </a:xfrm>
        </xdr:grpSpPr>
        <xdr:grpSp>
          <xdr:nvGrpSpPr>
            <xdr:cNvPr id="135" name="Group 134"/>
            <xdr:cNvGrpSpPr/>
          </xdr:nvGrpSpPr>
          <xdr:grpSpPr>
            <a:xfrm>
              <a:off x="-4360261" y="46959048"/>
              <a:ext cx="10529195" cy="6677763"/>
              <a:chOff x="-4360261" y="27192513"/>
              <a:chExt cx="10529195" cy="6896491"/>
            </a:xfrm>
          </xdr:grpSpPr>
          <xdr:grpSp>
            <xdr:nvGrpSpPr>
              <xdr:cNvPr id="136" name="Group 135"/>
              <xdr:cNvGrpSpPr/>
            </xdr:nvGrpSpPr>
            <xdr:grpSpPr>
              <a:xfrm>
                <a:off x="-3630969" y="27192513"/>
                <a:ext cx="9799903" cy="5007417"/>
                <a:chOff x="-3630969" y="20334513"/>
                <a:chExt cx="9799903" cy="5007417"/>
              </a:xfrm>
            </xdr:grpSpPr>
            <xdr:grpSp>
              <xdr:nvGrpSpPr>
                <xdr:cNvPr id="143" name="Group 142"/>
                <xdr:cNvGrpSpPr/>
              </xdr:nvGrpSpPr>
              <xdr:grpSpPr>
                <a:xfrm>
                  <a:off x="-2289900" y="20334513"/>
                  <a:ext cx="8458834" cy="4111720"/>
                  <a:chOff x="-2289900" y="13008428"/>
                  <a:chExt cx="8458834" cy="4111720"/>
                </a:xfrm>
              </xdr:grpSpPr>
              <xdr:grpSp>
                <xdr:nvGrpSpPr>
                  <xdr:cNvPr id="147" name="Group 146"/>
                  <xdr:cNvGrpSpPr/>
                </xdr:nvGrpSpPr>
                <xdr:grpSpPr>
                  <a:xfrm>
                    <a:off x="522514" y="13008428"/>
                    <a:ext cx="4912658" cy="1522079"/>
                    <a:chOff x="896471" y="8403772"/>
                    <a:chExt cx="4912658" cy="1522079"/>
                  </a:xfrm>
                </xdr:grpSpPr>
                <xdr:sp macro="" textlink="">
                  <xdr:nvSpPr>
                    <xdr:cNvPr id="154" name="Oval 153"/>
                    <xdr:cNvSpPr/>
                  </xdr:nvSpPr>
                  <xdr:spPr>
                    <a:xfrm>
                      <a:off x="2800127" y="8403772"/>
                      <a:ext cx="1303020" cy="64027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T. Darah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155" name="Straight Connector 154"/>
                    <xdr:cNvCxnSpPr>
                      <a:stCxn id="154" idx="3"/>
                    </xdr:cNvCxnSpPr>
                  </xdr:nvCxnSpPr>
                  <xdr:spPr>
                    <a:xfrm flipH="1">
                      <a:off x="896471" y="8947891"/>
                      <a:ext cx="2094479" cy="968995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56" name="Straight Connector 155"/>
                    <xdr:cNvCxnSpPr>
                      <a:stCxn id="154" idx="4"/>
                    </xdr:cNvCxnSpPr>
                  </xdr:nvCxnSpPr>
                  <xdr:spPr>
                    <a:xfrm flipH="1">
                      <a:off x="3451412" y="9044044"/>
                      <a:ext cx="225" cy="88180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57" name="Straight Connector 156"/>
                    <xdr:cNvCxnSpPr>
                      <a:stCxn id="154" idx="5"/>
                    </xdr:cNvCxnSpPr>
                  </xdr:nvCxnSpPr>
                  <xdr:spPr>
                    <a:xfrm>
                      <a:off x="3912324" y="8947891"/>
                      <a:ext cx="1896805" cy="968995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148" name="Oval 147"/>
                  <xdr:cNvSpPr/>
                </xdr:nvSpPr>
                <xdr:spPr>
                  <a:xfrm>
                    <a:off x="4865914" y="14521543"/>
                    <a:ext cx="1303020" cy="64027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3</a:t>
                    </a:r>
                  </a:p>
                </xdr:txBody>
              </xdr:sp>
              <xdr:sp macro="" textlink="">
                <xdr:nvSpPr>
                  <xdr:cNvPr id="149" name="Oval 148"/>
                  <xdr:cNvSpPr/>
                </xdr:nvSpPr>
                <xdr:spPr>
                  <a:xfrm>
                    <a:off x="2449285" y="14521543"/>
                    <a:ext cx="1303020" cy="64027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?</a:t>
                    </a:r>
                    <a:endParaRPr lang="id-ID" sz="1100"/>
                  </a:p>
                </xdr:txBody>
              </xdr:sp>
              <xdr:grpSp>
                <xdr:nvGrpSpPr>
                  <xdr:cNvPr id="150" name="Group 149"/>
                  <xdr:cNvGrpSpPr/>
                </xdr:nvGrpSpPr>
                <xdr:grpSpPr>
                  <a:xfrm>
                    <a:off x="-2289900" y="14510658"/>
                    <a:ext cx="4994190" cy="2609490"/>
                    <a:chOff x="-2289900" y="14510658"/>
                    <a:chExt cx="4994190" cy="2609490"/>
                  </a:xfrm>
                </xdr:grpSpPr>
                <xdr:sp macro="" textlink="">
                  <xdr:nvSpPr>
                    <xdr:cNvPr id="151" name="Oval 150"/>
                    <xdr:cNvSpPr/>
                  </xdr:nvSpPr>
                  <xdr:spPr>
                    <a:xfrm>
                      <a:off x="0" y="14510658"/>
                      <a:ext cx="1303020" cy="64027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L. Perut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152" name="Straight Connector 151"/>
                    <xdr:cNvCxnSpPr>
                      <a:endCxn id="144" idx="0"/>
                    </xdr:cNvCxnSpPr>
                  </xdr:nvCxnSpPr>
                  <xdr:spPr>
                    <a:xfrm flipH="1">
                      <a:off x="-2289900" y="15155136"/>
                      <a:ext cx="2905266" cy="814193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53" name="Straight Connector 152"/>
                    <xdr:cNvCxnSpPr>
                      <a:endCxn id="175" idx="0"/>
                    </xdr:cNvCxnSpPr>
                  </xdr:nvCxnSpPr>
                  <xdr:spPr>
                    <a:xfrm>
                      <a:off x="615366" y="15155136"/>
                      <a:ext cx="2088924" cy="1965012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sp macro="" textlink="">
              <xdr:nvSpPr>
                <xdr:cNvPr id="144" name="Oval 143"/>
                <xdr:cNvSpPr/>
              </xdr:nvSpPr>
              <xdr:spPr>
                <a:xfrm>
                  <a:off x="-2941410" y="23295414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BMI</a:t>
                  </a:r>
                  <a:endParaRPr lang="id-ID" sz="1100"/>
                </a:p>
              </xdr:txBody>
            </xdr:sp>
            <xdr:cxnSp macro="">
              <xdr:nvCxnSpPr>
                <xdr:cNvPr id="145" name="Straight Connector 144"/>
                <xdr:cNvCxnSpPr>
                  <a:endCxn id="137" idx="0"/>
                </xdr:cNvCxnSpPr>
              </xdr:nvCxnSpPr>
              <xdr:spPr>
                <a:xfrm flipH="1">
                  <a:off x="-3630969" y="23948558"/>
                  <a:ext cx="1299158" cy="921236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6" name="Straight Connector 145"/>
                <xdr:cNvCxnSpPr>
                  <a:endCxn id="140" idx="0"/>
                </xdr:cNvCxnSpPr>
              </xdr:nvCxnSpPr>
              <xdr:spPr>
                <a:xfrm>
                  <a:off x="-2320924" y="23937672"/>
                  <a:ext cx="2610937" cy="1404258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37" name="Oval 136"/>
              <xdr:cNvSpPr/>
            </xdr:nvSpPr>
            <xdr:spPr>
              <a:xfrm>
                <a:off x="-4282479" y="31727794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Umur</a:t>
                </a:r>
                <a:endParaRPr lang="id-ID" sz="1100"/>
              </a:p>
            </xdr:txBody>
          </xdr:sp>
          <xdr:cxnSp macro="">
            <xdr:nvCxnSpPr>
              <xdr:cNvPr id="138" name="Straight Connector 137"/>
              <xdr:cNvCxnSpPr>
                <a:endCxn id="177" idx="0"/>
              </xdr:cNvCxnSpPr>
            </xdr:nvCxnSpPr>
            <xdr:spPr>
              <a:xfrm flipH="1">
                <a:off x="-4360261" y="32379324"/>
                <a:ext cx="702159" cy="1289393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9" name="Straight Connector 138"/>
              <xdr:cNvCxnSpPr>
                <a:stCxn id="137" idx="4"/>
                <a:endCxn id="179" idx="0"/>
              </xdr:cNvCxnSpPr>
            </xdr:nvCxnSpPr>
            <xdr:spPr>
              <a:xfrm>
                <a:off x="-3630969" y="32368066"/>
                <a:ext cx="1148841" cy="1331452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40" name="Oval 139"/>
              <xdr:cNvSpPr/>
            </xdr:nvSpPr>
            <xdr:spPr>
              <a:xfrm>
                <a:off x="-361498" y="32199930"/>
                <a:ext cx="1303020" cy="640272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Umur</a:t>
                </a:r>
                <a:endParaRPr lang="id-ID" sz="1100"/>
              </a:p>
            </xdr:txBody>
          </xdr:sp>
          <xdr:cxnSp macro="">
            <xdr:nvCxnSpPr>
              <xdr:cNvPr id="141" name="Straight Connector 140"/>
              <xdr:cNvCxnSpPr>
                <a:endCxn id="180" idx="0"/>
              </xdr:cNvCxnSpPr>
            </xdr:nvCxnSpPr>
            <xdr:spPr>
              <a:xfrm flipH="1">
                <a:off x="-829422" y="32842186"/>
                <a:ext cx="1262584" cy="1246818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2" name="Straight Connector 141"/>
              <xdr:cNvCxnSpPr>
                <a:endCxn id="206" idx="0"/>
              </xdr:cNvCxnSpPr>
            </xdr:nvCxnSpPr>
            <xdr:spPr>
              <a:xfrm>
                <a:off x="442415" y="32840201"/>
                <a:ext cx="954977" cy="1236548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75" name="Oval 174"/>
            <xdr:cNvSpPr/>
          </xdr:nvSpPr>
          <xdr:spPr>
            <a:xfrm>
              <a:off x="2052780" y="50940362"/>
              <a:ext cx="1303020" cy="619965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Umur</a:t>
              </a:r>
              <a:endParaRPr lang="id-ID" sz="1100"/>
            </a:p>
          </xdr:txBody>
        </xdr:sp>
        <xdr:cxnSp macro="">
          <xdr:nvCxnSpPr>
            <xdr:cNvPr id="181" name="Straight Connector 180"/>
            <xdr:cNvCxnSpPr/>
          </xdr:nvCxnSpPr>
          <xdr:spPr>
            <a:xfrm flipH="1">
              <a:off x="2549147" y="51551871"/>
              <a:ext cx="131335" cy="96284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206" name="Oval 205"/>
          <xdr:cNvSpPr/>
        </xdr:nvSpPr>
        <xdr:spPr>
          <a:xfrm>
            <a:off x="11595846" y="53038080"/>
            <a:ext cx="1303020" cy="622985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2</a:t>
            </a:r>
            <a:endParaRPr lang="id-ID" sz="1100"/>
          </a:p>
        </xdr:txBody>
      </xdr:sp>
    </xdr:grpSp>
    <xdr:clientData/>
  </xdr:twoCellAnchor>
  <xdr:twoCellAnchor>
    <xdr:from>
      <xdr:col>22</xdr:col>
      <xdr:colOff>415540</xdr:colOff>
      <xdr:row>281</xdr:row>
      <xdr:rowOff>191039</xdr:rowOff>
    </xdr:from>
    <xdr:to>
      <xdr:col>26</xdr:col>
      <xdr:colOff>277905</xdr:colOff>
      <xdr:row>286</xdr:row>
      <xdr:rowOff>172251</xdr:rowOff>
    </xdr:to>
    <xdr:cxnSp macro="">
      <xdr:nvCxnSpPr>
        <xdr:cNvPr id="219" name="Straight Connector 218"/>
        <xdr:cNvCxnSpPr>
          <a:stCxn id="175" idx="4"/>
        </xdr:cNvCxnSpPr>
      </xdr:nvCxnSpPr>
      <xdr:spPr>
        <a:xfrm>
          <a:off x="13804969" y="52464239"/>
          <a:ext cx="2300765" cy="9609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244289</xdr:colOff>
      <xdr:row>314</xdr:row>
      <xdr:rowOff>112862</xdr:rowOff>
    </xdr:from>
    <xdr:to>
      <xdr:col>21</xdr:col>
      <xdr:colOff>86062</xdr:colOff>
      <xdr:row>372</xdr:row>
      <xdr:rowOff>130209</xdr:rowOff>
    </xdr:to>
    <xdr:grpSp>
      <xdr:nvGrpSpPr>
        <xdr:cNvPr id="6" name="Group 5"/>
        <xdr:cNvGrpSpPr/>
      </xdr:nvGrpSpPr>
      <xdr:grpSpPr>
        <a:xfrm>
          <a:off x="853889" y="58169642"/>
          <a:ext cx="12010913" cy="10769167"/>
          <a:chOff x="853889" y="57155286"/>
          <a:chExt cx="12015844" cy="10586735"/>
        </a:xfrm>
      </xdr:grpSpPr>
      <xdr:grpSp>
        <xdr:nvGrpSpPr>
          <xdr:cNvPr id="222" name="Group 221"/>
          <xdr:cNvGrpSpPr/>
        </xdr:nvGrpSpPr>
        <xdr:grpSpPr>
          <a:xfrm>
            <a:off x="853889" y="57155286"/>
            <a:ext cx="11209263" cy="7691719"/>
            <a:chOff x="5822577" y="46383069"/>
            <a:chExt cx="11209263" cy="7521098"/>
          </a:xfrm>
        </xdr:grpSpPr>
        <xdr:sp macro="" textlink="">
          <xdr:nvSpPr>
            <xdr:cNvPr id="223" name="Oval 222"/>
            <xdr:cNvSpPr/>
          </xdr:nvSpPr>
          <xdr:spPr>
            <a:xfrm>
              <a:off x="5822577" y="52643633"/>
              <a:ext cx="1303020" cy="622985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  <a:endParaRPr lang="id-ID" sz="1100"/>
            </a:p>
          </xdr:txBody>
        </xdr:sp>
        <xdr:sp macro="" textlink="">
          <xdr:nvSpPr>
            <xdr:cNvPr id="224" name="Oval 223"/>
            <xdr:cNvSpPr/>
          </xdr:nvSpPr>
          <xdr:spPr>
            <a:xfrm>
              <a:off x="7705804" y="52673409"/>
              <a:ext cx="1303020" cy="622984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  <a:endParaRPr lang="id-ID" sz="1100"/>
            </a:p>
          </xdr:txBody>
        </xdr:sp>
        <xdr:sp macro="" textlink="">
          <xdr:nvSpPr>
            <xdr:cNvPr id="225" name="Oval 224"/>
            <xdr:cNvSpPr/>
          </xdr:nvSpPr>
          <xdr:spPr>
            <a:xfrm>
              <a:off x="9362993" y="53049926"/>
              <a:ext cx="1303020" cy="61722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  <a:endParaRPr lang="id-ID" sz="1100"/>
            </a:p>
          </xdr:txBody>
        </xdr:sp>
        <xdr:grpSp>
          <xdr:nvGrpSpPr>
            <xdr:cNvPr id="226" name="Group 225"/>
            <xdr:cNvGrpSpPr/>
          </xdr:nvGrpSpPr>
          <xdr:grpSpPr>
            <a:xfrm>
              <a:off x="6474087" y="46383069"/>
              <a:ext cx="10557753" cy="7521098"/>
              <a:chOff x="-4360261" y="46959048"/>
              <a:chExt cx="10529195" cy="7533399"/>
            </a:xfrm>
          </xdr:grpSpPr>
          <xdr:grpSp>
            <xdr:nvGrpSpPr>
              <xdr:cNvPr id="228" name="Group 227"/>
              <xdr:cNvGrpSpPr/>
            </xdr:nvGrpSpPr>
            <xdr:grpSpPr>
              <a:xfrm>
                <a:off x="-4360261" y="46959048"/>
                <a:ext cx="10529195" cy="6677763"/>
                <a:chOff x="-4360261" y="27192513"/>
                <a:chExt cx="10529195" cy="6896491"/>
              </a:xfrm>
            </xdr:grpSpPr>
            <xdr:grpSp>
              <xdr:nvGrpSpPr>
                <xdr:cNvPr id="231" name="Group 230"/>
                <xdr:cNvGrpSpPr/>
              </xdr:nvGrpSpPr>
              <xdr:grpSpPr>
                <a:xfrm>
                  <a:off x="-3630969" y="27192513"/>
                  <a:ext cx="9799903" cy="5007417"/>
                  <a:chOff x="-3630969" y="20334513"/>
                  <a:chExt cx="9799903" cy="5007417"/>
                </a:xfrm>
              </xdr:grpSpPr>
              <xdr:grpSp>
                <xdr:nvGrpSpPr>
                  <xdr:cNvPr id="238" name="Group 237"/>
                  <xdr:cNvGrpSpPr/>
                </xdr:nvGrpSpPr>
                <xdr:grpSpPr>
                  <a:xfrm>
                    <a:off x="-2289900" y="20334513"/>
                    <a:ext cx="8458834" cy="4111720"/>
                    <a:chOff x="-2289900" y="13008428"/>
                    <a:chExt cx="8458834" cy="4111720"/>
                  </a:xfrm>
                </xdr:grpSpPr>
                <xdr:grpSp>
                  <xdr:nvGrpSpPr>
                    <xdr:cNvPr id="242" name="Group 241"/>
                    <xdr:cNvGrpSpPr/>
                  </xdr:nvGrpSpPr>
                  <xdr:grpSpPr>
                    <a:xfrm>
                      <a:off x="522514" y="13008428"/>
                      <a:ext cx="4912658" cy="1522079"/>
                      <a:chOff x="896471" y="8403772"/>
                      <a:chExt cx="4912658" cy="1522079"/>
                    </a:xfrm>
                  </xdr:grpSpPr>
                  <xdr:sp macro="" textlink="">
                    <xdr:nvSpPr>
                      <xdr:cNvPr id="249" name="Oval 248"/>
                      <xdr:cNvSpPr/>
                    </xdr:nvSpPr>
                    <xdr:spPr>
                      <a:xfrm>
                        <a:off x="2800127" y="8403772"/>
                        <a:ext cx="1303020" cy="64027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T. Darah</a:t>
                        </a:r>
                        <a:endParaRPr lang="id-ID" sz="1100"/>
                      </a:p>
                    </xdr:txBody>
                  </xdr:sp>
                  <xdr:cxnSp macro="">
                    <xdr:nvCxnSpPr>
                      <xdr:cNvPr id="250" name="Straight Connector 249"/>
                      <xdr:cNvCxnSpPr>
                        <a:stCxn id="249" idx="3"/>
                      </xdr:cNvCxnSpPr>
                    </xdr:nvCxnSpPr>
                    <xdr:spPr>
                      <a:xfrm flipH="1">
                        <a:off x="896471" y="8947891"/>
                        <a:ext cx="2094479" cy="968995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51" name="Straight Connector 250"/>
                      <xdr:cNvCxnSpPr>
                        <a:stCxn id="249" idx="4"/>
                      </xdr:cNvCxnSpPr>
                    </xdr:nvCxnSpPr>
                    <xdr:spPr>
                      <a:xfrm flipH="1">
                        <a:off x="3451412" y="9044044"/>
                        <a:ext cx="225" cy="881807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52" name="Straight Connector 251"/>
                      <xdr:cNvCxnSpPr>
                        <a:stCxn id="249" idx="5"/>
                      </xdr:cNvCxnSpPr>
                    </xdr:nvCxnSpPr>
                    <xdr:spPr>
                      <a:xfrm>
                        <a:off x="3912324" y="8947891"/>
                        <a:ext cx="1896805" cy="968995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243" name="Oval 242"/>
                    <xdr:cNvSpPr/>
                  </xdr:nvSpPr>
                  <xdr:spPr>
                    <a:xfrm>
                      <a:off x="4865914" y="14521543"/>
                      <a:ext cx="1303020" cy="64027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3</a:t>
                      </a:r>
                    </a:p>
                  </xdr:txBody>
                </xdr:sp>
                <xdr:sp macro="" textlink="">
                  <xdr:nvSpPr>
                    <xdr:cNvPr id="244" name="Oval 243"/>
                    <xdr:cNvSpPr/>
                  </xdr:nvSpPr>
                  <xdr:spPr>
                    <a:xfrm>
                      <a:off x="2449285" y="14521543"/>
                      <a:ext cx="1303020" cy="64027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?</a:t>
                      </a:r>
                      <a:endParaRPr lang="id-ID" sz="1100"/>
                    </a:p>
                  </xdr:txBody>
                </xdr:sp>
                <xdr:grpSp>
                  <xdr:nvGrpSpPr>
                    <xdr:cNvPr id="245" name="Group 244"/>
                    <xdr:cNvGrpSpPr/>
                  </xdr:nvGrpSpPr>
                  <xdr:grpSpPr>
                    <a:xfrm>
                      <a:off x="-2289900" y="14510658"/>
                      <a:ext cx="4994190" cy="2609490"/>
                      <a:chOff x="-2289900" y="14510658"/>
                      <a:chExt cx="4994190" cy="2609490"/>
                    </a:xfrm>
                  </xdr:grpSpPr>
                  <xdr:sp macro="" textlink="">
                    <xdr:nvSpPr>
                      <xdr:cNvPr id="246" name="Oval 245"/>
                      <xdr:cNvSpPr/>
                    </xdr:nvSpPr>
                    <xdr:spPr>
                      <a:xfrm>
                        <a:off x="0" y="14510658"/>
                        <a:ext cx="1303020" cy="64027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L. Perut</a:t>
                        </a:r>
                        <a:endParaRPr lang="id-ID" sz="1100"/>
                      </a:p>
                    </xdr:txBody>
                  </xdr:sp>
                  <xdr:cxnSp macro="">
                    <xdr:nvCxnSpPr>
                      <xdr:cNvPr id="247" name="Straight Connector 246"/>
                      <xdr:cNvCxnSpPr>
                        <a:endCxn id="239" idx="0"/>
                      </xdr:cNvCxnSpPr>
                    </xdr:nvCxnSpPr>
                    <xdr:spPr>
                      <a:xfrm flipH="1">
                        <a:off x="-2289900" y="15155136"/>
                        <a:ext cx="2905266" cy="814193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48" name="Straight Connector 247"/>
                      <xdr:cNvCxnSpPr>
                        <a:endCxn id="229" idx="0"/>
                      </xdr:cNvCxnSpPr>
                    </xdr:nvCxnSpPr>
                    <xdr:spPr>
                      <a:xfrm>
                        <a:off x="615366" y="15155136"/>
                        <a:ext cx="2088924" cy="1965012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  <xdr:sp macro="" textlink="">
                <xdr:nvSpPr>
                  <xdr:cNvPr id="239" name="Oval 238"/>
                  <xdr:cNvSpPr/>
                </xdr:nvSpPr>
                <xdr:spPr>
                  <a:xfrm>
                    <a:off x="-2941410" y="23295414"/>
                    <a:ext cx="1303020" cy="64027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BMI</a:t>
                    </a:r>
                    <a:endParaRPr lang="id-ID" sz="1100"/>
                  </a:p>
                </xdr:txBody>
              </xdr:sp>
              <xdr:cxnSp macro="">
                <xdr:nvCxnSpPr>
                  <xdr:cNvPr id="240" name="Straight Connector 239"/>
                  <xdr:cNvCxnSpPr>
                    <a:endCxn id="232" idx="0"/>
                  </xdr:cNvCxnSpPr>
                </xdr:nvCxnSpPr>
                <xdr:spPr>
                  <a:xfrm flipH="1">
                    <a:off x="-3630969" y="23948558"/>
                    <a:ext cx="1299158" cy="921236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41" name="Straight Connector 240"/>
                  <xdr:cNvCxnSpPr>
                    <a:endCxn id="235" idx="0"/>
                  </xdr:cNvCxnSpPr>
                </xdr:nvCxnSpPr>
                <xdr:spPr>
                  <a:xfrm>
                    <a:off x="-2320924" y="23937672"/>
                    <a:ext cx="2610937" cy="1404258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232" name="Oval 231"/>
                <xdr:cNvSpPr/>
              </xdr:nvSpPr>
              <xdr:spPr>
                <a:xfrm>
                  <a:off x="-4282479" y="31727794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Umur</a:t>
                  </a:r>
                  <a:endParaRPr lang="id-ID" sz="1100"/>
                </a:p>
              </xdr:txBody>
            </xdr:sp>
            <xdr:cxnSp macro="">
              <xdr:nvCxnSpPr>
                <xdr:cNvPr id="233" name="Straight Connector 232"/>
                <xdr:cNvCxnSpPr>
                  <a:endCxn id="223" idx="0"/>
                </xdr:cNvCxnSpPr>
              </xdr:nvCxnSpPr>
              <xdr:spPr>
                <a:xfrm flipH="1">
                  <a:off x="-4360261" y="32379324"/>
                  <a:ext cx="702159" cy="1289393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4" name="Straight Connector 233"/>
                <xdr:cNvCxnSpPr>
                  <a:stCxn id="232" idx="4"/>
                  <a:endCxn id="224" idx="0"/>
                </xdr:cNvCxnSpPr>
              </xdr:nvCxnSpPr>
              <xdr:spPr>
                <a:xfrm>
                  <a:off x="-3630969" y="32368066"/>
                  <a:ext cx="1148841" cy="133145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5" name="Oval 234"/>
                <xdr:cNvSpPr/>
              </xdr:nvSpPr>
              <xdr:spPr>
                <a:xfrm>
                  <a:off x="-361498" y="32199930"/>
                  <a:ext cx="1303020" cy="640272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Umur</a:t>
                  </a:r>
                  <a:endParaRPr lang="id-ID" sz="1100"/>
                </a:p>
              </xdr:txBody>
            </xdr:sp>
            <xdr:cxnSp macro="">
              <xdr:nvCxnSpPr>
                <xdr:cNvPr id="236" name="Straight Connector 235"/>
                <xdr:cNvCxnSpPr>
                  <a:endCxn id="225" idx="0"/>
                </xdr:cNvCxnSpPr>
              </xdr:nvCxnSpPr>
              <xdr:spPr>
                <a:xfrm flipH="1">
                  <a:off x="-829422" y="32842186"/>
                  <a:ext cx="1262584" cy="1246818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7" name="Straight Connector 236"/>
                <xdr:cNvCxnSpPr>
                  <a:endCxn id="227" idx="0"/>
                </xdr:cNvCxnSpPr>
              </xdr:nvCxnSpPr>
              <xdr:spPr>
                <a:xfrm>
                  <a:off x="442415" y="32840201"/>
                  <a:ext cx="954977" cy="1236548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29" name="Oval 228"/>
              <xdr:cNvSpPr/>
            </xdr:nvSpPr>
            <xdr:spPr>
              <a:xfrm>
                <a:off x="2052780" y="50940362"/>
                <a:ext cx="1303020" cy="619965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Umur</a:t>
                </a:r>
                <a:endParaRPr lang="id-ID" sz="1100"/>
              </a:p>
            </xdr:txBody>
          </xdr:sp>
          <xdr:cxnSp macro="">
            <xdr:nvCxnSpPr>
              <xdr:cNvPr id="230" name="Straight Connector 229"/>
              <xdr:cNvCxnSpPr>
                <a:endCxn id="253" idx="0"/>
              </xdr:cNvCxnSpPr>
            </xdr:nvCxnSpPr>
            <xdr:spPr>
              <a:xfrm flipH="1">
                <a:off x="2434486" y="51551871"/>
                <a:ext cx="245997" cy="2940576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27" name="Oval 226"/>
            <xdr:cNvSpPr/>
          </xdr:nvSpPr>
          <xdr:spPr>
            <a:xfrm>
              <a:off x="11595846" y="53038080"/>
              <a:ext cx="1303020" cy="622985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2</a:t>
              </a:r>
              <a:endParaRPr lang="id-ID" sz="1100"/>
            </a:p>
          </xdr:txBody>
        </xdr:sp>
      </xdr:grpSp>
      <xdr:sp macro="" textlink="">
        <xdr:nvSpPr>
          <xdr:cNvPr id="253" name="Oval 252"/>
          <xdr:cNvSpPr/>
        </xdr:nvSpPr>
        <xdr:spPr>
          <a:xfrm>
            <a:off x="7667065" y="64847001"/>
            <a:ext cx="1303020" cy="61798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BMI</a:t>
            </a:r>
            <a:endParaRPr lang="id-ID" sz="1100"/>
          </a:p>
        </xdr:txBody>
      </xdr:sp>
      <xdr:cxnSp macro="">
        <xdr:nvCxnSpPr>
          <xdr:cNvPr id="255" name="Straight Connector 254"/>
          <xdr:cNvCxnSpPr/>
        </xdr:nvCxnSpPr>
        <xdr:spPr>
          <a:xfrm flipH="1">
            <a:off x="7066429" y="65465568"/>
            <a:ext cx="1266008" cy="120678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Oval 255"/>
          <xdr:cNvSpPr/>
        </xdr:nvSpPr>
        <xdr:spPr>
          <a:xfrm>
            <a:off x="6394077" y="66675804"/>
            <a:ext cx="1303020" cy="61798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  <xdr:sp macro="" textlink="">
        <xdr:nvSpPr>
          <xdr:cNvPr id="257" name="Oval 256"/>
          <xdr:cNvSpPr/>
        </xdr:nvSpPr>
        <xdr:spPr>
          <a:xfrm>
            <a:off x="8698007" y="66684768"/>
            <a:ext cx="1303020" cy="61798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  <xdr:cxnSp macro="">
        <xdr:nvCxnSpPr>
          <xdr:cNvPr id="258" name="Straight Connector 257"/>
          <xdr:cNvCxnSpPr/>
        </xdr:nvCxnSpPr>
        <xdr:spPr>
          <a:xfrm>
            <a:off x="8339418" y="65474532"/>
            <a:ext cx="957567" cy="119684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9" name="Straight Connector 258"/>
          <xdr:cNvCxnSpPr>
            <a:stCxn id="229" idx="4"/>
            <a:endCxn id="262" idx="0"/>
          </xdr:cNvCxnSpPr>
        </xdr:nvCxnSpPr>
        <xdr:spPr>
          <a:xfrm>
            <a:off x="8589111" y="61853264"/>
            <a:ext cx="2621398" cy="29024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2" name="Oval 261"/>
          <xdr:cNvSpPr/>
        </xdr:nvSpPr>
        <xdr:spPr>
          <a:xfrm>
            <a:off x="10558591" y="64755724"/>
            <a:ext cx="1303835" cy="618795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BMI</a:t>
            </a:r>
            <a:endParaRPr lang="id-ID" sz="1100"/>
          </a:p>
        </xdr:txBody>
      </xdr:sp>
      <xdr:cxnSp macro="">
        <xdr:nvCxnSpPr>
          <xdr:cNvPr id="161" name="Straight Connector 160"/>
          <xdr:cNvCxnSpPr>
            <a:endCxn id="162" idx="0"/>
          </xdr:cNvCxnSpPr>
        </xdr:nvCxnSpPr>
        <xdr:spPr>
          <a:xfrm flipH="1">
            <a:off x="10604576" y="65366957"/>
            <a:ext cx="596567" cy="175708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2" name="Oval 161"/>
          <xdr:cNvSpPr/>
        </xdr:nvSpPr>
        <xdr:spPr>
          <a:xfrm>
            <a:off x="9953066" y="67124040"/>
            <a:ext cx="1303020" cy="61798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1</a:t>
            </a:r>
            <a:endParaRPr lang="id-ID" sz="1100"/>
          </a:p>
        </xdr:txBody>
      </xdr:sp>
      <xdr:sp macro="" textlink="">
        <xdr:nvSpPr>
          <xdr:cNvPr id="163" name="Oval 162"/>
          <xdr:cNvSpPr/>
        </xdr:nvSpPr>
        <xdr:spPr>
          <a:xfrm>
            <a:off x="11566713" y="66586157"/>
            <a:ext cx="1303020" cy="61798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2</a:t>
            </a:r>
            <a:endParaRPr lang="id-ID" sz="1100"/>
          </a:p>
        </xdr:txBody>
      </xdr:sp>
      <xdr:cxnSp macro="">
        <xdr:nvCxnSpPr>
          <xdr:cNvPr id="164" name="Straight Connector 163"/>
          <xdr:cNvCxnSpPr/>
        </xdr:nvCxnSpPr>
        <xdr:spPr>
          <a:xfrm>
            <a:off x="11208124" y="65375921"/>
            <a:ext cx="957567" cy="119684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225239</xdr:colOff>
      <xdr:row>363</xdr:row>
      <xdr:rowOff>3054</xdr:rowOff>
    </xdr:from>
    <xdr:to>
      <xdr:col>36</xdr:col>
      <xdr:colOff>23552</xdr:colOff>
      <xdr:row>435</xdr:row>
      <xdr:rowOff>11435</xdr:rowOff>
    </xdr:to>
    <xdr:grpSp>
      <xdr:nvGrpSpPr>
        <xdr:cNvPr id="27" name="Group 26"/>
        <xdr:cNvGrpSpPr/>
      </xdr:nvGrpSpPr>
      <xdr:grpSpPr>
        <a:xfrm>
          <a:off x="3273239" y="67165734"/>
          <a:ext cx="18673053" cy="13175741"/>
          <a:chOff x="3273239" y="67788397"/>
          <a:chExt cx="18674142" cy="13332495"/>
        </a:xfrm>
      </xdr:grpSpPr>
      <xdr:grpSp>
        <xdr:nvGrpSpPr>
          <xdr:cNvPr id="169" name="Group 168"/>
          <xdr:cNvGrpSpPr/>
        </xdr:nvGrpSpPr>
        <xdr:grpSpPr>
          <a:xfrm>
            <a:off x="3273239" y="67788397"/>
            <a:ext cx="18674142" cy="13332495"/>
            <a:chOff x="-6632761" y="57155288"/>
            <a:chExt cx="18695913" cy="12917665"/>
          </a:xfrm>
        </xdr:grpSpPr>
        <xdr:grpSp>
          <xdr:nvGrpSpPr>
            <xdr:cNvPr id="170" name="Group 169"/>
            <xdr:cNvGrpSpPr/>
          </xdr:nvGrpSpPr>
          <xdr:grpSpPr>
            <a:xfrm>
              <a:off x="-6632761" y="57155288"/>
              <a:ext cx="18695913" cy="10022649"/>
              <a:chOff x="-1664073" y="46383070"/>
              <a:chExt cx="18695913" cy="9800322"/>
            </a:xfrm>
          </xdr:grpSpPr>
          <xdr:sp macro="" textlink="">
            <xdr:nvSpPr>
              <xdr:cNvPr id="187" name="Oval 186"/>
              <xdr:cNvSpPr/>
            </xdr:nvSpPr>
            <xdr:spPr>
              <a:xfrm>
                <a:off x="-1664073" y="54922859"/>
                <a:ext cx="1303020" cy="622985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2</a:t>
                </a:r>
                <a:endParaRPr lang="id-ID" sz="1100"/>
              </a:p>
            </xdr:txBody>
          </xdr:sp>
          <xdr:sp macro="" textlink="">
            <xdr:nvSpPr>
              <xdr:cNvPr id="188" name="Oval 187"/>
              <xdr:cNvSpPr/>
            </xdr:nvSpPr>
            <xdr:spPr>
              <a:xfrm>
                <a:off x="219154" y="54952635"/>
                <a:ext cx="1303020" cy="622984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2</a:t>
                </a:r>
                <a:endParaRPr lang="id-ID" sz="1100"/>
              </a:p>
            </xdr:txBody>
          </xdr:sp>
          <xdr:sp macro="" textlink="">
            <xdr:nvSpPr>
              <xdr:cNvPr id="189" name="Oval 188"/>
              <xdr:cNvSpPr/>
            </xdr:nvSpPr>
            <xdr:spPr>
              <a:xfrm>
                <a:off x="1876343" y="55329152"/>
                <a:ext cx="1303020" cy="617221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2</a:t>
                </a:r>
                <a:endParaRPr lang="id-ID" sz="1100"/>
              </a:p>
            </xdr:txBody>
          </xdr:sp>
          <xdr:grpSp>
            <xdr:nvGrpSpPr>
              <xdr:cNvPr id="190" name="Group 189"/>
              <xdr:cNvGrpSpPr/>
            </xdr:nvGrpSpPr>
            <xdr:grpSpPr>
              <a:xfrm>
                <a:off x="-1012563" y="46383070"/>
                <a:ext cx="18044403" cy="9800322"/>
                <a:chOff x="-11826660" y="46959050"/>
                <a:chExt cx="17995594" cy="9816351"/>
              </a:xfrm>
            </xdr:grpSpPr>
            <xdr:grpSp>
              <xdr:nvGrpSpPr>
                <xdr:cNvPr id="192" name="Group 191"/>
                <xdr:cNvGrpSpPr/>
              </xdr:nvGrpSpPr>
              <xdr:grpSpPr>
                <a:xfrm>
                  <a:off x="-11826660" y="46959050"/>
                  <a:ext cx="17995594" cy="8960717"/>
                  <a:chOff x="-11826660" y="27192513"/>
                  <a:chExt cx="17995594" cy="9254222"/>
                </a:xfrm>
              </xdr:grpSpPr>
              <xdr:grpSp>
                <xdr:nvGrpSpPr>
                  <xdr:cNvPr id="195" name="Group 194"/>
                  <xdr:cNvGrpSpPr/>
                </xdr:nvGrpSpPr>
                <xdr:grpSpPr>
                  <a:xfrm>
                    <a:off x="-11097368" y="27192513"/>
                    <a:ext cx="17266302" cy="7365149"/>
                    <a:chOff x="-11097368" y="20334513"/>
                    <a:chExt cx="17266302" cy="7365149"/>
                  </a:xfrm>
                </xdr:grpSpPr>
                <xdr:grpSp>
                  <xdr:nvGrpSpPr>
                    <xdr:cNvPr id="202" name="Group 201"/>
                    <xdr:cNvGrpSpPr/>
                  </xdr:nvGrpSpPr>
                  <xdr:grpSpPr>
                    <a:xfrm>
                      <a:off x="-9756299" y="20334513"/>
                      <a:ext cx="15925233" cy="6469451"/>
                      <a:chOff x="-9756299" y="13008428"/>
                      <a:chExt cx="15925233" cy="6469451"/>
                    </a:xfrm>
                  </xdr:grpSpPr>
                  <xdr:grpSp>
                    <xdr:nvGrpSpPr>
                      <xdr:cNvPr id="209" name="Group 208"/>
                      <xdr:cNvGrpSpPr/>
                    </xdr:nvGrpSpPr>
                    <xdr:grpSpPr>
                      <a:xfrm>
                        <a:off x="-6814888" y="13008428"/>
                        <a:ext cx="12250060" cy="3859961"/>
                        <a:chOff x="-6440931" y="8403772"/>
                        <a:chExt cx="12250060" cy="3859961"/>
                      </a:xfrm>
                    </xdr:grpSpPr>
                    <xdr:sp macro="" textlink="">
                      <xdr:nvSpPr>
                        <xdr:cNvPr id="216" name="Oval 215"/>
                        <xdr:cNvSpPr/>
                      </xdr:nvSpPr>
                      <xdr:spPr>
                        <a:xfrm>
                          <a:off x="2800127" y="8403772"/>
                          <a:ext cx="1303020" cy="64027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T. Darah</a:t>
                          </a:r>
                          <a:endParaRPr lang="id-ID" sz="1100"/>
                        </a:p>
                      </xdr:txBody>
                    </xdr:sp>
                    <xdr:cxnSp macro="">
                      <xdr:nvCxnSpPr>
                        <xdr:cNvPr id="217" name="Straight Connector 216"/>
                        <xdr:cNvCxnSpPr>
                          <a:stCxn id="216" idx="3"/>
                          <a:endCxn id="213" idx="0"/>
                        </xdr:cNvCxnSpPr>
                      </xdr:nvCxnSpPr>
                      <xdr:spPr>
                        <a:xfrm flipH="1">
                          <a:off x="-6440931" y="8950278"/>
                          <a:ext cx="9431880" cy="3313455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8" name="Straight Connector 217"/>
                        <xdr:cNvCxnSpPr>
                          <a:stCxn id="216" idx="4"/>
                        </xdr:cNvCxnSpPr>
                      </xdr:nvCxnSpPr>
                      <xdr:spPr>
                        <a:xfrm flipH="1">
                          <a:off x="3451412" y="9044044"/>
                          <a:ext cx="225" cy="881807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20" name="Straight Connector 219"/>
                        <xdr:cNvCxnSpPr>
                          <a:stCxn id="216" idx="5"/>
                        </xdr:cNvCxnSpPr>
                      </xdr:nvCxnSpPr>
                      <xdr:spPr>
                        <a:xfrm>
                          <a:off x="3912324" y="8947891"/>
                          <a:ext cx="1896805" cy="968995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0" name="Oval 209"/>
                      <xdr:cNvSpPr/>
                    </xdr:nvSpPr>
                    <xdr:spPr>
                      <a:xfrm>
                        <a:off x="4865914" y="14521543"/>
                        <a:ext cx="1303020" cy="64027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3</a:t>
                        </a:r>
                      </a:p>
                    </xdr:txBody>
                  </xdr:sp>
                  <xdr:sp macro="" textlink="">
                    <xdr:nvSpPr>
                      <xdr:cNvPr id="211" name="Oval 210"/>
                      <xdr:cNvSpPr/>
                    </xdr:nvSpPr>
                    <xdr:spPr>
                      <a:xfrm>
                        <a:off x="2449285" y="14521543"/>
                        <a:ext cx="1303020" cy="640272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L. Perut</a:t>
                        </a:r>
                        <a:endParaRPr lang="id-ID" sz="1100"/>
                      </a:p>
                    </xdr:txBody>
                  </xdr:sp>
                  <xdr:grpSp>
                    <xdr:nvGrpSpPr>
                      <xdr:cNvPr id="212" name="Group 211"/>
                      <xdr:cNvGrpSpPr/>
                    </xdr:nvGrpSpPr>
                    <xdr:grpSpPr>
                      <a:xfrm>
                        <a:off x="-9756299" y="16868389"/>
                        <a:ext cx="4994190" cy="2609490"/>
                        <a:chOff x="-9756299" y="16868389"/>
                        <a:chExt cx="4994190" cy="2609490"/>
                      </a:xfrm>
                    </xdr:grpSpPr>
                    <xdr:sp macro="" textlink="">
                      <xdr:nvSpPr>
                        <xdr:cNvPr id="213" name="Oval 212"/>
                        <xdr:cNvSpPr/>
                      </xdr:nvSpPr>
                      <xdr:spPr>
                        <a:xfrm>
                          <a:off x="-7466399" y="16868389"/>
                          <a:ext cx="1303020" cy="64027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L. Perut</a:t>
                          </a:r>
                          <a:endParaRPr lang="id-ID" sz="1100"/>
                        </a:p>
                      </xdr:txBody>
                    </xdr:sp>
                    <xdr:cxnSp macro="">
                      <xdr:nvCxnSpPr>
                        <xdr:cNvPr id="214" name="Straight Connector 213"/>
                        <xdr:cNvCxnSpPr>
                          <a:endCxn id="203" idx="0"/>
                        </xdr:cNvCxnSpPr>
                      </xdr:nvCxnSpPr>
                      <xdr:spPr>
                        <a:xfrm flipH="1">
                          <a:off x="-9756299" y="17512867"/>
                          <a:ext cx="2905266" cy="814193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5" name="Straight Connector 214"/>
                        <xdr:cNvCxnSpPr>
                          <a:endCxn id="193" idx="0"/>
                        </xdr:cNvCxnSpPr>
                      </xdr:nvCxnSpPr>
                      <xdr:spPr>
                        <a:xfrm>
                          <a:off x="-6851033" y="17512867"/>
                          <a:ext cx="2088924" cy="1965012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</xdr:grpSp>
                <xdr:sp macro="" textlink="">
                  <xdr:nvSpPr>
                    <xdr:cNvPr id="203" name="Oval 202"/>
                    <xdr:cNvSpPr/>
                  </xdr:nvSpPr>
                  <xdr:spPr>
                    <a:xfrm>
                      <a:off x="-10407809" y="25653146"/>
                      <a:ext cx="1303020" cy="640272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BMI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204" name="Straight Connector 203"/>
                    <xdr:cNvCxnSpPr>
                      <a:endCxn id="196" idx="0"/>
                    </xdr:cNvCxnSpPr>
                  </xdr:nvCxnSpPr>
                  <xdr:spPr>
                    <a:xfrm flipH="1">
                      <a:off x="-11097368" y="26306290"/>
                      <a:ext cx="1299158" cy="921236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8" name="Straight Connector 207"/>
                    <xdr:cNvCxnSpPr>
                      <a:endCxn id="199" idx="0"/>
                    </xdr:cNvCxnSpPr>
                  </xdr:nvCxnSpPr>
                  <xdr:spPr>
                    <a:xfrm>
                      <a:off x="-9787323" y="26295404"/>
                      <a:ext cx="2610937" cy="1404258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196" name="Oval 195"/>
                  <xdr:cNvSpPr/>
                </xdr:nvSpPr>
                <xdr:spPr>
                  <a:xfrm>
                    <a:off x="-11748878" y="34085525"/>
                    <a:ext cx="1303020" cy="64027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Umur</a:t>
                    </a:r>
                    <a:endParaRPr lang="id-ID" sz="1100"/>
                  </a:p>
                </xdr:txBody>
              </xdr:sp>
              <xdr:cxnSp macro="">
                <xdr:nvCxnSpPr>
                  <xdr:cNvPr id="197" name="Straight Connector 196"/>
                  <xdr:cNvCxnSpPr>
                    <a:endCxn id="187" idx="0"/>
                  </xdr:cNvCxnSpPr>
                </xdr:nvCxnSpPr>
                <xdr:spPr>
                  <a:xfrm flipH="1">
                    <a:off x="-11826660" y="34737055"/>
                    <a:ext cx="702159" cy="1289393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98" name="Straight Connector 197"/>
                  <xdr:cNvCxnSpPr>
                    <a:stCxn id="196" idx="4"/>
                    <a:endCxn id="188" idx="0"/>
                  </xdr:cNvCxnSpPr>
                </xdr:nvCxnSpPr>
                <xdr:spPr>
                  <a:xfrm>
                    <a:off x="-11097368" y="34725797"/>
                    <a:ext cx="1148841" cy="1331446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99" name="Oval 198"/>
                  <xdr:cNvSpPr/>
                </xdr:nvSpPr>
                <xdr:spPr>
                  <a:xfrm>
                    <a:off x="-7827897" y="34557661"/>
                    <a:ext cx="1303020" cy="640272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Umur</a:t>
                    </a:r>
                    <a:endParaRPr lang="id-ID" sz="1100"/>
                  </a:p>
                </xdr:txBody>
              </xdr:sp>
              <xdr:cxnSp macro="">
                <xdr:nvCxnSpPr>
                  <xdr:cNvPr id="200" name="Straight Connector 199"/>
                  <xdr:cNvCxnSpPr>
                    <a:endCxn id="189" idx="0"/>
                  </xdr:cNvCxnSpPr>
                </xdr:nvCxnSpPr>
                <xdr:spPr>
                  <a:xfrm flipH="1">
                    <a:off x="-8295821" y="35199917"/>
                    <a:ext cx="1262584" cy="1246818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01" name="Straight Connector 200"/>
                  <xdr:cNvCxnSpPr>
                    <a:endCxn id="191" idx="0"/>
                  </xdr:cNvCxnSpPr>
                </xdr:nvCxnSpPr>
                <xdr:spPr>
                  <a:xfrm>
                    <a:off x="-7023984" y="35197932"/>
                    <a:ext cx="954977" cy="1236548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93" name="Oval 192"/>
                <xdr:cNvSpPr/>
              </xdr:nvSpPr>
              <xdr:spPr>
                <a:xfrm>
                  <a:off x="-5413619" y="53223316"/>
                  <a:ext cx="1303020" cy="619965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Umur</a:t>
                  </a:r>
                  <a:endParaRPr lang="id-ID" sz="1100"/>
                </a:p>
              </xdr:txBody>
            </xdr:sp>
            <xdr:cxnSp macro="">
              <xdr:nvCxnSpPr>
                <xdr:cNvPr id="194" name="Straight Connector 193"/>
                <xdr:cNvCxnSpPr>
                  <a:endCxn id="171" idx="0"/>
                </xdr:cNvCxnSpPr>
              </xdr:nvCxnSpPr>
              <xdr:spPr>
                <a:xfrm flipH="1">
                  <a:off x="-5031913" y="53834825"/>
                  <a:ext cx="245997" cy="2940576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91" name="Oval 190"/>
              <xdr:cNvSpPr/>
            </xdr:nvSpPr>
            <xdr:spPr>
              <a:xfrm>
                <a:off x="4109196" y="55317307"/>
                <a:ext cx="1303020" cy="622985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2</a:t>
                </a:r>
                <a:endParaRPr lang="id-ID" sz="1100"/>
              </a:p>
            </xdr:txBody>
          </xdr:sp>
        </xdr:grpSp>
        <xdr:sp macro="" textlink="">
          <xdr:nvSpPr>
            <xdr:cNvPr id="171" name="Oval 170"/>
            <xdr:cNvSpPr/>
          </xdr:nvSpPr>
          <xdr:spPr>
            <a:xfrm>
              <a:off x="180415" y="67177934"/>
              <a:ext cx="1303020" cy="617980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BMI</a:t>
              </a:r>
              <a:endParaRPr lang="id-ID" sz="1100"/>
            </a:p>
          </xdr:txBody>
        </xdr:sp>
        <xdr:cxnSp macro="">
          <xdr:nvCxnSpPr>
            <xdr:cNvPr id="172" name="Straight Connector 171"/>
            <xdr:cNvCxnSpPr/>
          </xdr:nvCxnSpPr>
          <xdr:spPr>
            <a:xfrm flipH="1">
              <a:off x="-420221" y="67796500"/>
              <a:ext cx="1266008" cy="120678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73" name="Oval 172"/>
            <xdr:cNvSpPr/>
          </xdr:nvSpPr>
          <xdr:spPr>
            <a:xfrm>
              <a:off x="-1092573" y="69006736"/>
              <a:ext cx="1303020" cy="61798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  <a:endParaRPr lang="id-ID" sz="1100"/>
            </a:p>
          </xdr:txBody>
        </xdr:sp>
        <xdr:sp macro="" textlink="">
          <xdr:nvSpPr>
            <xdr:cNvPr id="174" name="Oval 173"/>
            <xdr:cNvSpPr/>
          </xdr:nvSpPr>
          <xdr:spPr>
            <a:xfrm>
              <a:off x="1211357" y="69015700"/>
              <a:ext cx="1303020" cy="61798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  <a:endParaRPr lang="id-ID" sz="1100"/>
            </a:p>
          </xdr:txBody>
        </xdr:sp>
        <xdr:cxnSp macro="">
          <xdr:nvCxnSpPr>
            <xdr:cNvPr id="176" name="Straight Connector 175"/>
            <xdr:cNvCxnSpPr/>
          </xdr:nvCxnSpPr>
          <xdr:spPr>
            <a:xfrm>
              <a:off x="852768" y="67805464"/>
              <a:ext cx="957567" cy="119684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" name="Straight Connector 177"/>
            <xdr:cNvCxnSpPr>
              <a:stCxn id="193" idx="4"/>
              <a:endCxn id="182" idx="0"/>
            </xdr:cNvCxnSpPr>
          </xdr:nvCxnSpPr>
          <xdr:spPr>
            <a:xfrm>
              <a:off x="1102461" y="64184196"/>
              <a:ext cx="2621398" cy="290246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82" name="Oval 181"/>
            <xdr:cNvSpPr/>
          </xdr:nvSpPr>
          <xdr:spPr>
            <a:xfrm>
              <a:off x="3071941" y="67086656"/>
              <a:ext cx="1303835" cy="618795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BMI</a:t>
              </a:r>
              <a:endParaRPr lang="id-ID" sz="1100"/>
            </a:p>
          </xdr:txBody>
        </xdr:sp>
        <xdr:cxnSp macro="">
          <xdr:nvCxnSpPr>
            <xdr:cNvPr id="183" name="Straight Connector 182"/>
            <xdr:cNvCxnSpPr>
              <a:endCxn id="184" idx="0"/>
            </xdr:cNvCxnSpPr>
          </xdr:nvCxnSpPr>
          <xdr:spPr>
            <a:xfrm flipH="1">
              <a:off x="3117926" y="67697889"/>
              <a:ext cx="596567" cy="175708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84" name="Oval 183"/>
            <xdr:cNvSpPr/>
          </xdr:nvSpPr>
          <xdr:spPr>
            <a:xfrm>
              <a:off x="2466416" y="69454972"/>
              <a:ext cx="1303020" cy="61798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1</a:t>
              </a:r>
              <a:endParaRPr lang="id-ID" sz="1100"/>
            </a:p>
          </xdr:txBody>
        </xdr:sp>
        <xdr:sp macro="" textlink="">
          <xdr:nvSpPr>
            <xdr:cNvPr id="185" name="Oval 184"/>
            <xdr:cNvSpPr/>
          </xdr:nvSpPr>
          <xdr:spPr>
            <a:xfrm>
              <a:off x="4080063" y="68935019"/>
              <a:ext cx="1303020" cy="61798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2</a:t>
              </a:r>
              <a:endParaRPr lang="id-ID" sz="1100"/>
            </a:p>
          </xdr:txBody>
        </xdr:sp>
        <xdr:cxnSp macro="">
          <xdr:nvCxnSpPr>
            <xdr:cNvPr id="186" name="Straight Connector 185"/>
            <xdr:cNvCxnSpPr/>
          </xdr:nvCxnSpPr>
          <xdr:spPr>
            <a:xfrm>
              <a:off x="3721474" y="67706853"/>
              <a:ext cx="957567" cy="119684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1" name="Straight Connector 220"/>
          <xdr:cNvCxnSpPr/>
        </xdr:nvCxnSpPr>
        <xdr:spPr>
          <a:xfrm flipH="1">
            <a:off x="17417143" y="69984590"/>
            <a:ext cx="1450381" cy="132772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Connector 253"/>
          <xdr:cNvCxnSpPr/>
        </xdr:nvCxnSpPr>
        <xdr:spPr>
          <a:xfrm>
            <a:off x="18818039" y="69976426"/>
            <a:ext cx="1494704" cy="132500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432068</xdr:colOff>
      <xdr:row>433</xdr:row>
      <xdr:rowOff>13938</xdr:rowOff>
    </xdr:from>
    <xdr:to>
      <xdr:col>37</xdr:col>
      <xdr:colOff>230381</xdr:colOff>
      <xdr:row>505</xdr:row>
      <xdr:rowOff>22319</xdr:rowOff>
    </xdr:to>
    <xdr:grpSp>
      <xdr:nvGrpSpPr>
        <xdr:cNvPr id="34" name="Group 33"/>
        <xdr:cNvGrpSpPr/>
      </xdr:nvGrpSpPr>
      <xdr:grpSpPr>
        <a:xfrm>
          <a:off x="4089668" y="79978218"/>
          <a:ext cx="18673053" cy="13175741"/>
          <a:chOff x="4089668" y="80753281"/>
          <a:chExt cx="18674142" cy="13332495"/>
        </a:xfrm>
      </xdr:grpSpPr>
      <xdr:grpSp>
        <xdr:nvGrpSpPr>
          <xdr:cNvPr id="33" name="Group 32"/>
          <xdr:cNvGrpSpPr/>
        </xdr:nvGrpSpPr>
        <xdr:grpSpPr>
          <a:xfrm>
            <a:off x="4089668" y="80753281"/>
            <a:ext cx="18674142" cy="13332495"/>
            <a:chOff x="4089668" y="80753281"/>
            <a:chExt cx="18674142" cy="13332495"/>
          </a:xfrm>
        </xdr:grpSpPr>
        <xdr:sp macro="" textlink="">
          <xdr:nvSpPr>
            <xdr:cNvPr id="307" name="Oval 306"/>
            <xdr:cNvSpPr/>
          </xdr:nvSpPr>
          <xdr:spPr>
            <a:xfrm>
              <a:off x="17653268" y="84280253"/>
              <a:ext cx="1301503" cy="65757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/>
                <a:t>2</a:t>
              </a:r>
              <a:endParaRPr lang="id-ID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4089668" y="80753281"/>
              <a:ext cx="18674142" cy="13332495"/>
              <a:chOff x="4089668" y="80753281"/>
              <a:chExt cx="18674142" cy="13332495"/>
            </a:xfrm>
          </xdr:grpSpPr>
          <xdr:grpSp>
            <xdr:nvGrpSpPr>
              <xdr:cNvPr id="260" name="Group 259"/>
              <xdr:cNvGrpSpPr/>
            </xdr:nvGrpSpPr>
            <xdr:grpSpPr>
              <a:xfrm>
                <a:off x="4089668" y="80753281"/>
                <a:ext cx="18674142" cy="13332495"/>
                <a:chOff x="3273239" y="67788397"/>
                <a:chExt cx="18674142" cy="13332495"/>
              </a:xfrm>
            </xdr:grpSpPr>
            <xdr:grpSp>
              <xdr:nvGrpSpPr>
                <xdr:cNvPr id="261" name="Group 260"/>
                <xdr:cNvGrpSpPr/>
              </xdr:nvGrpSpPr>
              <xdr:grpSpPr>
                <a:xfrm>
                  <a:off x="3273239" y="67788397"/>
                  <a:ext cx="18674142" cy="13332495"/>
                  <a:chOff x="-6632761" y="57155288"/>
                  <a:chExt cx="18695913" cy="12917665"/>
                </a:xfrm>
              </xdr:grpSpPr>
              <xdr:grpSp>
                <xdr:nvGrpSpPr>
                  <xdr:cNvPr id="265" name="Group 264"/>
                  <xdr:cNvGrpSpPr/>
                </xdr:nvGrpSpPr>
                <xdr:grpSpPr>
                  <a:xfrm>
                    <a:off x="-6632761" y="57155288"/>
                    <a:ext cx="18695913" cy="10022649"/>
                    <a:chOff x="-1664073" y="46383070"/>
                    <a:chExt cx="18695913" cy="9800322"/>
                  </a:xfrm>
                </xdr:grpSpPr>
                <xdr:sp macro="" textlink="">
                  <xdr:nvSpPr>
                    <xdr:cNvPr id="277" name="Oval 276"/>
                    <xdr:cNvSpPr/>
                  </xdr:nvSpPr>
                  <xdr:spPr>
                    <a:xfrm>
                      <a:off x="-1664073" y="54922859"/>
                      <a:ext cx="1303020" cy="622985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2</a:t>
                      </a:r>
                      <a:endParaRPr lang="id-ID" sz="1100"/>
                    </a:p>
                  </xdr:txBody>
                </xdr:sp>
                <xdr:sp macro="" textlink="">
                  <xdr:nvSpPr>
                    <xdr:cNvPr id="278" name="Oval 277"/>
                    <xdr:cNvSpPr/>
                  </xdr:nvSpPr>
                  <xdr:spPr>
                    <a:xfrm>
                      <a:off x="219154" y="54952635"/>
                      <a:ext cx="1303020" cy="622984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2</a:t>
                      </a:r>
                      <a:endParaRPr lang="id-ID" sz="1100"/>
                    </a:p>
                  </xdr:txBody>
                </xdr:sp>
                <xdr:sp macro="" textlink="">
                  <xdr:nvSpPr>
                    <xdr:cNvPr id="279" name="Oval 278"/>
                    <xdr:cNvSpPr/>
                  </xdr:nvSpPr>
                  <xdr:spPr>
                    <a:xfrm>
                      <a:off x="1876343" y="55329152"/>
                      <a:ext cx="1303020" cy="61722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2</a:t>
                      </a:r>
                      <a:endParaRPr lang="id-ID" sz="1100"/>
                    </a:p>
                  </xdr:txBody>
                </xdr:sp>
                <xdr:grpSp>
                  <xdr:nvGrpSpPr>
                    <xdr:cNvPr id="280" name="Group 279"/>
                    <xdr:cNvGrpSpPr/>
                  </xdr:nvGrpSpPr>
                  <xdr:grpSpPr>
                    <a:xfrm>
                      <a:off x="-1012563" y="46383070"/>
                      <a:ext cx="18044403" cy="9800322"/>
                      <a:chOff x="-11826660" y="46959050"/>
                      <a:chExt cx="17995594" cy="9816351"/>
                    </a:xfrm>
                  </xdr:grpSpPr>
                  <xdr:grpSp>
                    <xdr:nvGrpSpPr>
                      <xdr:cNvPr id="282" name="Group 281"/>
                      <xdr:cNvGrpSpPr/>
                    </xdr:nvGrpSpPr>
                    <xdr:grpSpPr>
                      <a:xfrm>
                        <a:off x="-11826660" y="46959050"/>
                        <a:ext cx="17995594" cy="8960717"/>
                        <a:chOff x="-11826660" y="27192513"/>
                        <a:chExt cx="17995594" cy="9254222"/>
                      </a:xfrm>
                    </xdr:grpSpPr>
                    <xdr:grpSp>
                      <xdr:nvGrpSpPr>
                        <xdr:cNvPr id="285" name="Group 284"/>
                        <xdr:cNvGrpSpPr/>
                      </xdr:nvGrpSpPr>
                      <xdr:grpSpPr>
                        <a:xfrm>
                          <a:off x="-11097368" y="27192513"/>
                          <a:ext cx="17266302" cy="7365149"/>
                          <a:chOff x="-11097368" y="20334513"/>
                          <a:chExt cx="17266302" cy="7365149"/>
                        </a:xfrm>
                      </xdr:grpSpPr>
                      <xdr:grpSp>
                        <xdr:nvGrpSpPr>
                          <xdr:cNvPr id="292" name="Group 291"/>
                          <xdr:cNvGrpSpPr/>
                        </xdr:nvGrpSpPr>
                        <xdr:grpSpPr>
                          <a:xfrm>
                            <a:off x="-9756299" y="20334513"/>
                            <a:ext cx="15925233" cy="6469451"/>
                            <a:chOff x="-9756299" y="13008428"/>
                            <a:chExt cx="15925233" cy="6469451"/>
                          </a:xfrm>
                        </xdr:grpSpPr>
                        <xdr:grpSp>
                          <xdr:nvGrpSpPr>
                            <xdr:cNvPr id="296" name="Group 295"/>
                            <xdr:cNvGrpSpPr/>
                          </xdr:nvGrpSpPr>
                          <xdr:grpSpPr>
                            <a:xfrm>
                              <a:off x="-6814888" y="13008428"/>
                              <a:ext cx="12250060" cy="3859961"/>
                              <a:chOff x="-6440931" y="8403772"/>
                              <a:chExt cx="12250060" cy="3859961"/>
                            </a:xfrm>
                          </xdr:grpSpPr>
                          <xdr:sp macro="" textlink="">
                            <xdr:nvSpPr>
                              <xdr:cNvPr id="303" name="Oval 302"/>
                              <xdr:cNvSpPr/>
                            </xdr:nvSpPr>
                            <xdr:spPr>
                              <a:xfrm>
                                <a:off x="2800127" y="8403772"/>
                                <a:ext cx="1303020" cy="640272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ctr"/>
                                <a:r>
                                  <a:rPr lang="id-ID" sz="1400"/>
                                  <a:t>T. Darah</a:t>
                                </a:r>
                                <a:endParaRPr lang="id-ID" sz="1100"/>
                              </a:p>
                            </xdr:txBody>
                          </xdr:sp>
                          <xdr:cxnSp macro="">
                            <xdr:nvCxnSpPr>
                              <xdr:cNvPr id="304" name="Straight Connector 303"/>
                              <xdr:cNvCxnSpPr>
                                <a:stCxn id="303" idx="3"/>
                                <a:endCxn id="300" idx="0"/>
                              </xdr:cNvCxnSpPr>
                            </xdr:nvCxnSpPr>
                            <xdr:spPr>
                              <a:xfrm flipH="1">
                                <a:off x="-6440931" y="8950278"/>
                                <a:ext cx="9431880" cy="3313455"/>
                              </a:xfrm>
                              <a:prstGeom prst="line">
                                <a:avLst/>
                              </a:prstGeom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05" name="Straight Connector 304"/>
                              <xdr:cNvCxnSpPr>
                                <a:stCxn id="303" idx="4"/>
                              </xdr:cNvCxnSpPr>
                            </xdr:nvCxnSpPr>
                            <xdr:spPr>
                              <a:xfrm flipH="1">
                                <a:off x="3451412" y="9044044"/>
                                <a:ext cx="225" cy="881807"/>
                              </a:xfrm>
                              <a:prstGeom prst="line">
                                <a:avLst/>
                              </a:prstGeom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06" name="Straight Connector 305"/>
                              <xdr:cNvCxnSpPr>
                                <a:stCxn id="303" idx="5"/>
                              </xdr:cNvCxnSpPr>
                            </xdr:nvCxnSpPr>
                            <xdr:spPr>
                              <a:xfrm>
                                <a:off x="3912324" y="8947891"/>
                                <a:ext cx="1896805" cy="968995"/>
                              </a:xfrm>
                              <a:prstGeom prst="line">
                                <a:avLst/>
                              </a:prstGeom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sp macro="" textlink="">
                          <xdr:nvSpPr>
                            <xdr:cNvPr id="297" name="Oval 296"/>
                            <xdr:cNvSpPr/>
                          </xdr:nvSpPr>
                          <xdr:spPr>
                            <a:xfrm>
                              <a:off x="4865914" y="14521543"/>
                              <a:ext cx="1303020" cy="640272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id-ID" sz="1400"/>
                                <a:t>3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298" name="Oval 297"/>
                            <xdr:cNvSpPr/>
                          </xdr:nvSpPr>
                          <xdr:spPr>
                            <a:xfrm>
                              <a:off x="2449285" y="14521543"/>
                              <a:ext cx="1303020" cy="640272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id-ID" sz="1400"/>
                                <a:t>L. Perut</a:t>
                              </a:r>
                              <a:endParaRPr lang="id-ID" sz="1100"/>
                            </a:p>
                          </xdr:txBody>
                        </xdr:sp>
                        <xdr:grpSp>
                          <xdr:nvGrpSpPr>
                            <xdr:cNvPr id="299" name="Group 298"/>
                            <xdr:cNvGrpSpPr/>
                          </xdr:nvGrpSpPr>
                          <xdr:grpSpPr>
                            <a:xfrm>
                              <a:off x="-9756299" y="16868389"/>
                              <a:ext cx="4994190" cy="2609490"/>
                              <a:chOff x="-9756299" y="16868389"/>
                              <a:chExt cx="4994190" cy="2609490"/>
                            </a:xfrm>
                          </xdr:grpSpPr>
                          <xdr:sp macro="" textlink="">
                            <xdr:nvSpPr>
                              <xdr:cNvPr id="300" name="Oval 299"/>
                              <xdr:cNvSpPr/>
                            </xdr:nvSpPr>
                            <xdr:spPr>
                              <a:xfrm>
                                <a:off x="-7466399" y="16868389"/>
                                <a:ext cx="1303020" cy="640272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ctr"/>
                                <a:r>
                                  <a:rPr lang="id-ID" sz="1400"/>
                                  <a:t>L. Perut</a:t>
                                </a:r>
                                <a:endParaRPr lang="id-ID" sz="1100"/>
                              </a:p>
                            </xdr:txBody>
                          </xdr:sp>
                          <xdr:cxnSp macro="">
                            <xdr:nvCxnSpPr>
                              <xdr:cNvPr id="301" name="Straight Connector 300"/>
                              <xdr:cNvCxnSpPr>
                                <a:endCxn id="293" idx="0"/>
                              </xdr:cNvCxnSpPr>
                            </xdr:nvCxnSpPr>
                            <xdr:spPr>
                              <a:xfrm flipH="1">
                                <a:off x="-9756299" y="17512867"/>
                                <a:ext cx="2905266" cy="814193"/>
                              </a:xfrm>
                              <a:prstGeom prst="line">
                                <a:avLst/>
                              </a:prstGeom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02" name="Straight Connector 301"/>
                              <xdr:cNvCxnSpPr>
                                <a:endCxn id="283" idx="0"/>
                              </xdr:cNvCxnSpPr>
                            </xdr:nvCxnSpPr>
                            <xdr:spPr>
                              <a:xfrm>
                                <a:off x="-6851033" y="17512867"/>
                                <a:ext cx="2088924" cy="1965012"/>
                              </a:xfrm>
                              <a:prstGeom prst="line">
                                <a:avLst/>
                              </a:prstGeom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</xdr:grpSp>
                      <xdr:sp macro="" textlink="">
                        <xdr:nvSpPr>
                          <xdr:cNvPr id="293" name="Oval 292"/>
                          <xdr:cNvSpPr/>
                        </xdr:nvSpPr>
                        <xdr:spPr>
                          <a:xfrm>
                            <a:off x="-10407809" y="25653146"/>
                            <a:ext cx="1303020" cy="640272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BMI</a:t>
                            </a:r>
                            <a:endParaRPr lang="id-ID" sz="1100"/>
                          </a:p>
                        </xdr:txBody>
                      </xdr:sp>
                      <xdr:cxnSp macro="">
                        <xdr:nvCxnSpPr>
                          <xdr:cNvPr id="294" name="Straight Connector 293"/>
                          <xdr:cNvCxnSpPr>
                            <a:endCxn id="286" idx="0"/>
                          </xdr:cNvCxnSpPr>
                        </xdr:nvCxnSpPr>
                        <xdr:spPr>
                          <a:xfrm flipH="1">
                            <a:off x="-11097368" y="26306290"/>
                            <a:ext cx="1299158" cy="921236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95" name="Straight Connector 294"/>
                          <xdr:cNvCxnSpPr>
                            <a:endCxn id="289" idx="0"/>
                          </xdr:cNvCxnSpPr>
                        </xdr:nvCxnSpPr>
                        <xdr:spPr>
                          <a:xfrm>
                            <a:off x="-9787323" y="26295404"/>
                            <a:ext cx="2610937" cy="1404258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286" name="Oval 285"/>
                        <xdr:cNvSpPr/>
                      </xdr:nvSpPr>
                      <xdr:spPr>
                        <a:xfrm>
                          <a:off x="-11748878" y="34085525"/>
                          <a:ext cx="1303020" cy="64027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Umur</a:t>
                          </a:r>
                          <a:endParaRPr lang="id-ID" sz="1100"/>
                        </a:p>
                      </xdr:txBody>
                    </xdr:sp>
                    <xdr:cxnSp macro="">
                      <xdr:nvCxnSpPr>
                        <xdr:cNvPr id="287" name="Straight Connector 286"/>
                        <xdr:cNvCxnSpPr>
                          <a:endCxn id="277" idx="0"/>
                        </xdr:cNvCxnSpPr>
                      </xdr:nvCxnSpPr>
                      <xdr:spPr>
                        <a:xfrm flipH="1">
                          <a:off x="-11826660" y="34737055"/>
                          <a:ext cx="702159" cy="1289393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88" name="Straight Connector 287"/>
                        <xdr:cNvCxnSpPr>
                          <a:stCxn id="286" idx="4"/>
                          <a:endCxn id="278" idx="0"/>
                        </xdr:cNvCxnSpPr>
                      </xdr:nvCxnSpPr>
                      <xdr:spPr>
                        <a:xfrm>
                          <a:off x="-11097368" y="34725797"/>
                          <a:ext cx="1148841" cy="1331446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89" name="Oval 288"/>
                        <xdr:cNvSpPr/>
                      </xdr:nvSpPr>
                      <xdr:spPr>
                        <a:xfrm>
                          <a:off x="-7827897" y="34557661"/>
                          <a:ext cx="1303020" cy="640272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Umur</a:t>
                          </a:r>
                          <a:endParaRPr lang="id-ID" sz="1100"/>
                        </a:p>
                      </xdr:txBody>
                    </xdr:sp>
                    <xdr:cxnSp macro="">
                      <xdr:nvCxnSpPr>
                        <xdr:cNvPr id="290" name="Straight Connector 289"/>
                        <xdr:cNvCxnSpPr>
                          <a:endCxn id="279" idx="0"/>
                        </xdr:cNvCxnSpPr>
                      </xdr:nvCxnSpPr>
                      <xdr:spPr>
                        <a:xfrm flipH="1">
                          <a:off x="-8295821" y="35199917"/>
                          <a:ext cx="1262584" cy="1246818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1" name="Straight Connector 290"/>
                        <xdr:cNvCxnSpPr>
                          <a:endCxn id="281" idx="0"/>
                        </xdr:cNvCxnSpPr>
                      </xdr:nvCxnSpPr>
                      <xdr:spPr>
                        <a:xfrm>
                          <a:off x="-7023984" y="35197932"/>
                          <a:ext cx="954977" cy="1236548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83" name="Oval 282"/>
                      <xdr:cNvSpPr/>
                    </xdr:nvSpPr>
                    <xdr:spPr>
                      <a:xfrm>
                        <a:off x="-5413619" y="53223316"/>
                        <a:ext cx="1303020" cy="61996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Umur</a:t>
                        </a:r>
                        <a:endParaRPr lang="id-ID" sz="1100"/>
                      </a:p>
                    </xdr:txBody>
                  </xdr:sp>
                  <xdr:cxnSp macro="">
                    <xdr:nvCxnSpPr>
                      <xdr:cNvPr id="284" name="Straight Connector 283"/>
                      <xdr:cNvCxnSpPr>
                        <a:endCxn id="266" idx="0"/>
                      </xdr:cNvCxnSpPr>
                    </xdr:nvCxnSpPr>
                    <xdr:spPr>
                      <a:xfrm flipH="1">
                        <a:off x="-5031913" y="53834825"/>
                        <a:ext cx="245997" cy="2940576"/>
                      </a:xfrm>
                      <a:prstGeom prst="line">
                        <a:avLst/>
                      </a:prstGeom>
                    </xdr:spPr>
                    <xdr:style>
                      <a:lnRef idx="1">
                        <a:schemeClr val="dk1"/>
                      </a:lnRef>
                      <a:fillRef idx="0">
                        <a:schemeClr val="dk1"/>
                      </a:fillRef>
                      <a:effectRef idx="0">
                        <a:schemeClr val="dk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281" name="Oval 280"/>
                    <xdr:cNvSpPr/>
                  </xdr:nvSpPr>
                  <xdr:spPr>
                    <a:xfrm>
                      <a:off x="4109196" y="55317307"/>
                      <a:ext cx="1303020" cy="622985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2</a:t>
                      </a:r>
                      <a:endParaRPr lang="id-ID" sz="1100"/>
                    </a:p>
                  </xdr:txBody>
                </xdr:sp>
              </xdr:grpSp>
              <xdr:sp macro="" textlink="">
                <xdr:nvSpPr>
                  <xdr:cNvPr id="266" name="Oval 265"/>
                  <xdr:cNvSpPr/>
                </xdr:nvSpPr>
                <xdr:spPr>
                  <a:xfrm>
                    <a:off x="180415" y="67177934"/>
                    <a:ext cx="1303020" cy="617980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BMI</a:t>
                    </a:r>
                    <a:endParaRPr lang="id-ID" sz="1100"/>
                  </a:p>
                </xdr:txBody>
              </xdr:sp>
              <xdr:cxnSp macro="">
                <xdr:nvCxnSpPr>
                  <xdr:cNvPr id="267" name="Straight Connector 266"/>
                  <xdr:cNvCxnSpPr/>
                </xdr:nvCxnSpPr>
                <xdr:spPr>
                  <a:xfrm flipH="1">
                    <a:off x="-420221" y="67796500"/>
                    <a:ext cx="1266008" cy="1206787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68" name="Oval 267"/>
                  <xdr:cNvSpPr/>
                </xdr:nvSpPr>
                <xdr:spPr>
                  <a:xfrm>
                    <a:off x="-1092573" y="69006736"/>
                    <a:ext cx="1303020" cy="617981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1</a:t>
                    </a:r>
                    <a:endParaRPr lang="id-ID" sz="1100"/>
                  </a:p>
                </xdr:txBody>
              </xdr:sp>
              <xdr:sp macro="" textlink="">
                <xdr:nvSpPr>
                  <xdr:cNvPr id="269" name="Oval 268"/>
                  <xdr:cNvSpPr/>
                </xdr:nvSpPr>
                <xdr:spPr>
                  <a:xfrm>
                    <a:off x="1211357" y="69015700"/>
                    <a:ext cx="1303020" cy="617981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1</a:t>
                    </a:r>
                    <a:endParaRPr lang="id-ID" sz="1100"/>
                  </a:p>
                </xdr:txBody>
              </xdr:sp>
              <xdr:cxnSp macro="">
                <xdr:nvCxnSpPr>
                  <xdr:cNvPr id="270" name="Straight Connector 269"/>
                  <xdr:cNvCxnSpPr/>
                </xdr:nvCxnSpPr>
                <xdr:spPr>
                  <a:xfrm>
                    <a:off x="852768" y="67805464"/>
                    <a:ext cx="957567" cy="1196847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1" name="Straight Connector 270"/>
                  <xdr:cNvCxnSpPr>
                    <a:stCxn id="283" idx="4"/>
                    <a:endCxn id="272" idx="0"/>
                  </xdr:cNvCxnSpPr>
                </xdr:nvCxnSpPr>
                <xdr:spPr>
                  <a:xfrm>
                    <a:off x="1102461" y="64184196"/>
                    <a:ext cx="2621398" cy="290246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72" name="Oval 271"/>
                  <xdr:cNvSpPr/>
                </xdr:nvSpPr>
                <xdr:spPr>
                  <a:xfrm>
                    <a:off x="3071941" y="67086656"/>
                    <a:ext cx="1303835" cy="618795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BMI</a:t>
                    </a:r>
                    <a:endParaRPr lang="id-ID" sz="1100"/>
                  </a:p>
                </xdr:txBody>
              </xdr:sp>
              <xdr:cxnSp macro="">
                <xdr:nvCxnSpPr>
                  <xdr:cNvPr id="273" name="Straight Connector 272"/>
                  <xdr:cNvCxnSpPr>
                    <a:endCxn id="274" idx="0"/>
                  </xdr:cNvCxnSpPr>
                </xdr:nvCxnSpPr>
                <xdr:spPr>
                  <a:xfrm flipH="1">
                    <a:off x="3117926" y="67697889"/>
                    <a:ext cx="596567" cy="1757083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74" name="Oval 273"/>
                  <xdr:cNvSpPr/>
                </xdr:nvSpPr>
                <xdr:spPr>
                  <a:xfrm>
                    <a:off x="2466416" y="69454972"/>
                    <a:ext cx="1303020" cy="617981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1</a:t>
                    </a:r>
                    <a:endParaRPr lang="id-ID" sz="1100"/>
                  </a:p>
                </xdr:txBody>
              </xdr:sp>
              <xdr:sp macro="" textlink="">
                <xdr:nvSpPr>
                  <xdr:cNvPr id="275" name="Oval 274"/>
                  <xdr:cNvSpPr/>
                </xdr:nvSpPr>
                <xdr:spPr>
                  <a:xfrm>
                    <a:off x="4080063" y="68935019"/>
                    <a:ext cx="1303020" cy="617981"/>
                  </a:xfrm>
                  <a:prstGeom prst="ellipse">
                    <a:avLst/>
                  </a:prstGeom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id-ID" sz="1400"/>
                      <a:t>2</a:t>
                    </a:r>
                    <a:endParaRPr lang="id-ID" sz="1100"/>
                  </a:p>
                </xdr:txBody>
              </xdr:sp>
              <xdr:cxnSp macro="">
                <xdr:nvCxnSpPr>
                  <xdr:cNvPr id="276" name="Straight Connector 275"/>
                  <xdr:cNvCxnSpPr/>
                </xdr:nvCxnSpPr>
                <xdr:spPr>
                  <a:xfrm>
                    <a:off x="3721474" y="67706853"/>
                    <a:ext cx="957567" cy="1196847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63" name="Straight Connector 262"/>
                <xdr:cNvCxnSpPr/>
              </xdr:nvCxnSpPr>
              <xdr:spPr>
                <a:xfrm flipH="1">
                  <a:off x="17417143" y="69984590"/>
                  <a:ext cx="1450381" cy="1327724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4" name="Straight Connector 263"/>
                <xdr:cNvCxnSpPr/>
              </xdr:nvCxnSpPr>
              <xdr:spPr>
                <a:xfrm>
                  <a:off x="18818039" y="69976426"/>
                  <a:ext cx="1494704" cy="1325003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08" name="Oval 307"/>
              <xdr:cNvSpPr/>
            </xdr:nvSpPr>
            <xdr:spPr>
              <a:xfrm>
                <a:off x="20505325" y="84247596"/>
                <a:ext cx="1301503" cy="657578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BMI</a:t>
                </a:r>
                <a:endParaRPr lang="id-ID" sz="1100"/>
              </a:p>
            </xdr:txBody>
          </xdr:sp>
          <xdr:cxnSp macro="">
            <xdr:nvCxnSpPr>
              <xdr:cNvPr id="309" name="Straight Connector 308"/>
              <xdr:cNvCxnSpPr>
                <a:stCxn id="308" idx="4"/>
              </xdr:cNvCxnSpPr>
            </xdr:nvCxnSpPr>
            <xdr:spPr>
              <a:xfrm flipH="1">
                <a:off x="19169743" y="84905174"/>
                <a:ext cx="1986334" cy="1179055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31" name="Straight Connector 30"/>
          <xdr:cNvCxnSpPr>
            <a:stCxn id="308" idx="4"/>
          </xdr:cNvCxnSpPr>
        </xdr:nvCxnSpPr>
        <xdr:spPr>
          <a:xfrm>
            <a:off x="21156077" y="84905174"/>
            <a:ext cx="1377352" cy="121171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261257</xdr:colOff>
      <xdr:row>535</xdr:row>
      <xdr:rowOff>105461</xdr:rowOff>
    </xdr:from>
    <xdr:to>
      <xdr:col>37</xdr:col>
      <xdr:colOff>309936</xdr:colOff>
      <xdr:row>541</xdr:row>
      <xdr:rowOff>174172</xdr:rowOff>
    </xdr:to>
    <xdr:cxnSp macro="">
      <xdr:nvCxnSpPr>
        <xdr:cNvPr id="465" name="Straight Connector 464"/>
        <xdr:cNvCxnSpPr>
          <a:stCxn id="464" idx="4"/>
        </xdr:cNvCxnSpPr>
      </xdr:nvCxnSpPr>
      <xdr:spPr>
        <a:xfrm flipH="1">
          <a:off x="20965886" y="99720632"/>
          <a:ext cx="1877479" cy="11790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105496</xdr:colOff>
      <xdr:row>503</xdr:row>
      <xdr:rowOff>3052</xdr:rowOff>
    </xdr:from>
    <xdr:to>
      <xdr:col>40</xdr:col>
      <xdr:colOff>43542</xdr:colOff>
      <xdr:row>575</xdr:row>
      <xdr:rowOff>11433</xdr:rowOff>
    </xdr:to>
    <xdr:grpSp>
      <xdr:nvGrpSpPr>
        <xdr:cNvPr id="41" name="Group 40"/>
        <xdr:cNvGrpSpPr/>
      </xdr:nvGrpSpPr>
      <xdr:grpSpPr>
        <a:xfrm>
          <a:off x="4372696" y="92768932"/>
          <a:ext cx="20031986" cy="13175741"/>
          <a:chOff x="4372696" y="93696395"/>
          <a:chExt cx="20033075" cy="13332495"/>
        </a:xfrm>
      </xdr:grpSpPr>
      <xdr:grpSp>
        <xdr:nvGrpSpPr>
          <xdr:cNvPr id="410" name="Group 409"/>
          <xdr:cNvGrpSpPr/>
        </xdr:nvGrpSpPr>
        <xdr:grpSpPr>
          <a:xfrm>
            <a:off x="4372696" y="93696395"/>
            <a:ext cx="18674142" cy="13332495"/>
            <a:chOff x="4089668" y="80753281"/>
            <a:chExt cx="18674142" cy="13332495"/>
          </a:xfrm>
        </xdr:grpSpPr>
        <xdr:grpSp>
          <xdr:nvGrpSpPr>
            <xdr:cNvPr id="411" name="Group 410"/>
            <xdr:cNvGrpSpPr/>
          </xdr:nvGrpSpPr>
          <xdr:grpSpPr>
            <a:xfrm>
              <a:off x="4089668" y="80753281"/>
              <a:ext cx="18674142" cy="13332495"/>
              <a:chOff x="4089668" y="80753281"/>
              <a:chExt cx="18674142" cy="13332495"/>
            </a:xfrm>
          </xdr:grpSpPr>
          <xdr:sp macro="" textlink="">
            <xdr:nvSpPr>
              <xdr:cNvPr id="413" name="Oval 412"/>
              <xdr:cNvSpPr/>
            </xdr:nvSpPr>
            <xdr:spPr>
              <a:xfrm>
                <a:off x="17653268" y="84280253"/>
                <a:ext cx="1301503" cy="657578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2</a:t>
                </a:r>
                <a:endParaRPr lang="id-ID" sz="1100"/>
              </a:p>
            </xdr:txBody>
          </xdr:sp>
          <xdr:grpSp>
            <xdr:nvGrpSpPr>
              <xdr:cNvPr id="414" name="Group 413"/>
              <xdr:cNvGrpSpPr/>
            </xdr:nvGrpSpPr>
            <xdr:grpSpPr>
              <a:xfrm>
                <a:off x="4089668" y="80753281"/>
                <a:ext cx="18674142" cy="13332495"/>
                <a:chOff x="4089668" y="80753281"/>
                <a:chExt cx="18674142" cy="13332495"/>
              </a:xfrm>
            </xdr:grpSpPr>
            <xdr:grpSp>
              <xdr:nvGrpSpPr>
                <xdr:cNvPr id="415" name="Group 414"/>
                <xdr:cNvGrpSpPr/>
              </xdr:nvGrpSpPr>
              <xdr:grpSpPr>
                <a:xfrm>
                  <a:off x="4089668" y="80753281"/>
                  <a:ext cx="18674142" cy="13332495"/>
                  <a:chOff x="3273239" y="67788397"/>
                  <a:chExt cx="18674142" cy="13332495"/>
                </a:xfrm>
              </xdr:grpSpPr>
              <xdr:grpSp>
                <xdr:nvGrpSpPr>
                  <xdr:cNvPr id="418" name="Group 417"/>
                  <xdr:cNvGrpSpPr/>
                </xdr:nvGrpSpPr>
                <xdr:grpSpPr>
                  <a:xfrm>
                    <a:off x="3273239" y="67788397"/>
                    <a:ext cx="18674142" cy="13332495"/>
                    <a:chOff x="-6632761" y="57155288"/>
                    <a:chExt cx="18695913" cy="12917665"/>
                  </a:xfrm>
                </xdr:grpSpPr>
                <xdr:grpSp>
                  <xdr:nvGrpSpPr>
                    <xdr:cNvPr id="421" name="Group 420"/>
                    <xdr:cNvGrpSpPr/>
                  </xdr:nvGrpSpPr>
                  <xdr:grpSpPr>
                    <a:xfrm>
                      <a:off x="-6632761" y="57155288"/>
                      <a:ext cx="18695913" cy="10022649"/>
                      <a:chOff x="-1664073" y="46383070"/>
                      <a:chExt cx="18695913" cy="9800322"/>
                    </a:xfrm>
                  </xdr:grpSpPr>
                  <xdr:sp macro="" textlink="">
                    <xdr:nvSpPr>
                      <xdr:cNvPr id="433" name="Oval 432"/>
                      <xdr:cNvSpPr/>
                    </xdr:nvSpPr>
                    <xdr:spPr>
                      <a:xfrm>
                        <a:off x="-1664073" y="54922859"/>
                        <a:ext cx="1303020" cy="62298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2</a:t>
                        </a:r>
                        <a:endParaRPr lang="id-ID" sz="1100"/>
                      </a:p>
                    </xdr:txBody>
                  </xdr:sp>
                  <xdr:sp macro="" textlink="">
                    <xdr:nvSpPr>
                      <xdr:cNvPr id="434" name="Oval 433"/>
                      <xdr:cNvSpPr/>
                    </xdr:nvSpPr>
                    <xdr:spPr>
                      <a:xfrm>
                        <a:off x="219154" y="54952635"/>
                        <a:ext cx="1303020" cy="622984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2</a:t>
                        </a:r>
                        <a:endParaRPr lang="id-ID" sz="1100"/>
                      </a:p>
                    </xdr:txBody>
                  </xdr:sp>
                  <xdr:sp macro="" textlink="">
                    <xdr:nvSpPr>
                      <xdr:cNvPr id="435" name="Oval 434"/>
                      <xdr:cNvSpPr/>
                    </xdr:nvSpPr>
                    <xdr:spPr>
                      <a:xfrm>
                        <a:off x="1876343" y="55329152"/>
                        <a:ext cx="1303020" cy="617221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2</a:t>
                        </a:r>
                        <a:endParaRPr lang="id-ID" sz="1100"/>
                      </a:p>
                    </xdr:txBody>
                  </xdr:sp>
                  <xdr:grpSp>
                    <xdr:nvGrpSpPr>
                      <xdr:cNvPr id="436" name="Group 435"/>
                      <xdr:cNvGrpSpPr/>
                    </xdr:nvGrpSpPr>
                    <xdr:grpSpPr>
                      <a:xfrm>
                        <a:off x="-1012563" y="46383070"/>
                        <a:ext cx="18044403" cy="9800322"/>
                        <a:chOff x="-11826660" y="46959050"/>
                        <a:chExt cx="17995594" cy="9816351"/>
                      </a:xfrm>
                    </xdr:grpSpPr>
                    <xdr:grpSp>
                      <xdr:nvGrpSpPr>
                        <xdr:cNvPr id="438" name="Group 437"/>
                        <xdr:cNvGrpSpPr/>
                      </xdr:nvGrpSpPr>
                      <xdr:grpSpPr>
                        <a:xfrm>
                          <a:off x="-11826660" y="46959050"/>
                          <a:ext cx="17995594" cy="8960717"/>
                          <a:chOff x="-11826660" y="27192513"/>
                          <a:chExt cx="17995594" cy="9254222"/>
                        </a:xfrm>
                      </xdr:grpSpPr>
                      <xdr:grpSp>
                        <xdr:nvGrpSpPr>
                          <xdr:cNvPr id="441" name="Group 440"/>
                          <xdr:cNvGrpSpPr/>
                        </xdr:nvGrpSpPr>
                        <xdr:grpSpPr>
                          <a:xfrm>
                            <a:off x="-11097368" y="27192513"/>
                            <a:ext cx="17266302" cy="7365149"/>
                            <a:chOff x="-11097368" y="20334513"/>
                            <a:chExt cx="17266302" cy="7365149"/>
                          </a:xfrm>
                        </xdr:grpSpPr>
                        <xdr:grpSp>
                          <xdr:nvGrpSpPr>
                            <xdr:cNvPr id="448" name="Group 447"/>
                            <xdr:cNvGrpSpPr/>
                          </xdr:nvGrpSpPr>
                          <xdr:grpSpPr>
                            <a:xfrm>
                              <a:off x="-9756299" y="20334513"/>
                              <a:ext cx="15925233" cy="6469451"/>
                              <a:chOff x="-9756299" y="13008428"/>
                              <a:chExt cx="15925233" cy="6469451"/>
                            </a:xfrm>
                          </xdr:grpSpPr>
                          <xdr:grpSp>
                            <xdr:nvGrpSpPr>
                              <xdr:cNvPr id="452" name="Group 451"/>
                              <xdr:cNvGrpSpPr/>
                            </xdr:nvGrpSpPr>
                            <xdr:grpSpPr>
                              <a:xfrm>
                                <a:off x="-6814888" y="13008428"/>
                                <a:ext cx="12250060" cy="3859961"/>
                                <a:chOff x="-6440931" y="8403772"/>
                                <a:chExt cx="12250060" cy="3859961"/>
                              </a:xfrm>
                            </xdr:grpSpPr>
                            <xdr:sp macro="" textlink="">
                              <xdr:nvSpPr>
                                <xdr:cNvPr id="459" name="Oval 458"/>
                                <xdr:cNvSpPr/>
                              </xdr:nvSpPr>
                              <xdr:spPr>
                                <a:xfrm>
                                  <a:off x="2800127" y="8403772"/>
                                  <a:ext cx="1303020" cy="640272"/>
                                </a:xfrm>
                                <a:prstGeom prst="ellipse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dk1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id-ID" sz="1400"/>
                                    <a:t>T. Darah</a:t>
                                  </a:r>
                                  <a:endParaRPr lang="id-ID" sz="1100"/>
                                </a:p>
                              </xdr:txBody>
                            </xdr:sp>
                            <xdr:cxnSp macro="">
                              <xdr:nvCxnSpPr>
                                <xdr:cNvPr id="460" name="Straight Connector 459"/>
                                <xdr:cNvCxnSpPr>
                                  <a:stCxn id="459" idx="3"/>
                                  <a:endCxn id="456" idx="0"/>
                                </xdr:cNvCxnSpPr>
                              </xdr:nvCxnSpPr>
                              <xdr:spPr>
                                <a:xfrm flipH="1">
                                  <a:off x="-6440931" y="8950278"/>
                                  <a:ext cx="9431880" cy="3313455"/>
                                </a:xfrm>
                                <a:prstGeom prst="line">
                                  <a:avLst/>
                                </a:prstGeom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61" name="Straight Connector 460"/>
                                <xdr:cNvCxnSpPr>
                                  <a:stCxn id="459" idx="4"/>
                                </xdr:cNvCxnSpPr>
                              </xdr:nvCxnSpPr>
                              <xdr:spPr>
                                <a:xfrm flipH="1">
                                  <a:off x="3451412" y="9044044"/>
                                  <a:ext cx="225" cy="881807"/>
                                </a:xfrm>
                                <a:prstGeom prst="line">
                                  <a:avLst/>
                                </a:prstGeom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62" name="Straight Connector 461"/>
                                <xdr:cNvCxnSpPr>
                                  <a:stCxn id="459" idx="5"/>
                                </xdr:cNvCxnSpPr>
                              </xdr:nvCxnSpPr>
                              <xdr:spPr>
                                <a:xfrm>
                                  <a:off x="3912324" y="8947891"/>
                                  <a:ext cx="1896805" cy="968995"/>
                                </a:xfrm>
                                <a:prstGeom prst="line">
                                  <a:avLst/>
                                </a:prstGeom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sp macro="" textlink="">
                            <xdr:nvSpPr>
                              <xdr:cNvPr id="453" name="Oval 452"/>
                              <xdr:cNvSpPr/>
                            </xdr:nvSpPr>
                            <xdr:spPr>
                              <a:xfrm>
                                <a:off x="4865914" y="14521543"/>
                                <a:ext cx="1303020" cy="640272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ctr"/>
                                <a:r>
                                  <a:rPr lang="id-ID" sz="1400"/>
                                  <a:t>3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454" name="Oval 453"/>
                              <xdr:cNvSpPr/>
                            </xdr:nvSpPr>
                            <xdr:spPr>
                              <a:xfrm>
                                <a:off x="2449285" y="14521543"/>
                                <a:ext cx="1303020" cy="640272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ctr"/>
                                <a:r>
                                  <a:rPr lang="id-ID" sz="1400"/>
                                  <a:t>L. Perut</a:t>
                                </a:r>
                                <a:endParaRPr lang="id-ID" sz="1100"/>
                              </a:p>
                            </xdr:txBody>
                          </xdr:sp>
                          <xdr:grpSp>
                            <xdr:nvGrpSpPr>
                              <xdr:cNvPr id="455" name="Group 454"/>
                              <xdr:cNvGrpSpPr/>
                            </xdr:nvGrpSpPr>
                            <xdr:grpSpPr>
                              <a:xfrm>
                                <a:off x="-9756299" y="16868389"/>
                                <a:ext cx="4994190" cy="2609490"/>
                                <a:chOff x="-9756299" y="16868389"/>
                                <a:chExt cx="4994190" cy="2609490"/>
                              </a:xfrm>
                            </xdr:grpSpPr>
                            <xdr:sp macro="" textlink="">
                              <xdr:nvSpPr>
                                <xdr:cNvPr id="456" name="Oval 455"/>
                                <xdr:cNvSpPr/>
                              </xdr:nvSpPr>
                              <xdr:spPr>
                                <a:xfrm>
                                  <a:off x="-7466399" y="16868389"/>
                                  <a:ext cx="1303020" cy="640272"/>
                                </a:xfrm>
                                <a:prstGeom prst="ellipse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dk1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id-ID" sz="1400"/>
                                    <a:t>L. Perut</a:t>
                                  </a:r>
                                  <a:endParaRPr lang="id-ID" sz="1100"/>
                                </a:p>
                              </xdr:txBody>
                            </xdr:sp>
                            <xdr:cxnSp macro="">
                              <xdr:nvCxnSpPr>
                                <xdr:cNvPr id="457" name="Straight Connector 456"/>
                                <xdr:cNvCxnSpPr>
                                  <a:endCxn id="449" idx="0"/>
                                </xdr:cNvCxnSpPr>
                              </xdr:nvCxnSpPr>
                              <xdr:spPr>
                                <a:xfrm flipH="1">
                                  <a:off x="-9756299" y="17512867"/>
                                  <a:ext cx="2905266" cy="814193"/>
                                </a:xfrm>
                                <a:prstGeom prst="line">
                                  <a:avLst/>
                                </a:prstGeom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58" name="Straight Connector 457"/>
                                <xdr:cNvCxnSpPr>
                                  <a:endCxn id="439" idx="0"/>
                                </xdr:cNvCxnSpPr>
                              </xdr:nvCxnSpPr>
                              <xdr:spPr>
                                <a:xfrm>
                                  <a:off x="-6851033" y="17512867"/>
                                  <a:ext cx="2088924" cy="1965012"/>
                                </a:xfrm>
                                <a:prstGeom prst="line">
                                  <a:avLst/>
                                </a:prstGeom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</xdr:grpSp>
                        <xdr:sp macro="" textlink="">
                          <xdr:nvSpPr>
                            <xdr:cNvPr id="449" name="Oval 448"/>
                            <xdr:cNvSpPr/>
                          </xdr:nvSpPr>
                          <xdr:spPr>
                            <a:xfrm>
                              <a:off x="-10407809" y="25653146"/>
                              <a:ext cx="1303020" cy="640272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id-ID" sz="1400"/>
                                <a:t>BMI</a:t>
                              </a:r>
                              <a:endParaRPr lang="id-ID" sz="1100"/>
                            </a:p>
                          </xdr:txBody>
                        </xdr:sp>
                        <xdr:cxnSp macro="">
                          <xdr:nvCxnSpPr>
                            <xdr:cNvPr id="450" name="Straight Connector 449"/>
                            <xdr:cNvCxnSpPr>
                              <a:endCxn id="442" idx="0"/>
                            </xdr:cNvCxnSpPr>
                          </xdr:nvCxnSpPr>
                          <xdr:spPr>
                            <a:xfrm flipH="1">
                              <a:off x="-11097368" y="26306290"/>
                              <a:ext cx="1299158" cy="921236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1" name="Straight Connector 450"/>
                            <xdr:cNvCxnSpPr>
                              <a:endCxn id="445" idx="0"/>
                            </xdr:cNvCxnSpPr>
                          </xdr:nvCxnSpPr>
                          <xdr:spPr>
                            <a:xfrm>
                              <a:off x="-9787323" y="26295404"/>
                              <a:ext cx="2610937" cy="1404258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442" name="Oval 441"/>
                          <xdr:cNvSpPr/>
                        </xdr:nvSpPr>
                        <xdr:spPr>
                          <a:xfrm>
                            <a:off x="-11748878" y="34085525"/>
                            <a:ext cx="1303020" cy="640272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Umur</a:t>
                            </a:r>
                            <a:endParaRPr lang="id-ID" sz="1100"/>
                          </a:p>
                        </xdr:txBody>
                      </xdr:sp>
                      <xdr:cxnSp macro="">
                        <xdr:nvCxnSpPr>
                          <xdr:cNvPr id="443" name="Straight Connector 442"/>
                          <xdr:cNvCxnSpPr>
                            <a:endCxn id="433" idx="0"/>
                          </xdr:cNvCxnSpPr>
                        </xdr:nvCxnSpPr>
                        <xdr:spPr>
                          <a:xfrm flipH="1">
                            <a:off x="-11826660" y="34737055"/>
                            <a:ext cx="702159" cy="1289393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444" name="Straight Connector 443"/>
                          <xdr:cNvCxnSpPr>
                            <a:stCxn id="442" idx="4"/>
                            <a:endCxn id="434" idx="0"/>
                          </xdr:cNvCxnSpPr>
                        </xdr:nvCxnSpPr>
                        <xdr:spPr>
                          <a:xfrm>
                            <a:off x="-11097368" y="34725797"/>
                            <a:ext cx="1148841" cy="1331446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445" name="Oval 444"/>
                          <xdr:cNvSpPr/>
                        </xdr:nvSpPr>
                        <xdr:spPr>
                          <a:xfrm>
                            <a:off x="-7827897" y="34557661"/>
                            <a:ext cx="1303020" cy="640272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Umur</a:t>
                            </a:r>
                            <a:endParaRPr lang="id-ID" sz="1100"/>
                          </a:p>
                        </xdr:txBody>
                      </xdr:sp>
                      <xdr:cxnSp macro="">
                        <xdr:nvCxnSpPr>
                          <xdr:cNvPr id="446" name="Straight Connector 445"/>
                          <xdr:cNvCxnSpPr>
                            <a:endCxn id="435" idx="0"/>
                          </xdr:cNvCxnSpPr>
                        </xdr:nvCxnSpPr>
                        <xdr:spPr>
                          <a:xfrm flipH="1">
                            <a:off x="-8295821" y="35199917"/>
                            <a:ext cx="1262584" cy="1246818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447" name="Straight Connector 446"/>
                          <xdr:cNvCxnSpPr>
                            <a:endCxn id="437" idx="0"/>
                          </xdr:cNvCxnSpPr>
                        </xdr:nvCxnSpPr>
                        <xdr:spPr>
                          <a:xfrm>
                            <a:off x="-7023984" y="35197932"/>
                            <a:ext cx="954977" cy="1236548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439" name="Oval 438"/>
                        <xdr:cNvSpPr/>
                      </xdr:nvSpPr>
                      <xdr:spPr>
                        <a:xfrm>
                          <a:off x="-5413619" y="53223316"/>
                          <a:ext cx="1303020" cy="619965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Umur</a:t>
                          </a:r>
                          <a:endParaRPr lang="id-ID" sz="1100"/>
                        </a:p>
                      </xdr:txBody>
                    </xdr:sp>
                    <xdr:cxnSp macro="">
                      <xdr:nvCxnSpPr>
                        <xdr:cNvPr id="440" name="Straight Connector 439"/>
                        <xdr:cNvCxnSpPr>
                          <a:endCxn id="422" idx="0"/>
                        </xdr:cNvCxnSpPr>
                      </xdr:nvCxnSpPr>
                      <xdr:spPr>
                        <a:xfrm flipH="1">
                          <a:off x="-5031913" y="53834825"/>
                          <a:ext cx="245997" cy="2940576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437" name="Oval 436"/>
                      <xdr:cNvSpPr/>
                    </xdr:nvSpPr>
                    <xdr:spPr>
                      <a:xfrm>
                        <a:off x="4109196" y="55317307"/>
                        <a:ext cx="1303020" cy="62298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2</a:t>
                        </a:r>
                        <a:endParaRPr lang="id-ID" sz="1100"/>
                      </a:p>
                    </xdr:txBody>
                  </xdr:sp>
                </xdr:grpSp>
                <xdr:sp macro="" textlink="">
                  <xdr:nvSpPr>
                    <xdr:cNvPr id="422" name="Oval 421"/>
                    <xdr:cNvSpPr/>
                  </xdr:nvSpPr>
                  <xdr:spPr>
                    <a:xfrm>
                      <a:off x="180415" y="67177934"/>
                      <a:ext cx="1303020" cy="617980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BMI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423" name="Straight Connector 422"/>
                    <xdr:cNvCxnSpPr/>
                  </xdr:nvCxnSpPr>
                  <xdr:spPr>
                    <a:xfrm flipH="1">
                      <a:off x="-420221" y="67796500"/>
                      <a:ext cx="1266008" cy="120678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24" name="Oval 423"/>
                    <xdr:cNvSpPr/>
                  </xdr:nvSpPr>
                  <xdr:spPr>
                    <a:xfrm>
                      <a:off x="-1092573" y="69006736"/>
                      <a:ext cx="1303020" cy="61798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1</a:t>
                      </a:r>
                      <a:endParaRPr lang="id-ID" sz="1100"/>
                    </a:p>
                  </xdr:txBody>
                </xdr:sp>
                <xdr:sp macro="" textlink="">
                  <xdr:nvSpPr>
                    <xdr:cNvPr id="425" name="Oval 424"/>
                    <xdr:cNvSpPr/>
                  </xdr:nvSpPr>
                  <xdr:spPr>
                    <a:xfrm>
                      <a:off x="1211357" y="69015700"/>
                      <a:ext cx="1303020" cy="61798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1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426" name="Straight Connector 425"/>
                    <xdr:cNvCxnSpPr/>
                  </xdr:nvCxnSpPr>
                  <xdr:spPr>
                    <a:xfrm>
                      <a:off x="852768" y="67805464"/>
                      <a:ext cx="957567" cy="119684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7" name="Straight Connector 426"/>
                    <xdr:cNvCxnSpPr>
                      <a:stCxn id="439" idx="4"/>
                      <a:endCxn id="428" idx="0"/>
                    </xdr:cNvCxnSpPr>
                  </xdr:nvCxnSpPr>
                  <xdr:spPr>
                    <a:xfrm>
                      <a:off x="1102461" y="64184196"/>
                      <a:ext cx="2621398" cy="2902460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28" name="Oval 427"/>
                    <xdr:cNvSpPr/>
                  </xdr:nvSpPr>
                  <xdr:spPr>
                    <a:xfrm>
                      <a:off x="3071941" y="67086656"/>
                      <a:ext cx="1303835" cy="618795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BMI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429" name="Straight Connector 428"/>
                    <xdr:cNvCxnSpPr>
                      <a:endCxn id="430" idx="0"/>
                    </xdr:cNvCxnSpPr>
                  </xdr:nvCxnSpPr>
                  <xdr:spPr>
                    <a:xfrm flipH="1">
                      <a:off x="3117926" y="67697889"/>
                      <a:ext cx="596567" cy="1757083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30" name="Oval 429"/>
                    <xdr:cNvSpPr/>
                  </xdr:nvSpPr>
                  <xdr:spPr>
                    <a:xfrm>
                      <a:off x="2466416" y="69454972"/>
                      <a:ext cx="1303020" cy="61798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1</a:t>
                      </a:r>
                      <a:endParaRPr lang="id-ID" sz="1100"/>
                    </a:p>
                  </xdr:txBody>
                </xdr:sp>
                <xdr:sp macro="" textlink="">
                  <xdr:nvSpPr>
                    <xdr:cNvPr id="431" name="Oval 430"/>
                    <xdr:cNvSpPr/>
                  </xdr:nvSpPr>
                  <xdr:spPr>
                    <a:xfrm>
                      <a:off x="4080063" y="68935019"/>
                      <a:ext cx="1303020" cy="61798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2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432" name="Straight Connector 431"/>
                    <xdr:cNvCxnSpPr/>
                  </xdr:nvCxnSpPr>
                  <xdr:spPr>
                    <a:xfrm>
                      <a:off x="3721474" y="67706853"/>
                      <a:ext cx="957567" cy="119684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419" name="Straight Connector 418"/>
                  <xdr:cNvCxnSpPr/>
                </xdr:nvCxnSpPr>
                <xdr:spPr>
                  <a:xfrm flipH="1">
                    <a:off x="17417143" y="69984590"/>
                    <a:ext cx="1450381" cy="1327724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20" name="Straight Connector 419"/>
                  <xdr:cNvCxnSpPr/>
                </xdr:nvCxnSpPr>
                <xdr:spPr>
                  <a:xfrm>
                    <a:off x="18818039" y="69976426"/>
                    <a:ext cx="1494704" cy="1325003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416" name="Oval 415"/>
                <xdr:cNvSpPr/>
              </xdr:nvSpPr>
              <xdr:spPr>
                <a:xfrm>
                  <a:off x="20505325" y="84247596"/>
                  <a:ext cx="1301503" cy="657578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BMI</a:t>
                  </a:r>
                  <a:endParaRPr lang="id-ID" sz="1100"/>
                </a:p>
              </xdr:txBody>
            </xdr:sp>
            <xdr:cxnSp macro="">
              <xdr:nvCxnSpPr>
                <xdr:cNvPr id="417" name="Straight Connector 416"/>
                <xdr:cNvCxnSpPr>
                  <a:stCxn id="416" idx="4"/>
                </xdr:cNvCxnSpPr>
              </xdr:nvCxnSpPr>
              <xdr:spPr>
                <a:xfrm flipH="1">
                  <a:off x="19169743" y="84905174"/>
                  <a:ext cx="1986334" cy="1179055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412" name="Straight Connector 411"/>
            <xdr:cNvCxnSpPr>
              <a:stCxn id="416" idx="4"/>
            </xdr:cNvCxnSpPr>
          </xdr:nvCxnSpPr>
          <xdr:spPr>
            <a:xfrm>
              <a:off x="21156077" y="84905174"/>
              <a:ext cx="1377352" cy="1211712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63" name="Oval 462"/>
          <xdr:cNvSpPr/>
        </xdr:nvSpPr>
        <xdr:spPr>
          <a:xfrm>
            <a:off x="18872470" y="99041282"/>
            <a:ext cx="1301503" cy="657578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2</a:t>
            </a:r>
            <a:endParaRPr lang="id-ID" sz="1100"/>
          </a:p>
        </xdr:txBody>
      </xdr:sp>
      <xdr:sp macro="" textlink="">
        <xdr:nvSpPr>
          <xdr:cNvPr id="464" name="Oval 463"/>
          <xdr:cNvSpPr/>
        </xdr:nvSpPr>
        <xdr:spPr>
          <a:xfrm>
            <a:off x="22192613" y="99063054"/>
            <a:ext cx="1301503" cy="657578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Umur</a:t>
            </a:r>
          </a:p>
        </xdr:txBody>
      </xdr:sp>
      <xdr:cxnSp macro="">
        <xdr:nvCxnSpPr>
          <xdr:cNvPr id="466" name="Straight Connector 465"/>
          <xdr:cNvCxnSpPr>
            <a:stCxn id="464" idx="4"/>
          </xdr:cNvCxnSpPr>
        </xdr:nvCxnSpPr>
        <xdr:spPr>
          <a:xfrm>
            <a:off x="22843365" y="99720632"/>
            <a:ext cx="1562406" cy="117905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464725</xdr:colOff>
      <xdr:row>576</xdr:row>
      <xdr:rowOff>68367</xdr:rowOff>
    </xdr:from>
    <xdr:to>
      <xdr:col>41</xdr:col>
      <xdr:colOff>402771</xdr:colOff>
      <xdr:row>648</xdr:row>
      <xdr:rowOff>76747</xdr:rowOff>
    </xdr:to>
    <xdr:grpSp>
      <xdr:nvGrpSpPr>
        <xdr:cNvPr id="467" name="Group 466"/>
        <xdr:cNvGrpSpPr/>
      </xdr:nvGrpSpPr>
      <xdr:grpSpPr>
        <a:xfrm>
          <a:off x="5341525" y="106184487"/>
          <a:ext cx="20031986" cy="13175740"/>
          <a:chOff x="4372696" y="93696395"/>
          <a:chExt cx="20033075" cy="13332495"/>
        </a:xfrm>
      </xdr:grpSpPr>
      <xdr:grpSp>
        <xdr:nvGrpSpPr>
          <xdr:cNvPr id="468" name="Group 467"/>
          <xdr:cNvGrpSpPr/>
        </xdr:nvGrpSpPr>
        <xdr:grpSpPr>
          <a:xfrm>
            <a:off x="4372696" y="93696395"/>
            <a:ext cx="18674142" cy="13332495"/>
            <a:chOff x="4089668" y="80753281"/>
            <a:chExt cx="18674142" cy="13332495"/>
          </a:xfrm>
        </xdr:grpSpPr>
        <xdr:grpSp>
          <xdr:nvGrpSpPr>
            <xdr:cNvPr id="472" name="Group 471"/>
            <xdr:cNvGrpSpPr/>
          </xdr:nvGrpSpPr>
          <xdr:grpSpPr>
            <a:xfrm>
              <a:off x="4089668" y="80753281"/>
              <a:ext cx="18674142" cy="13332495"/>
              <a:chOff x="4089668" y="80753281"/>
              <a:chExt cx="18674142" cy="13332495"/>
            </a:xfrm>
          </xdr:grpSpPr>
          <xdr:sp macro="" textlink="">
            <xdr:nvSpPr>
              <xdr:cNvPr id="474" name="Oval 473"/>
              <xdr:cNvSpPr/>
            </xdr:nvSpPr>
            <xdr:spPr>
              <a:xfrm>
                <a:off x="17653268" y="84280253"/>
                <a:ext cx="1301503" cy="657578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id-ID" sz="1400"/>
                  <a:t>2</a:t>
                </a:r>
                <a:endParaRPr lang="id-ID" sz="1100"/>
              </a:p>
            </xdr:txBody>
          </xdr:sp>
          <xdr:grpSp>
            <xdr:nvGrpSpPr>
              <xdr:cNvPr id="475" name="Group 474"/>
              <xdr:cNvGrpSpPr/>
            </xdr:nvGrpSpPr>
            <xdr:grpSpPr>
              <a:xfrm>
                <a:off x="4089668" y="80753281"/>
                <a:ext cx="18674142" cy="13332495"/>
                <a:chOff x="4089668" y="80753281"/>
                <a:chExt cx="18674142" cy="13332495"/>
              </a:xfrm>
            </xdr:grpSpPr>
            <xdr:grpSp>
              <xdr:nvGrpSpPr>
                <xdr:cNvPr id="476" name="Group 475"/>
                <xdr:cNvGrpSpPr/>
              </xdr:nvGrpSpPr>
              <xdr:grpSpPr>
                <a:xfrm>
                  <a:off x="4089668" y="80753281"/>
                  <a:ext cx="18674142" cy="13332495"/>
                  <a:chOff x="3273239" y="67788397"/>
                  <a:chExt cx="18674142" cy="13332495"/>
                </a:xfrm>
              </xdr:grpSpPr>
              <xdr:grpSp>
                <xdr:nvGrpSpPr>
                  <xdr:cNvPr id="479" name="Group 478"/>
                  <xdr:cNvGrpSpPr/>
                </xdr:nvGrpSpPr>
                <xdr:grpSpPr>
                  <a:xfrm>
                    <a:off x="3273239" y="67788397"/>
                    <a:ext cx="18674142" cy="13332495"/>
                    <a:chOff x="-6632761" y="57155288"/>
                    <a:chExt cx="18695913" cy="12917665"/>
                  </a:xfrm>
                </xdr:grpSpPr>
                <xdr:grpSp>
                  <xdr:nvGrpSpPr>
                    <xdr:cNvPr id="482" name="Group 481"/>
                    <xdr:cNvGrpSpPr/>
                  </xdr:nvGrpSpPr>
                  <xdr:grpSpPr>
                    <a:xfrm>
                      <a:off x="-6632761" y="57155288"/>
                      <a:ext cx="18695913" cy="10022649"/>
                      <a:chOff x="-1664073" y="46383070"/>
                      <a:chExt cx="18695913" cy="9800322"/>
                    </a:xfrm>
                  </xdr:grpSpPr>
                  <xdr:sp macro="" textlink="">
                    <xdr:nvSpPr>
                      <xdr:cNvPr id="494" name="Oval 493"/>
                      <xdr:cNvSpPr/>
                    </xdr:nvSpPr>
                    <xdr:spPr>
                      <a:xfrm>
                        <a:off x="-1664073" y="54922859"/>
                        <a:ext cx="1303020" cy="62298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2</a:t>
                        </a:r>
                        <a:endParaRPr lang="id-ID" sz="1100"/>
                      </a:p>
                    </xdr:txBody>
                  </xdr:sp>
                  <xdr:sp macro="" textlink="">
                    <xdr:nvSpPr>
                      <xdr:cNvPr id="495" name="Oval 494"/>
                      <xdr:cNvSpPr/>
                    </xdr:nvSpPr>
                    <xdr:spPr>
                      <a:xfrm>
                        <a:off x="219154" y="54952635"/>
                        <a:ext cx="1303020" cy="622984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2</a:t>
                        </a:r>
                        <a:endParaRPr lang="id-ID" sz="1100"/>
                      </a:p>
                    </xdr:txBody>
                  </xdr:sp>
                  <xdr:sp macro="" textlink="">
                    <xdr:nvSpPr>
                      <xdr:cNvPr id="496" name="Oval 495"/>
                      <xdr:cNvSpPr/>
                    </xdr:nvSpPr>
                    <xdr:spPr>
                      <a:xfrm>
                        <a:off x="1876343" y="55329152"/>
                        <a:ext cx="1303020" cy="617221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2</a:t>
                        </a:r>
                        <a:endParaRPr lang="id-ID" sz="1100"/>
                      </a:p>
                    </xdr:txBody>
                  </xdr:sp>
                  <xdr:grpSp>
                    <xdr:nvGrpSpPr>
                      <xdr:cNvPr id="497" name="Group 496"/>
                      <xdr:cNvGrpSpPr/>
                    </xdr:nvGrpSpPr>
                    <xdr:grpSpPr>
                      <a:xfrm>
                        <a:off x="-1012563" y="46383070"/>
                        <a:ext cx="18044403" cy="9800322"/>
                        <a:chOff x="-11826660" y="46959050"/>
                        <a:chExt cx="17995594" cy="9816351"/>
                      </a:xfrm>
                    </xdr:grpSpPr>
                    <xdr:grpSp>
                      <xdr:nvGrpSpPr>
                        <xdr:cNvPr id="499" name="Group 498"/>
                        <xdr:cNvGrpSpPr/>
                      </xdr:nvGrpSpPr>
                      <xdr:grpSpPr>
                        <a:xfrm>
                          <a:off x="-11826660" y="46959050"/>
                          <a:ext cx="17995594" cy="8960717"/>
                          <a:chOff x="-11826660" y="27192513"/>
                          <a:chExt cx="17995594" cy="9254222"/>
                        </a:xfrm>
                      </xdr:grpSpPr>
                      <xdr:grpSp>
                        <xdr:nvGrpSpPr>
                          <xdr:cNvPr id="502" name="Group 501"/>
                          <xdr:cNvGrpSpPr/>
                        </xdr:nvGrpSpPr>
                        <xdr:grpSpPr>
                          <a:xfrm>
                            <a:off x="-11097368" y="27192513"/>
                            <a:ext cx="17266302" cy="7365149"/>
                            <a:chOff x="-11097368" y="20334513"/>
                            <a:chExt cx="17266302" cy="7365149"/>
                          </a:xfrm>
                        </xdr:grpSpPr>
                        <xdr:grpSp>
                          <xdr:nvGrpSpPr>
                            <xdr:cNvPr id="509" name="Group 508"/>
                            <xdr:cNvGrpSpPr/>
                          </xdr:nvGrpSpPr>
                          <xdr:grpSpPr>
                            <a:xfrm>
                              <a:off x="-9756299" y="20334513"/>
                              <a:ext cx="15925233" cy="6469451"/>
                              <a:chOff x="-9756299" y="13008428"/>
                              <a:chExt cx="15925233" cy="6469451"/>
                            </a:xfrm>
                          </xdr:grpSpPr>
                          <xdr:grpSp>
                            <xdr:nvGrpSpPr>
                              <xdr:cNvPr id="513" name="Group 512"/>
                              <xdr:cNvGrpSpPr/>
                            </xdr:nvGrpSpPr>
                            <xdr:grpSpPr>
                              <a:xfrm>
                                <a:off x="-6814888" y="13008428"/>
                                <a:ext cx="12250060" cy="3859961"/>
                                <a:chOff x="-6440931" y="8403772"/>
                                <a:chExt cx="12250060" cy="3859961"/>
                              </a:xfrm>
                            </xdr:grpSpPr>
                            <xdr:sp macro="" textlink="">
                              <xdr:nvSpPr>
                                <xdr:cNvPr id="520" name="Oval 519"/>
                                <xdr:cNvSpPr/>
                              </xdr:nvSpPr>
                              <xdr:spPr>
                                <a:xfrm>
                                  <a:off x="2800127" y="8403772"/>
                                  <a:ext cx="1303020" cy="640272"/>
                                </a:xfrm>
                                <a:prstGeom prst="ellipse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dk1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id-ID" sz="1400"/>
                                    <a:t>T. Darah</a:t>
                                  </a:r>
                                  <a:endParaRPr lang="id-ID" sz="1100"/>
                                </a:p>
                              </xdr:txBody>
                            </xdr:sp>
                            <xdr:cxnSp macro="">
                              <xdr:nvCxnSpPr>
                                <xdr:cNvPr id="521" name="Straight Connector 520"/>
                                <xdr:cNvCxnSpPr>
                                  <a:stCxn id="520" idx="3"/>
                                  <a:endCxn id="517" idx="0"/>
                                </xdr:cNvCxnSpPr>
                              </xdr:nvCxnSpPr>
                              <xdr:spPr>
                                <a:xfrm flipH="1">
                                  <a:off x="-6440931" y="8950278"/>
                                  <a:ext cx="9431880" cy="3313455"/>
                                </a:xfrm>
                                <a:prstGeom prst="line">
                                  <a:avLst/>
                                </a:prstGeom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522" name="Straight Connector 521"/>
                                <xdr:cNvCxnSpPr>
                                  <a:stCxn id="520" idx="4"/>
                                </xdr:cNvCxnSpPr>
                              </xdr:nvCxnSpPr>
                              <xdr:spPr>
                                <a:xfrm flipH="1">
                                  <a:off x="3451412" y="9044044"/>
                                  <a:ext cx="225" cy="881807"/>
                                </a:xfrm>
                                <a:prstGeom prst="line">
                                  <a:avLst/>
                                </a:prstGeom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523" name="Straight Connector 522"/>
                                <xdr:cNvCxnSpPr>
                                  <a:stCxn id="520" idx="5"/>
                                </xdr:cNvCxnSpPr>
                              </xdr:nvCxnSpPr>
                              <xdr:spPr>
                                <a:xfrm>
                                  <a:off x="3912324" y="8947891"/>
                                  <a:ext cx="1896805" cy="968995"/>
                                </a:xfrm>
                                <a:prstGeom prst="line">
                                  <a:avLst/>
                                </a:prstGeom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sp macro="" textlink="">
                            <xdr:nvSpPr>
                              <xdr:cNvPr id="514" name="Oval 513"/>
                              <xdr:cNvSpPr/>
                            </xdr:nvSpPr>
                            <xdr:spPr>
                              <a:xfrm>
                                <a:off x="4865914" y="14521543"/>
                                <a:ext cx="1303020" cy="640272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ctr"/>
                                <a:r>
                                  <a:rPr lang="id-ID" sz="1400"/>
                                  <a:t>3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515" name="Oval 514"/>
                              <xdr:cNvSpPr/>
                            </xdr:nvSpPr>
                            <xdr:spPr>
                              <a:xfrm>
                                <a:off x="2449285" y="14521543"/>
                                <a:ext cx="1303020" cy="640272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ctr"/>
                                <a:r>
                                  <a:rPr lang="id-ID" sz="1400"/>
                                  <a:t>L. Perut</a:t>
                                </a:r>
                                <a:endParaRPr lang="id-ID" sz="1100"/>
                              </a:p>
                            </xdr:txBody>
                          </xdr:sp>
                          <xdr:grpSp>
                            <xdr:nvGrpSpPr>
                              <xdr:cNvPr id="516" name="Group 515"/>
                              <xdr:cNvGrpSpPr/>
                            </xdr:nvGrpSpPr>
                            <xdr:grpSpPr>
                              <a:xfrm>
                                <a:off x="-9756299" y="16868389"/>
                                <a:ext cx="4994190" cy="2609490"/>
                                <a:chOff x="-9756299" y="16868389"/>
                                <a:chExt cx="4994190" cy="2609490"/>
                              </a:xfrm>
                            </xdr:grpSpPr>
                            <xdr:sp macro="" textlink="">
                              <xdr:nvSpPr>
                                <xdr:cNvPr id="517" name="Oval 516"/>
                                <xdr:cNvSpPr/>
                              </xdr:nvSpPr>
                              <xdr:spPr>
                                <a:xfrm>
                                  <a:off x="-7466399" y="16868389"/>
                                  <a:ext cx="1303020" cy="640272"/>
                                </a:xfrm>
                                <a:prstGeom prst="ellipse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dk1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id-ID" sz="1400"/>
                                    <a:t>L. Perut</a:t>
                                  </a:r>
                                  <a:endParaRPr lang="id-ID" sz="1100"/>
                                </a:p>
                              </xdr:txBody>
                            </xdr:sp>
                            <xdr:cxnSp macro="">
                              <xdr:nvCxnSpPr>
                                <xdr:cNvPr id="518" name="Straight Connector 517"/>
                                <xdr:cNvCxnSpPr>
                                  <a:endCxn id="510" idx="0"/>
                                </xdr:cNvCxnSpPr>
                              </xdr:nvCxnSpPr>
                              <xdr:spPr>
                                <a:xfrm flipH="1">
                                  <a:off x="-9756299" y="17512867"/>
                                  <a:ext cx="2905266" cy="814193"/>
                                </a:xfrm>
                                <a:prstGeom prst="line">
                                  <a:avLst/>
                                </a:prstGeom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519" name="Straight Connector 518"/>
                                <xdr:cNvCxnSpPr>
                                  <a:endCxn id="500" idx="0"/>
                                </xdr:cNvCxnSpPr>
                              </xdr:nvCxnSpPr>
                              <xdr:spPr>
                                <a:xfrm>
                                  <a:off x="-6851033" y="17512867"/>
                                  <a:ext cx="2088924" cy="1965012"/>
                                </a:xfrm>
                                <a:prstGeom prst="line">
                                  <a:avLst/>
                                </a:prstGeom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</xdr:grpSp>
                        <xdr:sp macro="" textlink="">
                          <xdr:nvSpPr>
                            <xdr:cNvPr id="510" name="Oval 509"/>
                            <xdr:cNvSpPr/>
                          </xdr:nvSpPr>
                          <xdr:spPr>
                            <a:xfrm>
                              <a:off x="-10407809" y="25653146"/>
                              <a:ext cx="1303020" cy="640272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id-ID" sz="1400"/>
                                <a:t>BMI</a:t>
                              </a:r>
                              <a:endParaRPr lang="id-ID" sz="1100"/>
                            </a:p>
                          </xdr:txBody>
                        </xdr:sp>
                        <xdr:cxnSp macro="">
                          <xdr:nvCxnSpPr>
                            <xdr:cNvPr id="511" name="Straight Connector 510"/>
                            <xdr:cNvCxnSpPr>
                              <a:endCxn id="503" idx="0"/>
                            </xdr:cNvCxnSpPr>
                          </xdr:nvCxnSpPr>
                          <xdr:spPr>
                            <a:xfrm flipH="1">
                              <a:off x="-11097368" y="26306290"/>
                              <a:ext cx="1299158" cy="921236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512" name="Straight Connector 511"/>
                            <xdr:cNvCxnSpPr>
                              <a:endCxn id="506" idx="0"/>
                            </xdr:cNvCxnSpPr>
                          </xdr:nvCxnSpPr>
                          <xdr:spPr>
                            <a:xfrm>
                              <a:off x="-9787323" y="26295404"/>
                              <a:ext cx="2610937" cy="1404258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03" name="Oval 502"/>
                          <xdr:cNvSpPr/>
                        </xdr:nvSpPr>
                        <xdr:spPr>
                          <a:xfrm>
                            <a:off x="-11748878" y="34085525"/>
                            <a:ext cx="1303020" cy="640272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Umur</a:t>
                            </a:r>
                            <a:endParaRPr lang="id-ID" sz="1100"/>
                          </a:p>
                        </xdr:txBody>
                      </xdr:sp>
                      <xdr:cxnSp macro="">
                        <xdr:nvCxnSpPr>
                          <xdr:cNvPr id="504" name="Straight Connector 503"/>
                          <xdr:cNvCxnSpPr>
                            <a:endCxn id="494" idx="0"/>
                          </xdr:cNvCxnSpPr>
                        </xdr:nvCxnSpPr>
                        <xdr:spPr>
                          <a:xfrm flipH="1">
                            <a:off x="-11826660" y="34737055"/>
                            <a:ext cx="702159" cy="1289393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05" name="Straight Connector 504"/>
                          <xdr:cNvCxnSpPr>
                            <a:stCxn id="503" idx="4"/>
                            <a:endCxn id="495" idx="0"/>
                          </xdr:cNvCxnSpPr>
                        </xdr:nvCxnSpPr>
                        <xdr:spPr>
                          <a:xfrm>
                            <a:off x="-11097368" y="34725797"/>
                            <a:ext cx="1148841" cy="1331446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506" name="Oval 505"/>
                          <xdr:cNvSpPr/>
                        </xdr:nvSpPr>
                        <xdr:spPr>
                          <a:xfrm>
                            <a:off x="-7827897" y="34557661"/>
                            <a:ext cx="1303020" cy="640272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id-ID" sz="1400"/>
                              <a:t>Umur</a:t>
                            </a:r>
                            <a:endParaRPr lang="id-ID" sz="1100"/>
                          </a:p>
                        </xdr:txBody>
                      </xdr:sp>
                      <xdr:cxnSp macro="">
                        <xdr:nvCxnSpPr>
                          <xdr:cNvPr id="507" name="Straight Connector 506"/>
                          <xdr:cNvCxnSpPr>
                            <a:endCxn id="496" idx="0"/>
                          </xdr:cNvCxnSpPr>
                        </xdr:nvCxnSpPr>
                        <xdr:spPr>
                          <a:xfrm flipH="1">
                            <a:off x="-8295821" y="35199917"/>
                            <a:ext cx="1262584" cy="1246818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08" name="Straight Connector 507"/>
                          <xdr:cNvCxnSpPr>
                            <a:endCxn id="498" idx="0"/>
                          </xdr:cNvCxnSpPr>
                        </xdr:nvCxnSpPr>
                        <xdr:spPr>
                          <a:xfrm>
                            <a:off x="-7023984" y="35197932"/>
                            <a:ext cx="954977" cy="1236548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500" name="Oval 499"/>
                        <xdr:cNvSpPr/>
                      </xdr:nvSpPr>
                      <xdr:spPr>
                        <a:xfrm>
                          <a:off x="-5413619" y="53223316"/>
                          <a:ext cx="1303020" cy="619965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id-ID" sz="1400"/>
                            <a:t>Umur</a:t>
                          </a:r>
                          <a:endParaRPr lang="id-ID" sz="1100"/>
                        </a:p>
                      </xdr:txBody>
                    </xdr:sp>
                    <xdr:cxnSp macro="">
                      <xdr:nvCxnSpPr>
                        <xdr:cNvPr id="501" name="Straight Connector 500"/>
                        <xdr:cNvCxnSpPr>
                          <a:endCxn id="483" idx="0"/>
                        </xdr:cNvCxnSpPr>
                      </xdr:nvCxnSpPr>
                      <xdr:spPr>
                        <a:xfrm flipH="1">
                          <a:off x="-5031913" y="53834825"/>
                          <a:ext cx="245997" cy="2940576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498" name="Oval 497"/>
                      <xdr:cNvSpPr/>
                    </xdr:nvSpPr>
                    <xdr:spPr>
                      <a:xfrm>
                        <a:off x="4109196" y="55317307"/>
                        <a:ext cx="1303020" cy="62298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id-ID" sz="1400"/>
                          <a:t>2</a:t>
                        </a:r>
                        <a:endParaRPr lang="id-ID" sz="1100"/>
                      </a:p>
                    </xdr:txBody>
                  </xdr:sp>
                </xdr:grpSp>
                <xdr:sp macro="" textlink="">
                  <xdr:nvSpPr>
                    <xdr:cNvPr id="483" name="Oval 482"/>
                    <xdr:cNvSpPr/>
                  </xdr:nvSpPr>
                  <xdr:spPr>
                    <a:xfrm>
                      <a:off x="180415" y="67177934"/>
                      <a:ext cx="1303020" cy="617980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BMI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484" name="Straight Connector 483"/>
                    <xdr:cNvCxnSpPr/>
                  </xdr:nvCxnSpPr>
                  <xdr:spPr>
                    <a:xfrm flipH="1">
                      <a:off x="-420221" y="67796500"/>
                      <a:ext cx="1266008" cy="120678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85" name="Oval 484"/>
                    <xdr:cNvSpPr/>
                  </xdr:nvSpPr>
                  <xdr:spPr>
                    <a:xfrm>
                      <a:off x="-1092573" y="69006736"/>
                      <a:ext cx="1303020" cy="61798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1</a:t>
                      </a:r>
                      <a:endParaRPr lang="id-ID" sz="1100"/>
                    </a:p>
                  </xdr:txBody>
                </xdr:sp>
                <xdr:sp macro="" textlink="">
                  <xdr:nvSpPr>
                    <xdr:cNvPr id="486" name="Oval 485"/>
                    <xdr:cNvSpPr/>
                  </xdr:nvSpPr>
                  <xdr:spPr>
                    <a:xfrm>
                      <a:off x="1211357" y="69015700"/>
                      <a:ext cx="1303020" cy="61798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1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487" name="Straight Connector 486"/>
                    <xdr:cNvCxnSpPr/>
                  </xdr:nvCxnSpPr>
                  <xdr:spPr>
                    <a:xfrm>
                      <a:off x="852768" y="67805464"/>
                      <a:ext cx="957567" cy="119684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88" name="Straight Connector 487"/>
                    <xdr:cNvCxnSpPr>
                      <a:stCxn id="500" idx="4"/>
                      <a:endCxn id="489" idx="0"/>
                    </xdr:cNvCxnSpPr>
                  </xdr:nvCxnSpPr>
                  <xdr:spPr>
                    <a:xfrm>
                      <a:off x="1102461" y="64184196"/>
                      <a:ext cx="2621398" cy="2902460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89" name="Oval 488"/>
                    <xdr:cNvSpPr/>
                  </xdr:nvSpPr>
                  <xdr:spPr>
                    <a:xfrm>
                      <a:off x="3071941" y="67086656"/>
                      <a:ext cx="1303835" cy="618795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BMI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490" name="Straight Connector 489"/>
                    <xdr:cNvCxnSpPr>
                      <a:endCxn id="491" idx="0"/>
                    </xdr:cNvCxnSpPr>
                  </xdr:nvCxnSpPr>
                  <xdr:spPr>
                    <a:xfrm flipH="1">
                      <a:off x="3117926" y="67697889"/>
                      <a:ext cx="596567" cy="1757083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91" name="Oval 490"/>
                    <xdr:cNvSpPr/>
                  </xdr:nvSpPr>
                  <xdr:spPr>
                    <a:xfrm>
                      <a:off x="2466416" y="69454972"/>
                      <a:ext cx="1303020" cy="61798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1</a:t>
                      </a:r>
                      <a:endParaRPr lang="id-ID" sz="1100"/>
                    </a:p>
                  </xdr:txBody>
                </xdr:sp>
                <xdr:sp macro="" textlink="">
                  <xdr:nvSpPr>
                    <xdr:cNvPr id="492" name="Oval 491"/>
                    <xdr:cNvSpPr/>
                  </xdr:nvSpPr>
                  <xdr:spPr>
                    <a:xfrm>
                      <a:off x="4080063" y="68935019"/>
                      <a:ext cx="1303020" cy="617981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id-ID" sz="1400"/>
                        <a:t>2</a:t>
                      </a:r>
                      <a:endParaRPr lang="id-ID" sz="1100"/>
                    </a:p>
                  </xdr:txBody>
                </xdr:sp>
                <xdr:cxnSp macro="">
                  <xdr:nvCxnSpPr>
                    <xdr:cNvPr id="493" name="Straight Connector 492"/>
                    <xdr:cNvCxnSpPr/>
                  </xdr:nvCxnSpPr>
                  <xdr:spPr>
                    <a:xfrm>
                      <a:off x="3721474" y="67706853"/>
                      <a:ext cx="957567" cy="1196847"/>
                    </a:xfrm>
                    <a:prstGeom prst="line">
                      <a:avLst/>
                    </a:prstGeom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480" name="Straight Connector 479"/>
                  <xdr:cNvCxnSpPr/>
                </xdr:nvCxnSpPr>
                <xdr:spPr>
                  <a:xfrm flipH="1">
                    <a:off x="17417143" y="69984590"/>
                    <a:ext cx="1450381" cy="1327724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81" name="Straight Connector 480"/>
                  <xdr:cNvCxnSpPr/>
                </xdr:nvCxnSpPr>
                <xdr:spPr>
                  <a:xfrm>
                    <a:off x="18818039" y="69976426"/>
                    <a:ext cx="1494704" cy="1325003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477" name="Oval 476"/>
                <xdr:cNvSpPr/>
              </xdr:nvSpPr>
              <xdr:spPr>
                <a:xfrm>
                  <a:off x="20505325" y="84247596"/>
                  <a:ext cx="1301503" cy="657578"/>
                </a:xfrm>
                <a:prstGeom prst="ellipse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1400"/>
                    <a:t>BMI</a:t>
                  </a:r>
                  <a:endParaRPr lang="id-ID" sz="1100"/>
                </a:p>
              </xdr:txBody>
            </xdr:sp>
            <xdr:cxnSp macro="">
              <xdr:nvCxnSpPr>
                <xdr:cNvPr id="478" name="Straight Connector 477"/>
                <xdr:cNvCxnSpPr>
                  <a:stCxn id="477" idx="4"/>
                </xdr:cNvCxnSpPr>
              </xdr:nvCxnSpPr>
              <xdr:spPr>
                <a:xfrm flipH="1">
                  <a:off x="19169743" y="84905174"/>
                  <a:ext cx="1986334" cy="1179055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473" name="Straight Connector 472"/>
            <xdr:cNvCxnSpPr>
              <a:stCxn id="477" idx="4"/>
            </xdr:cNvCxnSpPr>
          </xdr:nvCxnSpPr>
          <xdr:spPr>
            <a:xfrm>
              <a:off x="21156077" y="84905174"/>
              <a:ext cx="1377352" cy="1211712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69" name="Oval 468"/>
          <xdr:cNvSpPr/>
        </xdr:nvSpPr>
        <xdr:spPr>
          <a:xfrm>
            <a:off x="18872470" y="99041282"/>
            <a:ext cx="1301503" cy="657578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2</a:t>
            </a:r>
            <a:endParaRPr lang="id-ID" sz="1100"/>
          </a:p>
        </xdr:txBody>
      </xdr:sp>
      <xdr:sp macro="" textlink="">
        <xdr:nvSpPr>
          <xdr:cNvPr id="470" name="Oval 469"/>
          <xdr:cNvSpPr/>
        </xdr:nvSpPr>
        <xdr:spPr>
          <a:xfrm>
            <a:off x="22192613" y="99063054"/>
            <a:ext cx="1301503" cy="657578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400"/>
              <a:t>Umur</a:t>
            </a:r>
          </a:p>
        </xdr:txBody>
      </xdr:sp>
      <xdr:cxnSp macro="">
        <xdr:nvCxnSpPr>
          <xdr:cNvPr id="471" name="Straight Connector 470"/>
          <xdr:cNvCxnSpPr>
            <a:stCxn id="470" idx="4"/>
          </xdr:cNvCxnSpPr>
        </xdr:nvCxnSpPr>
        <xdr:spPr>
          <a:xfrm>
            <a:off x="22843365" y="99720632"/>
            <a:ext cx="1562406" cy="117905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32659</xdr:colOff>
      <xdr:row>608</xdr:row>
      <xdr:rowOff>170775</xdr:rowOff>
    </xdr:from>
    <xdr:to>
      <xdr:col>39</xdr:col>
      <xdr:colOff>59565</xdr:colOff>
      <xdr:row>615</xdr:row>
      <xdr:rowOff>54428</xdr:rowOff>
    </xdr:to>
    <xdr:cxnSp macro="">
      <xdr:nvCxnSpPr>
        <xdr:cNvPr id="524" name="Straight Connector 523"/>
        <xdr:cNvCxnSpPr>
          <a:stCxn id="470" idx="4"/>
        </xdr:cNvCxnSpPr>
      </xdr:nvCxnSpPr>
      <xdr:spPr>
        <a:xfrm flipH="1">
          <a:off x="21956488" y="113295118"/>
          <a:ext cx="1855706" cy="11790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29295</xdr:colOff>
      <xdr:row>615</xdr:row>
      <xdr:rowOff>35710</xdr:rowOff>
    </xdr:from>
    <xdr:to>
      <xdr:col>37</xdr:col>
      <xdr:colOff>111598</xdr:colOff>
      <xdr:row>618</xdr:row>
      <xdr:rowOff>138117</xdr:rowOff>
    </xdr:to>
    <xdr:sp macro="" textlink="">
      <xdr:nvSpPr>
        <xdr:cNvPr id="525" name="Oval 524"/>
        <xdr:cNvSpPr/>
      </xdr:nvSpPr>
      <xdr:spPr>
        <a:xfrm>
          <a:off x="21343524" y="114455453"/>
          <a:ext cx="1301503" cy="65757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3</a:t>
          </a:r>
          <a:endParaRPr lang="id-ID" sz="1100"/>
        </a:p>
      </xdr:txBody>
    </xdr:sp>
    <xdr:clientData/>
  </xdr:twoCellAnchor>
  <xdr:twoCellAnchor>
    <xdr:from>
      <xdr:col>40</xdr:col>
      <xdr:colOff>355867</xdr:colOff>
      <xdr:row>615</xdr:row>
      <xdr:rowOff>57481</xdr:rowOff>
    </xdr:from>
    <xdr:to>
      <xdr:col>42</xdr:col>
      <xdr:colOff>438170</xdr:colOff>
      <xdr:row>618</xdr:row>
      <xdr:rowOff>159888</xdr:rowOff>
    </xdr:to>
    <xdr:sp macro="" textlink="">
      <xdr:nvSpPr>
        <xdr:cNvPr id="526" name="Oval 525"/>
        <xdr:cNvSpPr/>
      </xdr:nvSpPr>
      <xdr:spPr>
        <a:xfrm>
          <a:off x="24718096" y="114477224"/>
          <a:ext cx="1301503" cy="65757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400"/>
            <a:t>2</a:t>
          </a:r>
          <a:endParaRPr lang="id-ID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65314</xdr:colOff>
      <xdr:row>95</xdr:row>
      <xdr:rowOff>185056</xdr:rowOff>
    </xdr:from>
    <xdr:to>
      <xdr:col>9</xdr:col>
      <xdr:colOff>65314</xdr:colOff>
      <xdr:row>99</xdr:row>
      <xdr:rowOff>141514</xdr:rowOff>
    </xdr:to>
    <xdr:sp macro="" textlink="">
      <xdr:nvSpPr>
        <xdr:cNvPr id="2" name="Rounded Rectangle 1"/>
        <xdr:cNvSpPr/>
      </xdr:nvSpPr>
      <xdr:spPr>
        <a:xfrm>
          <a:off x="3113314" y="18255342"/>
          <a:ext cx="2438400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Tekanan</a:t>
          </a:r>
          <a:r>
            <a:rPr lang="id-ID" sz="1800" b="1" baseline="0"/>
            <a:t> Darah</a:t>
          </a:r>
          <a:endParaRPr lang="id-ID" sz="1800" b="1"/>
        </a:p>
      </xdr:txBody>
    </xdr:sp>
    <xdr:clientData/>
  </xdr:twoCellAnchor>
  <xdr:oneCellAnchor>
    <xdr:from>
      <xdr:col>10</xdr:col>
      <xdr:colOff>1186543</xdr:colOff>
      <xdr:row>102</xdr:row>
      <xdr:rowOff>141514</xdr:rowOff>
    </xdr:from>
    <xdr:ext cx="184731" cy="264560"/>
    <xdr:sp macro="" textlink="">
      <xdr:nvSpPr>
        <xdr:cNvPr id="3" name="TextBox 2"/>
        <xdr:cNvSpPr txBox="1"/>
      </xdr:nvSpPr>
      <xdr:spPr>
        <a:xfrm>
          <a:off x="7445829" y="19507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twoCellAnchor>
    <xdr:from>
      <xdr:col>1</xdr:col>
      <xdr:colOff>239486</xdr:colOff>
      <xdr:row>99</xdr:row>
      <xdr:rowOff>141514</xdr:rowOff>
    </xdr:from>
    <xdr:to>
      <xdr:col>6</xdr:col>
      <xdr:colOff>794657</xdr:colOff>
      <xdr:row>103</xdr:row>
      <xdr:rowOff>174171</xdr:rowOff>
    </xdr:to>
    <xdr:cxnSp macro="">
      <xdr:nvCxnSpPr>
        <xdr:cNvPr id="7" name="Straight Connector 6"/>
        <xdr:cNvCxnSpPr>
          <a:stCxn id="2" idx="2"/>
        </xdr:cNvCxnSpPr>
      </xdr:nvCxnSpPr>
      <xdr:spPr>
        <a:xfrm flipH="1">
          <a:off x="849086" y="18952028"/>
          <a:ext cx="3603171" cy="7728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783771</xdr:colOff>
      <xdr:row>99</xdr:row>
      <xdr:rowOff>141514</xdr:rowOff>
    </xdr:from>
    <xdr:to>
      <xdr:col>6</xdr:col>
      <xdr:colOff>794657</xdr:colOff>
      <xdr:row>104</xdr:row>
      <xdr:rowOff>0</xdr:rowOff>
    </xdr:to>
    <xdr:cxnSp macro="">
      <xdr:nvCxnSpPr>
        <xdr:cNvPr id="9" name="Straight Connector 8"/>
        <xdr:cNvCxnSpPr>
          <a:stCxn id="2" idx="2"/>
        </xdr:cNvCxnSpPr>
      </xdr:nvCxnSpPr>
      <xdr:spPr>
        <a:xfrm flipH="1">
          <a:off x="4441371" y="18952028"/>
          <a:ext cx="10886" cy="7837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794657</xdr:colOff>
      <xdr:row>99</xdr:row>
      <xdr:rowOff>141514</xdr:rowOff>
    </xdr:from>
    <xdr:to>
      <xdr:col>11</xdr:col>
      <xdr:colOff>283029</xdr:colOff>
      <xdr:row>104</xdr:row>
      <xdr:rowOff>0</xdr:rowOff>
    </xdr:to>
    <xdr:cxnSp macro="">
      <xdr:nvCxnSpPr>
        <xdr:cNvPr id="11" name="Straight Connector 10"/>
        <xdr:cNvCxnSpPr>
          <a:stCxn id="2" idx="2"/>
        </xdr:cNvCxnSpPr>
      </xdr:nvCxnSpPr>
      <xdr:spPr>
        <a:xfrm>
          <a:off x="4452257" y="18952028"/>
          <a:ext cx="3548743" cy="7837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119</xdr:row>
      <xdr:rowOff>174175</xdr:rowOff>
    </xdr:from>
    <xdr:to>
      <xdr:col>19</xdr:col>
      <xdr:colOff>10886</xdr:colOff>
      <xdr:row>119</xdr:row>
      <xdr:rowOff>174175</xdr:rowOff>
    </xdr:to>
    <xdr:cxnSp macro="">
      <xdr:nvCxnSpPr>
        <xdr:cNvPr id="15" name="Straight Arrow Connector 14"/>
        <xdr:cNvCxnSpPr/>
      </xdr:nvCxnSpPr>
      <xdr:spPr>
        <a:xfrm>
          <a:off x="10264588" y="22316999"/>
          <a:ext cx="396432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145</xdr:row>
      <xdr:rowOff>17928</xdr:rowOff>
    </xdr:from>
    <xdr:to>
      <xdr:col>5</xdr:col>
      <xdr:colOff>116540</xdr:colOff>
      <xdr:row>148</xdr:row>
      <xdr:rowOff>153680</xdr:rowOff>
    </xdr:to>
    <xdr:sp macro="" textlink="">
      <xdr:nvSpPr>
        <xdr:cNvPr id="8" name="Rounded Rectangle 7"/>
        <xdr:cNvSpPr/>
      </xdr:nvSpPr>
      <xdr:spPr>
        <a:xfrm>
          <a:off x="0" y="26822399"/>
          <a:ext cx="3083858" cy="67363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Konsumsi Garam</a:t>
          </a:r>
        </a:p>
      </xdr:txBody>
    </xdr:sp>
    <xdr:clientData/>
  </xdr:twoCellAnchor>
  <xdr:twoCellAnchor>
    <xdr:from>
      <xdr:col>2</xdr:col>
      <xdr:colOff>394447</xdr:colOff>
      <xdr:row>132</xdr:row>
      <xdr:rowOff>62753</xdr:rowOff>
    </xdr:from>
    <xdr:to>
      <xdr:col>2</xdr:col>
      <xdr:colOff>403411</xdr:colOff>
      <xdr:row>145</xdr:row>
      <xdr:rowOff>17928</xdr:rowOff>
    </xdr:to>
    <xdr:cxnSp macro="">
      <xdr:nvCxnSpPr>
        <xdr:cNvPr id="10" name="Straight Connector 9"/>
        <xdr:cNvCxnSpPr>
          <a:endCxn id="8" idx="0"/>
        </xdr:cNvCxnSpPr>
      </xdr:nvCxnSpPr>
      <xdr:spPr>
        <a:xfrm>
          <a:off x="1532965" y="24536400"/>
          <a:ext cx="8964" cy="22859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403411</xdr:colOff>
      <xdr:row>148</xdr:row>
      <xdr:rowOff>153680</xdr:rowOff>
    </xdr:from>
    <xdr:to>
      <xdr:col>2</xdr:col>
      <xdr:colOff>412376</xdr:colOff>
      <xdr:row>153</xdr:row>
      <xdr:rowOff>44823</xdr:rowOff>
    </xdr:to>
    <xdr:cxnSp macro="">
      <xdr:nvCxnSpPr>
        <xdr:cNvPr id="14" name="Straight Connector 13"/>
        <xdr:cNvCxnSpPr>
          <a:stCxn id="8" idx="2"/>
        </xdr:cNvCxnSpPr>
      </xdr:nvCxnSpPr>
      <xdr:spPr>
        <a:xfrm>
          <a:off x="1541929" y="27496033"/>
          <a:ext cx="8965" cy="7876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403411</xdr:colOff>
      <xdr:row>148</xdr:row>
      <xdr:rowOff>153680</xdr:rowOff>
    </xdr:from>
    <xdr:to>
      <xdr:col>8</xdr:col>
      <xdr:colOff>71718</xdr:colOff>
      <xdr:row>153</xdr:row>
      <xdr:rowOff>0</xdr:rowOff>
    </xdr:to>
    <xdr:cxnSp macro="">
      <xdr:nvCxnSpPr>
        <xdr:cNvPr id="18" name="Straight Connector 17"/>
        <xdr:cNvCxnSpPr>
          <a:stCxn id="8" idx="2"/>
        </xdr:cNvCxnSpPr>
      </xdr:nvCxnSpPr>
      <xdr:spPr>
        <a:xfrm>
          <a:off x="1541929" y="27496033"/>
          <a:ext cx="3971365" cy="7427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239486</xdr:colOff>
      <xdr:row>176</xdr:row>
      <xdr:rowOff>65315</xdr:rowOff>
    </xdr:from>
    <xdr:to>
      <xdr:col>5</xdr:col>
      <xdr:colOff>356026</xdr:colOff>
      <xdr:row>180</xdr:row>
      <xdr:rowOff>16009</xdr:rowOff>
    </xdr:to>
    <xdr:sp macro="" textlink="">
      <xdr:nvSpPr>
        <xdr:cNvPr id="23" name="Rounded Rectangle 22"/>
        <xdr:cNvSpPr/>
      </xdr:nvSpPr>
      <xdr:spPr>
        <a:xfrm>
          <a:off x="239486" y="33125229"/>
          <a:ext cx="3077454" cy="69092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Konsumsi Kafein</a:t>
          </a:r>
        </a:p>
      </xdr:txBody>
    </xdr:sp>
    <xdr:clientData/>
  </xdr:twoCellAnchor>
  <xdr:twoCellAnchor>
    <xdr:from>
      <xdr:col>3</xdr:col>
      <xdr:colOff>32657</xdr:colOff>
      <xdr:row>161</xdr:row>
      <xdr:rowOff>0</xdr:rowOff>
    </xdr:from>
    <xdr:to>
      <xdr:col>3</xdr:col>
      <xdr:colOff>36499</xdr:colOff>
      <xdr:row>176</xdr:row>
      <xdr:rowOff>65315</xdr:rowOff>
    </xdr:to>
    <xdr:cxnSp macro="">
      <xdr:nvCxnSpPr>
        <xdr:cNvPr id="24" name="Straight Connector 23"/>
        <xdr:cNvCxnSpPr>
          <a:endCxn id="23" idx="0"/>
        </xdr:cNvCxnSpPr>
      </xdr:nvCxnSpPr>
      <xdr:spPr>
        <a:xfrm>
          <a:off x="1774371" y="30284057"/>
          <a:ext cx="3842" cy="28411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10885</xdr:colOff>
      <xdr:row>180</xdr:row>
      <xdr:rowOff>16009</xdr:rowOff>
    </xdr:from>
    <xdr:to>
      <xdr:col>3</xdr:col>
      <xdr:colOff>14727</xdr:colOff>
      <xdr:row>183</xdr:row>
      <xdr:rowOff>10886</xdr:rowOff>
    </xdr:to>
    <xdr:cxnSp macro="">
      <xdr:nvCxnSpPr>
        <xdr:cNvPr id="27" name="Straight Connector 26"/>
        <xdr:cNvCxnSpPr/>
      </xdr:nvCxnSpPr>
      <xdr:spPr>
        <a:xfrm flipH="1">
          <a:off x="1752599" y="33816152"/>
          <a:ext cx="3842" cy="5500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201</xdr:row>
      <xdr:rowOff>0</xdr:rowOff>
    </xdr:from>
    <xdr:to>
      <xdr:col>9</xdr:col>
      <xdr:colOff>0</xdr:colOff>
      <xdr:row>204</xdr:row>
      <xdr:rowOff>141515</xdr:rowOff>
    </xdr:to>
    <xdr:sp macro="" textlink="">
      <xdr:nvSpPr>
        <xdr:cNvPr id="16" name="Rounded Rectangle 15"/>
        <xdr:cNvSpPr/>
      </xdr:nvSpPr>
      <xdr:spPr>
        <a:xfrm>
          <a:off x="2960914" y="37686343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Tekanan</a:t>
          </a:r>
          <a:r>
            <a:rPr lang="id-ID" sz="1800" b="1" baseline="0"/>
            <a:t> Darah</a:t>
          </a:r>
          <a:endParaRPr lang="id-ID" sz="1800" b="1"/>
        </a:p>
      </xdr:txBody>
    </xdr:sp>
    <xdr:clientData/>
  </xdr:twoCellAnchor>
  <xdr:twoCellAnchor>
    <xdr:from>
      <xdr:col>7</xdr:col>
      <xdr:colOff>0</xdr:colOff>
      <xdr:row>204</xdr:row>
      <xdr:rowOff>163285</xdr:rowOff>
    </xdr:from>
    <xdr:to>
      <xdr:col>7</xdr:col>
      <xdr:colOff>10886</xdr:colOff>
      <xdr:row>209</xdr:row>
      <xdr:rowOff>0</xdr:rowOff>
    </xdr:to>
    <xdr:cxnSp macro="">
      <xdr:nvCxnSpPr>
        <xdr:cNvPr id="17" name="Straight Connector 16"/>
        <xdr:cNvCxnSpPr/>
      </xdr:nvCxnSpPr>
      <xdr:spPr>
        <a:xfrm>
          <a:off x="4495800" y="38404799"/>
          <a:ext cx="10886" cy="7620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249</xdr:row>
      <xdr:rowOff>10884</xdr:rowOff>
    </xdr:from>
    <xdr:to>
      <xdr:col>7</xdr:col>
      <xdr:colOff>0</xdr:colOff>
      <xdr:row>263</xdr:row>
      <xdr:rowOff>10885</xdr:rowOff>
    </xdr:to>
    <xdr:cxnSp macro="">
      <xdr:nvCxnSpPr>
        <xdr:cNvPr id="19" name="Straight Connector 18"/>
        <xdr:cNvCxnSpPr/>
      </xdr:nvCxnSpPr>
      <xdr:spPr>
        <a:xfrm flipH="1">
          <a:off x="1132114" y="46579970"/>
          <a:ext cx="3363686" cy="25908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914400</xdr:colOff>
      <xdr:row>249</xdr:row>
      <xdr:rowOff>21771</xdr:rowOff>
    </xdr:from>
    <xdr:to>
      <xdr:col>7</xdr:col>
      <xdr:colOff>0</xdr:colOff>
      <xdr:row>263</xdr:row>
      <xdr:rowOff>54428</xdr:rowOff>
    </xdr:to>
    <xdr:cxnSp macro="">
      <xdr:nvCxnSpPr>
        <xdr:cNvPr id="22" name="Straight Connector 21"/>
        <xdr:cNvCxnSpPr/>
      </xdr:nvCxnSpPr>
      <xdr:spPr>
        <a:xfrm flipH="1">
          <a:off x="4484914" y="46590857"/>
          <a:ext cx="10886" cy="26234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10886</xdr:colOff>
      <xdr:row>248</xdr:row>
      <xdr:rowOff>174171</xdr:rowOff>
    </xdr:from>
    <xdr:to>
      <xdr:col>10</xdr:col>
      <xdr:colOff>10886</xdr:colOff>
      <xdr:row>262</xdr:row>
      <xdr:rowOff>174171</xdr:rowOff>
    </xdr:to>
    <xdr:cxnSp macro="">
      <xdr:nvCxnSpPr>
        <xdr:cNvPr id="25" name="Straight Connector 24"/>
        <xdr:cNvCxnSpPr/>
      </xdr:nvCxnSpPr>
      <xdr:spPr>
        <a:xfrm>
          <a:off x="4506686" y="46558200"/>
          <a:ext cx="2318657" cy="2590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402772</xdr:colOff>
      <xdr:row>280</xdr:row>
      <xdr:rowOff>10886</xdr:rowOff>
    </xdr:from>
    <xdr:to>
      <xdr:col>2</xdr:col>
      <xdr:colOff>408215</xdr:colOff>
      <xdr:row>287</xdr:row>
      <xdr:rowOff>97972</xdr:rowOff>
    </xdr:to>
    <xdr:cxnSp macro="">
      <xdr:nvCxnSpPr>
        <xdr:cNvPr id="28" name="Straight Connector 27"/>
        <xdr:cNvCxnSpPr>
          <a:endCxn id="41" idx="0"/>
        </xdr:cNvCxnSpPr>
      </xdr:nvCxnSpPr>
      <xdr:spPr>
        <a:xfrm>
          <a:off x="1534886" y="52316743"/>
          <a:ext cx="5443" cy="13824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402772</xdr:colOff>
      <xdr:row>291</xdr:row>
      <xdr:rowOff>54429</xdr:rowOff>
    </xdr:from>
    <xdr:to>
      <xdr:col>2</xdr:col>
      <xdr:colOff>408215</xdr:colOff>
      <xdr:row>294</xdr:row>
      <xdr:rowOff>0</xdr:rowOff>
    </xdr:to>
    <xdr:cxnSp macro="">
      <xdr:nvCxnSpPr>
        <xdr:cNvPr id="35" name="Straight Connector 34"/>
        <xdr:cNvCxnSpPr>
          <a:stCxn id="41" idx="2"/>
        </xdr:cNvCxnSpPr>
      </xdr:nvCxnSpPr>
      <xdr:spPr>
        <a:xfrm flipH="1">
          <a:off x="1534886" y="54395915"/>
          <a:ext cx="5443" cy="5007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408215</xdr:colOff>
      <xdr:row>291</xdr:row>
      <xdr:rowOff>54429</xdr:rowOff>
    </xdr:from>
    <xdr:to>
      <xdr:col>7</xdr:col>
      <xdr:colOff>925286</xdr:colOff>
      <xdr:row>294</xdr:row>
      <xdr:rowOff>0</xdr:rowOff>
    </xdr:to>
    <xdr:cxnSp macro="">
      <xdr:nvCxnSpPr>
        <xdr:cNvPr id="37" name="Straight Connector 36"/>
        <xdr:cNvCxnSpPr>
          <a:stCxn id="41" idx="2"/>
        </xdr:cNvCxnSpPr>
      </xdr:nvCxnSpPr>
      <xdr:spPr>
        <a:xfrm>
          <a:off x="1540329" y="54395915"/>
          <a:ext cx="3880757" cy="5007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287</xdr:row>
      <xdr:rowOff>97972</xdr:rowOff>
    </xdr:from>
    <xdr:to>
      <xdr:col>5</xdr:col>
      <xdr:colOff>119743</xdr:colOff>
      <xdr:row>291</xdr:row>
      <xdr:rowOff>54429</xdr:rowOff>
    </xdr:to>
    <xdr:sp macro="" textlink="">
      <xdr:nvSpPr>
        <xdr:cNvPr id="41" name="Rounded Rectangle 40"/>
        <xdr:cNvSpPr/>
      </xdr:nvSpPr>
      <xdr:spPr>
        <a:xfrm>
          <a:off x="0" y="53699229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Olahraga</a:t>
          </a:r>
        </a:p>
      </xdr:txBody>
    </xdr:sp>
    <xdr:clientData/>
  </xdr:twoCellAnchor>
  <xdr:twoCellAnchor>
    <xdr:from>
      <xdr:col>8</xdr:col>
      <xdr:colOff>582386</xdr:colOff>
      <xdr:row>304</xdr:row>
      <xdr:rowOff>0</xdr:rowOff>
    </xdr:from>
    <xdr:to>
      <xdr:col>8</xdr:col>
      <xdr:colOff>587829</xdr:colOff>
      <xdr:row>307</xdr:row>
      <xdr:rowOff>174172</xdr:rowOff>
    </xdr:to>
    <xdr:cxnSp macro="">
      <xdr:nvCxnSpPr>
        <xdr:cNvPr id="53" name="Straight Connector 52"/>
        <xdr:cNvCxnSpPr>
          <a:endCxn id="56" idx="0"/>
        </xdr:cNvCxnSpPr>
      </xdr:nvCxnSpPr>
      <xdr:spPr>
        <a:xfrm flipH="1">
          <a:off x="6014357" y="56747229"/>
          <a:ext cx="5443" cy="7293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903514</xdr:colOff>
      <xdr:row>307</xdr:row>
      <xdr:rowOff>174172</xdr:rowOff>
    </xdr:from>
    <xdr:to>
      <xdr:col>10</xdr:col>
      <xdr:colOff>740228</xdr:colOff>
      <xdr:row>311</xdr:row>
      <xdr:rowOff>130629</xdr:rowOff>
    </xdr:to>
    <xdr:sp macro="" textlink="">
      <xdr:nvSpPr>
        <xdr:cNvPr id="56" name="Rounded Rectangle 55"/>
        <xdr:cNvSpPr/>
      </xdr:nvSpPr>
      <xdr:spPr>
        <a:xfrm>
          <a:off x="4474028" y="57476572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Makanan Berlemak</a:t>
          </a:r>
        </a:p>
      </xdr:txBody>
    </xdr:sp>
    <xdr:clientData/>
  </xdr:twoCellAnchor>
  <xdr:twoCellAnchor>
    <xdr:from>
      <xdr:col>1</xdr:col>
      <xdr:colOff>566057</xdr:colOff>
      <xdr:row>311</xdr:row>
      <xdr:rowOff>130629</xdr:rowOff>
    </xdr:from>
    <xdr:to>
      <xdr:col>8</xdr:col>
      <xdr:colOff>582386</xdr:colOff>
      <xdr:row>337</xdr:row>
      <xdr:rowOff>0</xdr:rowOff>
    </xdr:to>
    <xdr:cxnSp macro="">
      <xdr:nvCxnSpPr>
        <xdr:cNvPr id="62" name="Straight Connector 61"/>
        <xdr:cNvCxnSpPr>
          <a:stCxn id="56" idx="2"/>
        </xdr:cNvCxnSpPr>
      </xdr:nvCxnSpPr>
      <xdr:spPr>
        <a:xfrm flipH="1">
          <a:off x="1088571" y="58173258"/>
          <a:ext cx="4925786" cy="46808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582386</xdr:colOff>
      <xdr:row>311</xdr:row>
      <xdr:rowOff>130629</xdr:rowOff>
    </xdr:from>
    <xdr:to>
      <xdr:col>10</xdr:col>
      <xdr:colOff>533400</xdr:colOff>
      <xdr:row>337</xdr:row>
      <xdr:rowOff>10886</xdr:rowOff>
    </xdr:to>
    <xdr:cxnSp macro="">
      <xdr:nvCxnSpPr>
        <xdr:cNvPr id="68" name="Straight Connector 67"/>
        <xdr:cNvCxnSpPr>
          <a:stCxn id="56" idx="2"/>
        </xdr:cNvCxnSpPr>
      </xdr:nvCxnSpPr>
      <xdr:spPr>
        <a:xfrm>
          <a:off x="6014357" y="58173258"/>
          <a:ext cx="1333500" cy="46917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391886</xdr:colOff>
      <xdr:row>344</xdr:row>
      <xdr:rowOff>0</xdr:rowOff>
    </xdr:from>
    <xdr:to>
      <xdr:col>2</xdr:col>
      <xdr:colOff>408215</xdr:colOff>
      <xdr:row>355</xdr:row>
      <xdr:rowOff>0</xdr:rowOff>
    </xdr:to>
    <xdr:cxnSp macro="">
      <xdr:nvCxnSpPr>
        <xdr:cNvPr id="74" name="Straight Connector 73"/>
        <xdr:cNvCxnSpPr>
          <a:endCxn id="79" idx="0"/>
        </xdr:cNvCxnSpPr>
      </xdr:nvCxnSpPr>
      <xdr:spPr>
        <a:xfrm>
          <a:off x="1524000" y="64149514"/>
          <a:ext cx="16329" cy="2035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355</xdr:row>
      <xdr:rowOff>0</xdr:rowOff>
    </xdr:from>
    <xdr:to>
      <xdr:col>5</xdr:col>
      <xdr:colOff>119743</xdr:colOff>
      <xdr:row>358</xdr:row>
      <xdr:rowOff>141515</xdr:rowOff>
    </xdr:to>
    <xdr:sp macro="" textlink="">
      <xdr:nvSpPr>
        <xdr:cNvPr id="79" name="Rounded Rectangle 78"/>
        <xdr:cNvSpPr/>
      </xdr:nvSpPr>
      <xdr:spPr>
        <a:xfrm>
          <a:off x="0" y="66185143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Konsumsi Garam</a:t>
          </a:r>
        </a:p>
      </xdr:txBody>
    </xdr:sp>
    <xdr:clientData/>
  </xdr:twoCellAnchor>
  <xdr:twoCellAnchor>
    <xdr:from>
      <xdr:col>2</xdr:col>
      <xdr:colOff>408215</xdr:colOff>
      <xdr:row>358</xdr:row>
      <xdr:rowOff>141515</xdr:rowOff>
    </xdr:from>
    <xdr:to>
      <xdr:col>2</xdr:col>
      <xdr:colOff>413657</xdr:colOff>
      <xdr:row>361</xdr:row>
      <xdr:rowOff>54428</xdr:rowOff>
    </xdr:to>
    <xdr:cxnSp macro="">
      <xdr:nvCxnSpPr>
        <xdr:cNvPr id="83" name="Straight Connector 82"/>
        <xdr:cNvCxnSpPr>
          <a:stCxn id="79" idx="2"/>
        </xdr:cNvCxnSpPr>
      </xdr:nvCxnSpPr>
      <xdr:spPr>
        <a:xfrm>
          <a:off x="1540329" y="66881829"/>
          <a:ext cx="5442" cy="4680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408215</xdr:colOff>
      <xdr:row>358</xdr:row>
      <xdr:rowOff>141515</xdr:rowOff>
    </xdr:from>
    <xdr:to>
      <xdr:col>8</xdr:col>
      <xdr:colOff>500743</xdr:colOff>
      <xdr:row>360</xdr:row>
      <xdr:rowOff>174171</xdr:rowOff>
    </xdr:to>
    <xdr:cxnSp macro="">
      <xdr:nvCxnSpPr>
        <xdr:cNvPr id="86" name="Straight Connector 85"/>
        <xdr:cNvCxnSpPr>
          <a:stCxn id="79" idx="2"/>
        </xdr:cNvCxnSpPr>
      </xdr:nvCxnSpPr>
      <xdr:spPr>
        <a:xfrm>
          <a:off x="1540329" y="66881829"/>
          <a:ext cx="4392385" cy="4027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587829</xdr:colOff>
      <xdr:row>381</xdr:row>
      <xdr:rowOff>21772</xdr:rowOff>
    </xdr:from>
    <xdr:to>
      <xdr:col>8</xdr:col>
      <xdr:colOff>587829</xdr:colOff>
      <xdr:row>384</xdr:row>
      <xdr:rowOff>163287</xdr:rowOff>
    </xdr:to>
    <xdr:sp macro="" textlink="">
      <xdr:nvSpPr>
        <xdr:cNvPr id="89" name="Rounded Rectangle 88"/>
        <xdr:cNvSpPr/>
      </xdr:nvSpPr>
      <xdr:spPr>
        <a:xfrm>
          <a:off x="2939143" y="71018401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Konsumsi Kafein</a:t>
          </a:r>
        </a:p>
      </xdr:txBody>
    </xdr:sp>
    <xdr:clientData/>
  </xdr:twoCellAnchor>
  <xdr:twoCellAnchor>
    <xdr:from>
      <xdr:col>6</xdr:col>
      <xdr:colOff>908958</xdr:colOff>
      <xdr:row>384</xdr:row>
      <xdr:rowOff>163287</xdr:rowOff>
    </xdr:from>
    <xdr:to>
      <xdr:col>7</xdr:col>
      <xdr:colOff>0</xdr:colOff>
      <xdr:row>390</xdr:row>
      <xdr:rowOff>21771</xdr:rowOff>
    </xdr:to>
    <xdr:cxnSp macro="">
      <xdr:nvCxnSpPr>
        <xdr:cNvPr id="90" name="Straight Connector 89"/>
        <xdr:cNvCxnSpPr>
          <a:stCxn id="89" idx="2"/>
        </xdr:cNvCxnSpPr>
      </xdr:nvCxnSpPr>
      <xdr:spPr>
        <a:xfrm>
          <a:off x="4479472" y="71715087"/>
          <a:ext cx="16328" cy="9688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408</xdr:row>
      <xdr:rowOff>21773</xdr:rowOff>
    </xdr:from>
    <xdr:to>
      <xdr:col>7</xdr:col>
      <xdr:colOff>16328</xdr:colOff>
      <xdr:row>413</xdr:row>
      <xdr:rowOff>65314</xdr:rowOff>
    </xdr:to>
    <xdr:cxnSp macro="">
      <xdr:nvCxnSpPr>
        <xdr:cNvPr id="94" name="Straight Connector 93"/>
        <xdr:cNvCxnSpPr/>
      </xdr:nvCxnSpPr>
      <xdr:spPr>
        <a:xfrm>
          <a:off x="4495800" y="76014944"/>
          <a:ext cx="16328" cy="9688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544287</xdr:colOff>
      <xdr:row>413</xdr:row>
      <xdr:rowOff>21772</xdr:rowOff>
    </xdr:from>
    <xdr:to>
      <xdr:col>8</xdr:col>
      <xdr:colOff>544287</xdr:colOff>
      <xdr:row>416</xdr:row>
      <xdr:rowOff>163286</xdr:rowOff>
    </xdr:to>
    <xdr:sp macro="" textlink="">
      <xdr:nvSpPr>
        <xdr:cNvPr id="95" name="Rounded Rectangle 94"/>
        <xdr:cNvSpPr/>
      </xdr:nvSpPr>
      <xdr:spPr>
        <a:xfrm>
          <a:off x="2895601" y="76940229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Olahraga</a:t>
          </a:r>
        </a:p>
      </xdr:txBody>
    </xdr:sp>
    <xdr:clientData/>
  </xdr:twoCellAnchor>
  <xdr:twoCellAnchor>
    <xdr:from>
      <xdr:col>2</xdr:col>
      <xdr:colOff>239486</xdr:colOff>
      <xdr:row>416</xdr:row>
      <xdr:rowOff>163286</xdr:rowOff>
    </xdr:from>
    <xdr:to>
      <xdr:col>6</xdr:col>
      <xdr:colOff>865416</xdr:colOff>
      <xdr:row>421</xdr:row>
      <xdr:rowOff>10886</xdr:rowOff>
    </xdr:to>
    <xdr:cxnSp macro="">
      <xdr:nvCxnSpPr>
        <xdr:cNvPr id="96" name="Straight Connector 95"/>
        <xdr:cNvCxnSpPr>
          <a:stCxn id="95" idx="2"/>
        </xdr:cNvCxnSpPr>
      </xdr:nvCxnSpPr>
      <xdr:spPr>
        <a:xfrm flipH="1">
          <a:off x="1371600" y="77636915"/>
          <a:ext cx="3064330" cy="7728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865416</xdr:colOff>
      <xdr:row>416</xdr:row>
      <xdr:rowOff>163286</xdr:rowOff>
    </xdr:from>
    <xdr:to>
      <xdr:col>10</xdr:col>
      <xdr:colOff>10886</xdr:colOff>
      <xdr:row>421</xdr:row>
      <xdr:rowOff>0</xdr:rowOff>
    </xdr:to>
    <xdr:cxnSp macro="">
      <xdr:nvCxnSpPr>
        <xdr:cNvPr id="99" name="Straight Connector 98"/>
        <xdr:cNvCxnSpPr>
          <a:stCxn id="95" idx="2"/>
        </xdr:cNvCxnSpPr>
      </xdr:nvCxnSpPr>
      <xdr:spPr>
        <a:xfrm>
          <a:off x="4435930" y="77636915"/>
          <a:ext cx="2389413" cy="7619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604345</xdr:colOff>
      <xdr:row>433</xdr:row>
      <xdr:rowOff>0</xdr:rowOff>
    </xdr:from>
    <xdr:to>
      <xdr:col>3</xdr:col>
      <xdr:colOff>15240</xdr:colOff>
      <xdr:row>458</xdr:row>
      <xdr:rowOff>7620</xdr:rowOff>
    </xdr:to>
    <xdr:cxnSp macro="">
      <xdr:nvCxnSpPr>
        <xdr:cNvPr id="102" name="Straight Connector 101"/>
        <xdr:cNvCxnSpPr/>
      </xdr:nvCxnSpPr>
      <xdr:spPr>
        <a:xfrm>
          <a:off x="1739725" y="79872840"/>
          <a:ext cx="20495" cy="4579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433</xdr:row>
      <xdr:rowOff>0</xdr:rowOff>
    </xdr:from>
    <xdr:to>
      <xdr:col>8</xdr:col>
      <xdr:colOff>7620</xdr:colOff>
      <xdr:row>457</xdr:row>
      <xdr:rowOff>0</xdr:rowOff>
    </xdr:to>
    <xdr:cxnSp macro="">
      <xdr:nvCxnSpPr>
        <xdr:cNvPr id="107" name="Straight Connector 106"/>
        <xdr:cNvCxnSpPr/>
      </xdr:nvCxnSpPr>
      <xdr:spPr>
        <a:xfrm>
          <a:off x="1744980" y="79872840"/>
          <a:ext cx="3695700" cy="43891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468</xdr:row>
      <xdr:rowOff>5861</xdr:rowOff>
    </xdr:from>
    <xdr:to>
      <xdr:col>8</xdr:col>
      <xdr:colOff>5862</xdr:colOff>
      <xdr:row>476</xdr:row>
      <xdr:rowOff>175846</xdr:rowOff>
    </xdr:to>
    <xdr:cxnSp macro="">
      <xdr:nvCxnSpPr>
        <xdr:cNvPr id="110" name="Straight Connector 109"/>
        <xdr:cNvCxnSpPr/>
      </xdr:nvCxnSpPr>
      <xdr:spPr>
        <a:xfrm flipH="1">
          <a:off x="5433646" y="85836369"/>
          <a:ext cx="5862" cy="162364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348344</xdr:colOff>
      <xdr:row>477</xdr:row>
      <xdr:rowOff>1</xdr:rowOff>
    </xdr:from>
    <xdr:to>
      <xdr:col>10</xdr:col>
      <xdr:colOff>185058</xdr:colOff>
      <xdr:row>480</xdr:row>
      <xdr:rowOff>141515</xdr:rowOff>
    </xdr:to>
    <xdr:sp macro="" textlink="">
      <xdr:nvSpPr>
        <xdr:cNvPr id="114" name="Rounded Rectangle 113"/>
        <xdr:cNvSpPr/>
      </xdr:nvSpPr>
      <xdr:spPr>
        <a:xfrm>
          <a:off x="3918858" y="88762115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BMI</a:t>
          </a:r>
        </a:p>
      </xdr:txBody>
    </xdr:sp>
    <xdr:clientData/>
  </xdr:twoCellAnchor>
  <xdr:twoCellAnchor>
    <xdr:from>
      <xdr:col>2</xdr:col>
      <xdr:colOff>587829</xdr:colOff>
      <xdr:row>480</xdr:row>
      <xdr:rowOff>141515</xdr:rowOff>
    </xdr:from>
    <xdr:to>
      <xdr:col>8</xdr:col>
      <xdr:colOff>27216</xdr:colOff>
      <xdr:row>487</xdr:row>
      <xdr:rowOff>0</xdr:rowOff>
    </xdr:to>
    <xdr:cxnSp macro="">
      <xdr:nvCxnSpPr>
        <xdr:cNvPr id="115" name="Straight Connector 114"/>
        <xdr:cNvCxnSpPr>
          <a:stCxn id="114" idx="2"/>
        </xdr:cNvCxnSpPr>
      </xdr:nvCxnSpPr>
      <xdr:spPr>
        <a:xfrm flipH="1">
          <a:off x="1719943" y="89458801"/>
          <a:ext cx="3739244" cy="11538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27216</xdr:colOff>
      <xdr:row>480</xdr:row>
      <xdr:rowOff>141515</xdr:rowOff>
    </xdr:from>
    <xdr:to>
      <xdr:col>8</xdr:col>
      <xdr:colOff>32658</xdr:colOff>
      <xdr:row>487</xdr:row>
      <xdr:rowOff>10885</xdr:rowOff>
    </xdr:to>
    <xdr:cxnSp macro="">
      <xdr:nvCxnSpPr>
        <xdr:cNvPr id="118" name="Straight Connector 117"/>
        <xdr:cNvCxnSpPr>
          <a:stCxn id="114" idx="2"/>
        </xdr:cNvCxnSpPr>
      </xdr:nvCxnSpPr>
      <xdr:spPr>
        <a:xfrm>
          <a:off x="5459187" y="89458801"/>
          <a:ext cx="5442" cy="11647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404447</xdr:colOff>
      <xdr:row>495</xdr:row>
      <xdr:rowOff>175847</xdr:rowOff>
    </xdr:from>
    <xdr:to>
      <xdr:col>2</xdr:col>
      <xdr:colOff>405703</xdr:colOff>
      <xdr:row>505</xdr:row>
      <xdr:rowOff>10887</xdr:rowOff>
    </xdr:to>
    <xdr:cxnSp macro="">
      <xdr:nvCxnSpPr>
        <xdr:cNvPr id="121" name="Straight Connector 120"/>
        <xdr:cNvCxnSpPr>
          <a:endCxn id="123" idx="0"/>
        </xdr:cNvCxnSpPr>
      </xdr:nvCxnSpPr>
      <xdr:spPr>
        <a:xfrm>
          <a:off x="1541585" y="90912462"/>
          <a:ext cx="1256" cy="16521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505</xdr:row>
      <xdr:rowOff>10887</xdr:rowOff>
    </xdr:from>
    <xdr:to>
      <xdr:col>5</xdr:col>
      <xdr:colOff>119743</xdr:colOff>
      <xdr:row>508</xdr:row>
      <xdr:rowOff>152401</xdr:rowOff>
    </xdr:to>
    <xdr:sp macro="" textlink="">
      <xdr:nvSpPr>
        <xdr:cNvPr id="123" name="Rounded Rectangle 122"/>
        <xdr:cNvSpPr/>
      </xdr:nvSpPr>
      <xdr:spPr>
        <a:xfrm>
          <a:off x="0" y="93954601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Makanan Berlemak</a:t>
          </a:r>
        </a:p>
      </xdr:txBody>
    </xdr:sp>
    <xdr:clientData/>
  </xdr:twoCellAnchor>
  <xdr:twoCellAnchor>
    <xdr:from>
      <xdr:col>2</xdr:col>
      <xdr:colOff>10886</xdr:colOff>
      <xdr:row>508</xdr:row>
      <xdr:rowOff>152401</xdr:rowOff>
    </xdr:from>
    <xdr:to>
      <xdr:col>2</xdr:col>
      <xdr:colOff>408215</xdr:colOff>
      <xdr:row>514</xdr:row>
      <xdr:rowOff>174171</xdr:rowOff>
    </xdr:to>
    <xdr:cxnSp macro="">
      <xdr:nvCxnSpPr>
        <xdr:cNvPr id="126" name="Straight Connector 125"/>
        <xdr:cNvCxnSpPr>
          <a:stCxn id="123" idx="2"/>
        </xdr:cNvCxnSpPr>
      </xdr:nvCxnSpPr>
      <xdr:spPr>
        <a:xfrm flipH="1">
          <a:off x="1143000" y="94651287"/>
          <a:ext cx="397329" cy="11321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408215</xdr:colOff>
      <xdr:row>508</xdr:row>
      <xdr:rowOff>152401</xdr:rowOff>
    </xdr:from>
    <xdr:to>
      <xdr:col>8</xdr:col>
      <xdr:colOff>576943</xdr:colOff>
      <xdr:row>515</xdr:row>
      <xdr:rowOff>0</xdr:rowOff>
    </xdr:to>
    <xdr:cxnSp macro="">
      <xdr:nvCxnSpPr>
        <xdr:cNvPr id="130" name="Straight Connector 129"/>
        <xdr:cNvCxnSpPr>
          <a:stCxn id="123" idx="2"/>
        </xdr:cNvCxnSpPr>
      </xdr:nvCxnSpPr>
      <xdr:spPr>
        <a:xfrm>
          <a:off x="1540329" y="94651287"/>
          <a:ext cx="4468585" cy="11429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539</xdr:row>
      <xdr:rowOff>0</xdr:rowOff>
    </xdr:from>
    <xdr:to>
      <xdr:col>10</xdr:col>
      <xdr:colOff>762000</xdr:colOff>
      <xdr:row>542</xdr:row>
      <xdr:rowOff>141514</xdr:rowOff>
    </xdr:to>
    <xdr:sp macro="" textlink="">
      <xdr:nvSpPr>
        <xdr:cNvPr id="135" name="Rounded Rectangle 134"/>
        <xdr:cNvSpPr/>
      </xdr:nvSpPr>
      <xdr:spPr>
        <a:xfrm>
          <a:off x="4495800" y="100235657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BMI</a:t>
          </a:r>
        </a:p>
      </xdr:txBody>
    </xdr:sp>
    <xdr:clientData/>
  </xdr:twoCellAnchor>
  <xdr:twoCellAnchor>
    <xdr:from>
      <xdr:col>8</xdr:col>
      <xdr:colOff>604158</xdr:colOff>
      <xdr:row>542</xdr:row>
      <xdr:rowOff>141514</xdr:rowOff>
    </xdr:from>
    <xdr:to>
      <xdr:col>9</xdr:col>
      <xdr:colOff>0</xdr:colOff>
      <xdr:row>549</xdr:row>
      <xdr:rowOff>10884</xdr:rowOff>
    </xdr:to>
    <xdr:cxnSp macro="">
      <xdr:nvCxnSpPr>
        <xdr:cNvPr id="136" name="Straight Connector 135"/>
        <xdr:cNvCxnSpPr>
          <a:stCxn id="135" idx="2"/>
        </xdr:cNvCxnSpPr>
      </xdr:nvCxnSpPr>
      <xdr:spPr>
        <a:xfrm>
          <a:off x="6036129" y="100932343"/>
          <a:ext cx="5442" cy="11647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604158</xdr:colOff>
      <xdr:row>559</xdr:row>
      <xdr:rowOff>174172</xdr:rowOff>
    </xdr:from>
    <xdr:to>
      <xdr:col>9</xdr:col>
      <xdr:colOff>0</xdr:colOff>
      <xdr:row>566</xdr:row>
      <xdr:rowOff>43542</xdr:rowOff>
    </xdr:to>
    <xdr:cxnSp macro="">
      <xdr:nvCxnSpPr>
        <xdr:cNvPr id="137" name="Straight Connector 136"/>
        <xdr:cNvCxnSpPr/>
      </xdr:nvCxnSpPr>
      <xdr:spPr>
        <a:xfrm>
          <a:off x="6036129" y="104110972"/>
          <a:ext cx="5442" cy="11647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566</xdr:row>
      <xdr:rowOff>0</xdr:rowOff>
    </xdr:from>
    <xdr:to>
      <xdr:col>10</xdr:col>
      <xdr:colOff>762000</xdr:colOff>
      <xdr:row>569</xdr:row>
      <xdr:rowOff>141515</xdr:rowOff>
    </xdr:to>
    <xdr:sp macro="" textlink="">
      <xdr:nvSpPr>
        <xdr:cNvPr id="138" name="Rounded Rectangle 137"/>
        <xdr:cNvSpPr/>
      </xdr:nvSpPr>
      <xdr:spPr>
        <a:xfrm>
          <a:off x="4495800" y="105232200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Merokok</a:t>
          </a:r>
        </a:p>
      </xdr:txBody>
    </xdr:sp>
    <xdr:clientData/>
  </xdr:twoCellAnchor>
  <xdr:twoCellAnchor>
    <xdr:from>
      <xdr:col>2</xdr:col>
      <xdr:colOff>348343</xdr:colOff>
      <xdr:row>569</xdr:row>
      <xdr:rowOff>141515</xdr:rowOff>
    </xdr:from>
    <xdr:to>
      <xdr:col>8</xdr:col>
      <xdr:colOff>604158</xdr:colOff>
      <xdr:row>575</xdr:row>
      <xdr:rowOff>0</xdr:rowOff>
    </xdr:to>
    <xdr:cxnSp macro="">
      <xdr:nvCxnSpPr>
        <xdr:cNvPr id="139" name="Straight Connector 138"/>
        <xdr:cNvCxnSpPr>
          <a:stCxn id="138" idx="2"/>
        </xdr:cNvCxnSpPr>
      </xdr:nvCxnSpPr>
      <xdr:spPr>
        <a:xfrm flipH="1">
          <a:off x="1480457" y="105928886"/>
          <a:ext cx="4555672" cy="968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604158</xdr:colOff>
      <xdr:row>569</xdr:row>
      <xdr:rowOff>141515</xdr:rowOff>
    </xdr:from>
    <xdr:to>
      <xdr:col>9</xdr:col>
      <xdr:colOff>0</xdr:colOff>
      <xdr:row>575</xdr:row>
      <xdr:rowOff>0</xdr:rowOff>
    </xdr:to>
    <xdr:cxnSp macro="">
      <xdr:nvCxnSpPr>
        <xdr:cNvPr id="143" name="Straight Connector 142"/>
        <xdr:cNvCxnSpPr>
          <a:stCxn id="138" idx="2"/>
        </xdr:cNvCxnSpPr>
      </xdr:nvCxnSpPr>
      <xdr:spPr>
        <a:xfrm>
          <a:off x="6036129" y="105928886"/>
          <a:ext cx="5442" cy="968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604158</xdr:colOff>
      <xdr:row>581</xdr:row>
      <xdr:rowOff>174172</xdr:rowOff>
    </xdr:from>
    <xdr:to>
      <xdr:col>9</xdr:col>
      <xdr:colOff>10886</xdr:colOff>
      <xdr:row>593</xdr:row>
      <xdr:rowOff>174171</xdr:rowOff>
    </xdr:to>
    <xdr:cxnSp macro="">
      <xdr:nvCxnSpPr>
        <xdr:cNvPr id="147" name="Straight Connector 146"/>
        <xdr:cNvCxnSpPr/>
      </xdr:nvCxnSpPr>
      <xdr:spPr>
        <a:xfrm>
          <a:off x="6036129" y="108182229"/>
          <a:ext cx="16328" cy="22206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838200</xdr:colOff>
      <xdr:row>594</xdr:row>
      <xdr:rowOff>0</xdr:rowOff>
    </xdr:from>
    <xdr:to>
      <xdr:col>10</xdr:col>
      <xdr:colOff>674914</xdr:colOff>
      <xdr:row>597</xdr:row>
      <xdr:rowOff>141515</xdr:rowOff>
    </xdr:to>
    <xdr:sp macro="" textlink="">
      <xdr:nvSpPr>
        <xdr:cNvPr id="149" name="Rounded Rectangle 148"/>
        <xdr:cNvSpPr/>
      </xdr:nvSpPr>
      <xdr:spPr>
        <a:xfrm>
          <a:off x="4408714" y="110413800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Konsumsi Garam</a:t>
          </a:r>
        </a:p>
      </xdr:txBody>
    </xdr:sp>
    <xdr:clientData/>
  </xdr:twoCellAnchor>
  <xdr:twoCellAnchor>
    <xdr:from>
      <xdr:col>2</xdr:col>
      <xdr:colOff>315686</xdr:colOff>
      <xdr:row>597</xdr:row>
      <xdr:rowOff>141515</xdr:rowOff>
    </xdr:from>
    <xdr:to>
      <xdr:col>8</xdr:col>
      <xdr:colOff>517072</xdr:colOff>
      <xdr:row>601</xdr:row>
      <xdr:rowOff>10886</xdr:rowOff>
    </xdr:to>
    <xdr:cxnSp macro="">
      <xdr:nvCxnSpPr>
        <xdr:cNvPr id="156" name="Straight Connector 155"/>
        <xdr:cNvCxnSpPr>
          <a:stCxn id="149" idx="2"/>
        </xdr:cNvCxnSpPr>
      </xdr:nvCxnSpPr>
      <xdr:spPr>
        <a:xfrm flipH="1">
          <a:off x="1447800" y="111110486"/>
          <a:ext cx="4501243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604158</xdr:colOff>
      <xdr:row>597</xdr:row>
      <xdr:rowOff>130629</xdr:rowOff>
    </xdr:from>
    <xdr:to>
      <xdr:col>9</xdr:col>
      <xdr:colOff>10886</xdr:colOff>
      <xdr:row>601</xdr:row>
      <xdr:rowOff>0</xdr:rowOff>
    </xdr:to>
    <xdr:cxnSp macro="">
      <xdr:nvCxnSpPr>
        <xdr:cNvPr id="159" name="Straight Connector 158"/>
        <xdr:cNvCxnSpPr/>
      </xdr:nvCxnSpPr>
      <xdr:spPr>
        <a:xfrm>
          <a:off x="6036129" y="111099600"/>
          <a:ext cx="16328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751114</xdr:colOff>
      <xdr:row>618</xdr:row>
      <xdr:rowOff>10886</xdr:rowOff>
    </xdr:from>
    <xdr:to>
      <xdr:col>10</xdr:col>
      <xdr:colOff>587828</xdr:colOff>
      <xdr:row>621</xdr:row>
      <xdr:rowOff>152400</xdr:rowOff>
    </xdr:to>
    <xdr:sp macro="" textlink="">
      <xdr:nvSpPr>
        <xdr:cNvPr id="161" name="Rounded Rectangle 160"/>
        <xdr:cNvSpPr/>
      </xdr:nvSpPr>
      <xdr:spPr>
        <a:xfrm>
          <a:off x="4321628" y="114866057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Konsumsi Kafein</a:t>
          </a:r>
        </a:p>
      </xdr:txBody>
    </xdr:sp>
    <xdr:clientData/>
  </xdr:twoCellAnchor>
  <xdr:twoCellAnchor>
    <xdr:from>
      <xdr:col>8</xdr:col>
      <xdr:colOff>429986</xdr:colOff>
      <xdr:row>621</xdr:row>
      <xdr:rowOff>152400</xdr:rowOff>
    </xdr:from>
    <xdr:to>
      <xdr:col>8</xdr:col>
      <xdr:colOff>429986</xdr:colOff>
      <xdr:row>624</xdr:row>
      <xdr:rowOff>174170</xdr:rowOff>
    </xdr:to>
    <xdr:cxnSp macro="">
      <xdr:nvCxnSpPr>
        <xdr:cNvPr id="162" name="Straight Connector 161"/>
        <xdr:cNvCxnSpPr>
          <a:stCxn id="161" idx="2"/>
          <a:endCxn id="163" idx="0"/>
        </xdr:cNvCxnSpPr>
      </xdr:nvCxnSpPr>
      <xdr:spPr>
        <a:xfrm>
          <a:off x="5861957" y="115562743"/>
          <a:ext cx="0" cy="5769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751114</xdr:colOff>
      <xdr:row>624</xdr:row>
      <xdr:rowOff>174170</xdr:rowOff>
    </xdr:from>
    <xdr:to>
      <xdr:col>10</xdr:col>
      <xdr:colOff>587828</xdr:colOff>
      <xdr:row>628</xdr:row>
      <xdr:rowOff>130627</xdr:rowOff>
    </xdr:to>
    <xdr:sp macro="" textlink="">
      <xdr:nvSpPr>
        <xdr:cNvPr id="163" name="Rounded Rectangle 162"/>
        <xdr:cNvSpPr/>
      </xdr:nvSpPr>
      <xdr:spPr>
        <a:xfrm>
          <a:off x="4321628" y="116139684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Olahraga</a:t>
          </a:r>
        </a:p>
      </xdr:txBody>
    </xdr:sp>
    <xdr:clientData/>
  </xdr:twoCellAnchor>
  <xdr:twoCellAnchor>
    <xdr:from>
      <xdr:col>8</xdr:col>
      <xdr:colOff>429986</xdr:colOff>
      <xdr:row>628</xdr:row>
      <xdr:rowOff>130627</xdr:rowOff>
    </xdr:from>
    <xdr:to>
      <xdr:col>8</xdr:col>
      <xdr:colOff>435429</xdr:colOff>
      <xdr:row>632</xdr:row>
      <xdr:rowOff>10886</xdr:rowOff>
    </xdr:to>
    <xdr:cxnSp macro="">
      <xdr:nvCxnSpPr>
        <xdr:cNvPr id="164" name="Straight Connector 163"/>
        <xdr:cNvCxnSpPr>
          <a:stCxn id="163" idx="2"/>
        </xdr:cNvCxnSpPr>
      </xdr:nvCxnSpPr>
      <xdr:spPr>
        <a:xfrm>
          <a:off x="5861957" y="116836370"/>
          <a:ext cx="5443" cy="6204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473529</xdr:colOff>
      <xdr:row>641</xdr:row>
      <xdr:rowOff>185056</xdr:rowOff>
    </xdr:from>
    <xdr:to>
      <xdr:col>8</xdr:col>
      <xdr:colOff>478972</xdr:colOff>
      <xdr:row>645</xdr:row>
      <xdr:rowOff>65315</xdr:rowOff>
    </xdr:to>
    <xdr:cxnSp macro="">
      <xdr:nvCxnSpPr>
        <xdr:cNvPr id="170" name="Straight Connector 169"/>
        <xdr:cNvCxnSpPr/>
      </xdr:nvCxnSpPr>
      <xdr:spPr>
        <a:xfrm>
          <a:off x="5905500" y="119296542"/>
          <a:ext cx="5443" cy="6204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816428</xdr:colOff>
      <xdr:row>645</xdr:row>
      <xdr:rowOff>32656</xdr:rowOff>
    </xdr:from>
    <xdr:to>
      <xdr:col>10</xdr:col>
      <xdr:colOff>653142</xdr:colOff>
      <xdr:row>648</xdr:row>
      <xdr:rowOff>174170</xdr:rowOff>
    </xdr:to>
    <xdr:sp macro="" textlink="">
      <xdr:nvSpPr>
        <xdr:cNvPr id="171" name="Rounded Rectangle 170"/>
        <xdr:cNvSpPr/>
      </xdr:nvSpPr>
      <xdr:spPr>
        <a:xfrm>
          <a:off x="4386942" y="119884370"/>
          <a:ext cx="3080657" cy="69668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/>
            <a:t>Konsumsi Garam</a:t>
          </a:r>
        </a:p>
      </xdr:txBody>
    </xdr:sp>
    <xdr:clientData/>
  </xdr:twoCellAnchor>
  <xdr:twoCellAnchor>
    <xdr:from>
      <xdr:col>2</xdr:col>
      <xdr:colOff>348343</xdr:colOff>
      <xdr:row>648</xdr:row>
      <xdr:rowOff>174170</xdr:rowOff>
    </xdr:from>
    <xdr:to>
      <xdr:col>8</xdr:col>
      <xdr:colOff>495300</xdr:colOff>
      <xdr:row>654</xdr:row>
      <xdr:rowOff>174171</xdr:rowOff>
    </xdr:to>
    <xdr:cxnSp macro="">
      <xdr:nvCxnSpPr>
        <xdr:cNvPr id="172" name="Straight Connector 171"/>
        <xdr:cNvCxnSpPr>
          <a:stCxn id="171" idx="2"/>
        </xdr:cNvCxnSpPr>
      </xdr:nvCxnSpPr>
      <xdr:spPr>
        <a:xfrm flipH="1">
          <a:off x="1480457" y="120581056"/>
          <a:ext cx="4446814" cy="111034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648</xdr:row>
      <xdr:rowOff>174170</xdr:rowOff>
    </xdr:from>
    <xdr:to>
      <xdr:col>8</xdr:col>
      <xdr:colOff>500743</xdr:colOff>
      <xdr:row>655</xdr:row>
      <xdr:rowOff>0</xdr:rowOff>
    </xdr:to>
    <xdr:cxnSp macro="">
      <xdr:nvCxnSpPr>
        <xdr:cNvPr id="175" name="Straight Connector 174"/>
        <xdr:cNvCxnSpPr>
          <a:stCxn id="171" idx="2"/>
        </xdr:cNvCxnSpPr>
      </xdr:nvCxnSpPr>
      <xdr:spPr>
        <a:xfrm>
          <a:off x="5927271" y="120581056"/>
          <a:ext cx="5443" cy="11212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22860</xdr:rowOff>
    </xdr:from>
    <xdr:to>
      <xdr:col>7</xdr:col>
      <xdr:colOff>167640</xdr:colOff>
      <xdr:row>2</xdr:row>
      <xdr:rowOff>30480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2860"/>
          <a:ext cx="17907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21524</xdr:rowOff>
    </xdr:from>
    <xdr:to>
      <xdr:col>3</xdr:col>
      <xdr:colOff>519465</xdr:colOff>
      <xdr:row>36</xdr:row>
      <xdr:rowOff>101271</xdr:rowOff>
    </xdr:to>
    <xdr:grpSp>
      <xdr:nvGrpSpPr>
        <xdr:cNvPr id="23" name="Group 22"/>
        <xdr:cNvGrpSpPr/>
      </xdr:nvGrpSpPr>
      <xdr:grpSpPr>
        <a:xfrm>
          <a:off x="85725" y="200818"/>
          <a:ext cx="2262540" cy="6355041"/>
          <a:chOff x="400050" y="54861"/>
          <a:chExt cx="2262540" cy="6413872"/>
        </a:xfrm>
      </xdr:grpSpPr>
      <xdr:sp macro="" textlink="">
        <xdr:nvSpPr>
          <xdr:cNvPr id="2" name="Rounded Rectangle 1"/>
          <xdr:cNvSpPr/>
        </xdr:nvSpPr>
        <xdr:spPr>
          <a:xfrm>
            <a:off x="1046410" y="54861"/>
            <a:ext cx="822960" cy="34676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Mulai</a:t>
            </a:r>
          </a:p>
        </xdr:txBody>
      </xdr:sp>
      <xdr:cxnSp macro="">
        <xdr:nvCxnSpPr>
          <xdr:cNvPr id="4" name="Straight Arrow Connector 3"/>
          <xdr:cNvCxnSpPr/>
        </xdr:nvCxnSpPr>
        <xdr:spPr>
          <a:xfrm>
            <a:off x="1457892" y="411152"/>
            <a:ext cx="649" cy="3070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Parallelogram 5"/>
          <xdr:cNvSpPr/>
        </xdr:nvSpPr>
        <xdr:spPr>
          <a:xfrm>
            <a:off x="912269" y="723100"/>
            <a:ext cx="1092741" cy="378114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Data Latih</a:t>
            </a:r>
          </a:p>
        </xdr:txBody>
      </xdr:sp>
      <xdr:cxnSp macro="">
        <xdr:nvCxnSpPr>
          <xdr:cNvPr id="7" name="Straight Arrow Connector 6"/>
          <xdr:cNvCxnSpPr/>
        </xdr:nvCxnSpPr>
        <xdr:spPr>
          <a:xfrm>
            <a:off x="1451610" y="1110910"/>
            <a:ext cx="649" cy="3070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Flowchart: Predefined Process 8"/>
          <xdr:cNvSpPr/>
        </xdr:nvSpPr>
        <xdr:spPr>
          <a:xfrm>
            <a:off x="638781" y="1416395"/>
            <a:ext cx="1604358" cy="484762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900"/>
              <a:t>Proses Fuzzifikasi data</a:t>
            </a:r>
            <a:r>
              <a:rPr lang="id-ID" sz="900" baseline="0"/>
              <a:t> latih</a:t>
            </a:r>
            <a:endParaRPr lang="id-ID" sz="900"/>
          </a:p>
        </xdr:txBody>
      </xdr:sp>
      <xdr:cxnSp macro="">
        <xdr:nvCxnSpPr>
          <xdr:cNvPr id="10" name="Straight Arrow Connector 9"/>
          <xdr:cNvCxnSpPr/>
        </xdr:nvCxnSpPr>
        <xdr:spPr>
          <a:xfrm>
            <a:off x="1469140" y="1905919"/>
            <a:ext cx="649" cy="3070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Flowchart: Predefined Process 10"/>
          <xdr:cNvSpPr/>
        </xdr:nvSpPr>
        <xdr:spPr>
          <a:xfrm>
            <a:off x="400050" y="2215485"/>
            <a:ext cx="2262540" cy="484762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800"/>
              <a:t>Pembentukan </a:t>
            </a:r>
            <a:r>
              <a:rPr lang="id-ID" sz="800" i="1"/>
              <a:t>tree</a:t>
            </a:r>
            <a:r>
              <a:rPr lang="id-ID" sz="800" baseline="0"/>
              <a:t> menggunakan </a:t>
            </a:r>
            <a:r>
              <a:rPr lang="id-ID" sz="800" i="1" baseline="0"/>
              <a:t>Fuzzy ID3</a:t>
            </a:r>
            <a:endParaRPr lang="id-ID" sz="800" i="1"/>
          </a:p>
        </xdr:txBody>
      </xdr:sp>
      <xdr:sp macro="" textlink="">
        <xdr:nvSpPr>
          <xdr:cNvPr id="12" name="Parallelogram 11"/>
          <xdr:cNvSpPr/>
        </xdr:nvSpPr>
        <xdr:spPr>
          <a:xfrm>
            <a:off x="909639" y="5422868"/>
            <a:ext cx="1092741" cy="378114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800"/>
              <a:t>Hasil Klasifikasi</a:t>
            </a:r>
          </a:p>
        </xdr:txBody>
      </xdr:sp>
      <xdr:cxnSp macro="">
        <xdr:nvCxnSpPr>
          <xdr:cNvPr id="13" name="Straight Arrow Connector 12"/>
          <xdr:cNvCxnSpPr/>
        </xdr:nvCxnSpPr>
        <xdr:spPr>
          <a:xfrm>
            <a:off x="1462856" y="2709093"/>
            <a:ext cx="649" cy="3070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/>
        </xdr:nvCxnSpPr>
        <xdr:spPr>
          <a:xfrm>
            <a:off x="1458094" y="3526042"/>
            <a:ext cx="649" cy="3070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" name="Rounded Rectangle 14"/>
          <xdr:cNvSpPr/>
        </xdr:nvSpPr>
        <xdr:spPr>
          <a:xfrm>
            <a:off x="1035569" y="6121967"/>
            <a:ext cx="822960" cy="34676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Selesai</a:t>
            </a:r>
          </a:p>
        </xdr:txBody>
      </xdr:sp>
      <xdr:sp macro="" textlink="">
        <xdr:nvSpPr>
          <xdr:cNvPr id="17" name="Flowchart: Predefined Process 16"/>
          <xdr:cNvSpPr/>
        </xdr:nvSpPr>
        <xdr:spPr>
          <a:xfrm>
            <a:off x="823911" y="3031424"/>
            <a:ext cx="1290536" cy="484762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Konveksi</a:t>
            </a:r>
            <a:r>
              <a:rPr lang="id-ID" sz="1100" baseline="0"/>
              <a:t> </a:t>
            </a:r>
            <a:r>
              <a:rPr lang="id-ID" sz="1100" i="1" baseline="0"/>
              <a:t>tree</a:t>
            </a:r>
            <a:r>
              <a:rPr lang="id-ID" sz="1100" i="0" baseline="0"/>
              <a:t> ke aturan</a:t>
            </a:r>
            <a:endParaRPr lang="id-ID" sz="1100"/>
          </a:p>
        </xdr:txBody>
      </xdr:sp>
      <xdr:sp macro="" textlink="">
        <xdr:nvSpPr>
          <xdr:cNvPr id="18" name="Flowchart: Predefined Process 17"/>
          <xdr:cNvSpPr/>
        </xdr:nvSpPr>
        <xdr:spPr>
          <a:xfrm>
            <a:off x="657224" y="3831523"/>
            <a:ext cx="1604358" cy="484762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900"/>
              <a:t>Proses Fuzzifikasi data</a:t>
            </a:r>
            <a:r>
              <a:rPr lang="id-ID" sz="900" baseline="0"/>
              <a:t> uji</a:t>
            </a:r>
            <a:endParaRPr lang="id-ID" sz="900"/>
          </a:p>
        </xdr:txBody>
      </xdr:sp>
      <xdr:cxnSp macro="">
        <xdr:nvCxnSpPr>
          <xdr:cNvPr id="19" name="Straight Arrow Connector 18"/>
          <xdr:cNvCxnSpPr/>
        </xdr:nvCxnSpPr>
        <xdr:spPr>
          <a:xfrm>
            <a:off x="1452562" y="4312536"/>
            <a:ext cx="649" cy="3070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" name="Flowchart: Predefined Process 19"/>
          <xdr:cNvSpPr/>
        </xdr:nvSpPr>
        <xdr:spPr>
          <a:xfrm>
            <a:off x="652461" y="4626859"/>
            <a:ext cx="1604358" cy="484762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900"/>
              <a:t>Proses Inferensi </a:t>
            </a:r>
            <a:r>
              <a:rPr lang="id-ID" sz="900" i="1"/>
              <a:t>Fuzzy</a:t>
            </a:r>
            <a:r>
              <a:rPr lang="id-ID" sz="900" i="1" baseline="0"/>
              <a:t> Mamdani</a:t>
            </a:r>
            <a:endParaRPr lang="id-ID" sz="900"/>
          </a:p>
        </xdr:txBody>
      </xdr:sp>
      <xdr:cxnSp macro="">
        <xdr:nvCxnSpPr>
          <xdr:cNvPr id="21" name="Straight Arrow Connector 20"/>
          <xdr:cNvCxnSpPr/>
        </xdr:nvCxnSpPr>
        <xdr:spPr>
          <a:xfrm>
            <a:off x="1452562" y="5107874"/>
            <a:ext cx="649" cy="3070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Straight Arrow Connector 21"/>
          <xdr:cNvCxnSpPr/>
        </xdr:nvCxnSpPr>
        <xdr:spPr>
          <a:xfrm>
            <a:off x="1443037" y="5798437"/>
            <a:ext cx="649" cy="3070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33339</xdr:colOff>
      <xdr:row>0</xdr:row>
      <xdr:rowOff>0</xdr:rowOff>
    </xdr:from>
    <xdr:to>
      <xdr:col>10</xdr:col>
      <xdr:colOff>376236</xdr:colOff>
      <xdr:row>32</xdr:row>
      <xdr:rowOff>77777</xdr:rowOff>
    </xdr:to>
    <xdr:grpSp>
      <xdr:nvGrpSpPr>
        <xdr:cNvPr id="225" name="Group 224"/>
        <xdr:cNvGrpSpPr/>
      </xdr:nvGrpSpPr>
      <xdr:grpSpPr>
        <a:xfrm>
          <a:off x="3081339" y="0"/>
          <a:ext cx="3390897" cy="5815189"/>
          <a:chOff x="3081339" y="0"/>
          <a:chExt cx="3390897" cy="5815189"/>
        </a:xfrm>
      </xdr:grpSpPr>
      <xdr:sp macro="" textlink="">
        <xdr:nvSpPr>
          <xdr:cNvPr id="24" name="Flowchart: Predefined Process 23"/>
          <xdr:cNvSpPr/>
        </xdr:nvSpPr>
        <xdr:spPr>
          <a:xfrm>
            <a:off x="3081339" y="0"/>
            <a:ext cx="1604358" cy="480319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900"/>
              <a:t>Proses Fuzzifikasi data</a:t>
            </a:r>
            <a:r>
              <a:rPr lang="id-ID" sz="900" baseline="0"/>
              <a:t> latih</a:t>
            </a:r>
            <a:endParaRPr lang="id-ID" sz="900"/>
          </a:p>
        </xdr:txBody>
      </xdr:sp>
      <xdr:sp macro="" textlink="">
        <xdr:nvSpPr>
          <xdr:cNvPr id="25" name="Rounded Rectangle 24"/>
          <xdr:cNvSpPr/>
        </xdr:nvSpPr>
        <xdr:spPr>
          <a:xfrm>
            <a:off x="5010150" y="526243"/>
            <a:ext cx="822960" cy="343588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Mulai</a:t>
            </a:r>
          </a:p>
        </xdr:txBody>
      </xdr:sp>
      <xdr:sp macro="" textlink="">
        <xdr:nvSpPr>
          <xdr:cNvPr id="26" name="Parallelogram 25"/>
          <xdr:cNvSpPr/>
        </xdr:nvSpPr>
        <xdr:spPr>
          <a:xfrm>
            <a:off x="4762498" y="1196319"/>
            <a:ext cx="1357315" cy="374649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dataLatih[][]</a:t>
            </a:r>
          </a:p>
        </xdr:txBody>
      </xdr:sp>
      <xdr:cxnSp macro="">
        <xdr:nvCxnSpPr>
          <xdr:cNvPr id="27" name="Straight Arrow Connector 26"/>
          <xdr:cNvCxnSpPr/>
        </xdr:nvCxnSpPr>
        <xdr:spPr>
          <a:xfrm>
            <a:off x="5429250" y="884876"/>
            <a:ext cx="649" cy="3042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Straight Arrow Connector 27"/>
          <xdr:cNvCxnSpPr/>
        </xdr:nvCxnSpPr>
        <xdr:spPr>
          <a:xfrm>
            <a:off x="5429250" y="1564391"/>
            <a:ext cx="649" cy="3042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Flowchart: Preparation 30"/>
          <xdr:cNvSpPr/>
        </xdr:nvSpPr>
        <xdr:spPr>
          <a:xfrm>
            <a:off x="4648200" y="1882822"/>
            <a:ext cx="1557338" cy="363352"/>
          </a:xfrm>
          <a:prstGeom prst="flowChartPreparat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800"/>
              <a:t>For i to</a:t>
            </a:r>
            <a:r>
              <a:rPr lang="id-ID" sz="800" baseline="0"/>
              <a:t> jmlAtribut</a:t>
            </a:r>
            <a:endParaRPr lang="id-ID" sz="800"/>
          </a:p>
        </xdr:txBody>
      </xdr:sp>
      <xdr:cxnSp macro="">
        <xdr:nvCxnSpPr>
          <xdr:cNvPr id="32" name="Straight Arrow Connector 31"/>
          <xdr:cNvCxnSpPr/>
        </xdr:nvCxnSpPr>
        <xdr:spPr>
          <a:xfrm>
            <a:off x="5438774" y="2258063"/>
            <a:ext cx="649" cy="3042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" name="Flowchart: Process 32"/>
          <xdr:cNvSpPr/>
        </xdr:nvSpPr>
        <xdr:spPr>
          <a:xfrm>
            <a:off x="4433882" y="2576492"/>
            <a:ext cx="2014541" cy="386946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Ambil</a:t>
            </a:r>
            <a:r>
              <a:rPr lang="id-ID" sz="1100" baseline="0"/>
              <a:t> data dari setiap atribut</a:t>
            </a:r>
            <a:endParaRPr lang="id-ID" sz="1100"/>
          </a:p>
        </xdr:txBody>
      </xdr:sp>
      <xdr:cxnSp macro="">
        <xdr:nvCxnSpPr>
          <xdr:cNvPr id="34" name="Straight Arrow Connector 33"/>
          <xdr:cNvCxnSpPr/>
        </xdr:nvCxnSpPr>
        <xdr:spPr>
          <a:xfrm>
            <a:off x="5462586" y="2965891"/>
            <a:ext cx="649" cy="3042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Flowchart: Process 34"/>
          <xdr:cNvSpPr/>
        </xdr:nvSpPr>
        <xdr:spPr>
          <a:xfrm>
            <a:off x="4457695" y="3284319"/>
            <a:ext cx="2014541" cy="457730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Hitung MF berdasarkan persamaan setiap atribut </a:t>
            </a:r>
            <a:r>
              <a:rPr lang="id-ID" sz="1100" i="1"/>
              <a:t>value</a:t>
            </a:r>
            <a:endParaRPr lang="id-ID" sz="1100"/>
          </a:p>
        </xdr:txBody>
      </xdr:sp>
      <xdr:cxnSp macro="">
        <xdr:nvCxnSpPr>
          <xdr:cNvPr id="36" name="Straight Arrow Connector 35"/>
          <xdr:cNvCxnSpPr/>
        </xdr:nvCxnSpPr>
        <xdr:spPr>
          <a:xfrm>
            <a:off x="5481634" y="3749220"/>
            <a:ext cx="649" cy="3042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" name="Parallelogram 36"/>
          <xdr:cNvSpPr/>
        </xdr:nvSpPr>
        <xdr:spPr>
          <a:xfrm>
            <a:off x="4600566" y="4070099"/>
            <a:ext cx="1790708" cy="374649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Derajat</a:t>
            </a:r>
            <a:r>
              <a:rPr lang="id-ID" sz="1100" baseline="0"/>
              <a:t> Keanggotaan</a:t>
            </a:r>
            <a:endParaRPr lang="id-ID" sz="1100"/>
          </a:p>
        </xdr:txBody>
      </xdr:sp>
      <xdr:cxnSp macro="">
        <xdr:nvCxnSpPr>
          <xdr:cNvPr id="38" name="Straight Arrow Connector 37"/>
          <xdr:cNvCxnSpPr/>
        </xdr:nvCxnSpPr>
        <xdr:spPr>
          <a:xfrm>
            <a:off x="5510209" y="4452330"/>
            <a:ext cx="649" cy="3042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Flowchart: Connector 38"/>
          <xdr:cNvSpPr/>
        </xdr:nvSpPr>
        <xdr:spPr>
          <a:xfrm>
            <a:off x="5314950" y="4770760"/>
            <a:ext cx="414338" cy="391664"/>
          </a:xfrm>
          <a:prstGeom prst="flowChartConnec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i</a:t>
            </a:r>
          </a:p>
        </xdr:txBody>
      </xdr:sp>
      <xdr:cxnSp macro="">
        <xdr:nvCxnSpPr>
          <xdr:cNvPr id="41" name="Elbow Connector 40"/>
          <xdr:cNvCxnSpPr>
            <a:stCxn id="39" idx="2"/>
            <a:endCxn id="31" idx="1"/>
          </xdr:cNvCxnSpPr>
        </xdr:nvCxnSpPr>
        <xdr:spPr>
          <a:xfrm rot="10800000">
            <a:off x="4648200" y="2064499"/>
            <a:ext cx="666750" cy="2902094"/>
          </a:xfrm>
          <a:prstGeom prst="bentConnector3">
            <a:avLst>
              <a:gd name="adj1" fmla="val 190000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Straight Arrow Connector 42"/>
          <xdr:cNvCxnSpPr/>
        </xdr:nvCxnSpPr>
        <xdr:spPr>
          <a:xfrm>
            <a:off x="5519734" y="5169595"/>
            <a:ext cx="649" cy="3042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4" name="Rounded Rectangle 43"/>
          <xdr:cNvSpPr/>
        </xdr:nvSpPr>
        <xdr:spPr>
          <a:xfrm>
            <a:off x="5110163" y="5471601"/>
            <a:ext cx="822960" cy="343588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Selesai</a:t>
            </a:r>
          </a:p>
        </xdr:txBody>
      </xdr:sp>
    </xdr:grpSp>
    <xdr:clientData/>
  </xdr:twoCellAnchor>
  <xdr:twoCellAnchor>
    <xdr:from>
      <xdr:col>12</xdr:col>
      <xdr:colOff>30170</xdr:colOff>
      <xdr:row>0</xdr:row>
      <xdr:rowOff>16645</xdr:rowOff>
    </xdr:from>
    <xdr:to>
      <xdr:col>15</xdr:col>
      <xdr:colOff>463910</xdr:colOff>
      <xdr:row>2</xdr:row>
      <xdr:rowOff>142092</xdr:rowOff>
    </xdr:to>
    <xdr:sp macro="" textlink="">
      <xdr:nvSpPr>
        <xdr:cNvPr id="46" name="Flowchart: Predefined Process 45"/>
        <xdr:cNvSpPr/>
      </xdr:nvSpPr>
      <xdr:spPr>
        <a:xfrm>
          <a:off x="7345370" y="16645"/>
          <a:ext cx="2262540" cy="493309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Pembentukan </a:t>
          </a:r>
          <a:r>
            <a:rPr lang="id-ID" sz="800" i="1"/>
            <a:t>tree</a:t>
          </a:r>
          <a:r>
            <a:rPr lang="id-ID" sz="800" baseline="0"/>
            <a:t> menggunakan </a:t>
          </a:r>
          <a:r>
            <a:rPr lang="id-ID" sz="800" i="1" baseline="0"/>
            <a:t>Fuzzy ID3</a:t>
          </a:r>
          <a:endParaRPr lang="id-ID" sz="800" i="1"/>
        </a:p>
      </xdr:txBody>
    </xdr:sp>
    <xdr:clientData/>
  </xdr:twoCellAnchor>
  <xdr:twoCellAnchor>
    <xdr:from>
      <xdr:col>15</xdr:col>
      <xdr:colOff>482494</xdr:colOff>
      <xdr:row>2</xdr:row>
      <xdr:rowOff>2</xdr:rowOff>
    </xdr:from>
    <xdr:to>
      <xdr:col>18</xdr:col>
      <xdr:colOff>444402</xdr:colOff>
      <xdr:row>19</xdr:row>
      <xdr:rowOff>121414</xdr:rowOff>
    </xdr:to>
    <xdr:grpSp>
      <xdr:nvGrpSpPr>
        <xdr:cNvPr id="58" name="Group 57"/>
        <xdr:cNvGrpSpPr/>
      </xdr:nvGrpSpPr>
      <xdr:grpSpPr>
        <a:xfrm>
          <a:off x="9626494" y="358590"/>
          <a:ext cx="1790708" cy="3169412"/>
          <a:chOff x="9427711" y="367863"/>
          <a:chExt cx="1790708" cy="3247254"/>
        </a:xfrm>
      </xdr:grpSpPr>
      <xdr:sp macro="" textlink="">
        <xdr:nvSpPr>
          <xdr:cNvPr id="47" name="Rounded Rectangle 46"/>
          <xdr:cNvSpPr/>
        </xdr:nvSpPr>
        <xdr:spPr>
          <a:xfrm>
            <a:off x="9895796" y="367863"/>
            <a:ext cx="822960" cy="353358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Mulai</a:t>
            </a:r>
          </a:p>
        </xdr:txBody>
      </xdr:sp>
      <xdr:sp macro="" textlink="">
        <xdr:nvSpPr>
          <xdr:cNvPr id="48" name="Parallelogram 47"/>
          <xdr:cNvSpPr/>
        </xdr:nvSpPr>
        <xdr:spPr>
          <a:xfrm>
            <a:off x="9427711" y="1039398"/>
            <a:ext cx="1790708" cy="384278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Derajat</a:t>
            </a:r>
            <a:r>
              <a:rPr lang="id-ID" sz="1100" baseline="0"/>
              <a:t> Keanggotaan</a:t>
            </a:r>
            <a:endParaRPr lang="id-ID" sz="1100"/>
          </a:p>
        </xdr:txBody>
      </xdr:sp>
      <xdr:cxnSp macro="">
        <xdr:nvCxnSpPr>
          <xdr:cNvPr id="49" name="Straight Arrow Connector 48"/>
          <xdr:cNvCxnSpPr/>
        </xdr:nvCxnSpPr>
        <xdr:spPr>
          <a:xfrm>
            <a:off x="10315460" y="735723"/>
            <a:ext cx="649" cy="31272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0" name="Flowchart: Predefined Process 49"/>
          <xdr:cNvSpPr/>
        </xdr:nvSpPr>
        <xdr:spPr>
          <a:xfrm>
            <a:off x="9524765" y="1738464"/>
            <a:ext cx="1604358" cy="492182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900"/>
              <a:t>Proses ID3</a:t>
            </a:r>
          </a:p>
        </xdr:txBody>
      </xdr:sp>
      <xdr:cxnSp macro="">
        <xdr:nvCxnSpPr>
          <xdr:cNvPr id="51" name="Straight Arrow Connector 50"/>
          <xdr:cNvCxnSpPr/>
        </xdr:nvCxnSpPr>
        <xdr:spPr>
          <a:xfrm>
            <a:off x="10325971" y="1423401"/>
            <a:ext cx="649" cy="31272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Straight Arrow Connector 51"/>
          <xdr:cNvCxnSpPr/>
        </xdr:nvCxnSpPr>
        <xdr:spPr>
          <a:xfrm>
            <a:off x="10336481" y="2232698"/>
            <a:ext cx="649" cy="31272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/>
        </xdr:nvCxnSpPr>
        <xdr:spPr>
          <a:xfrm>
            <a:off x="10346991" y="2943457"/>
            <a:ext cx="649" cy="31272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Parallelogram 54"/>
          <xdr:cNvSpPr/>
        </xdr:nvSpPr>
        <xdr:spPr>
          <a:xfrm>
            <a:off x="9782659" y="2562385"/>
            <a:ext cx="1092741" cy="384213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900"/>
              <a:t>Aturan </a:t>
            </a:r>
          </a:p>
        </xdr:txBody>
      </xdr:sp>
      <xdr:sp macro="" textlink="">
        <xdr:nvSpPr>
          <xdr:cNvPr id="56" name="Rounded Rectangle 55"/>
          <xdr:cNvSpPr/>
        </xdr:nvSpPr>
        <xdr:spPr>
          <a:xfrm>
            <a:off x="9951090" y="3261759"/>
            <a:ext cx="822960" cy="353358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Kembali</a:t>
            </a:r>
          </a:p>
        </xdr:txBody>
      </xdr:sp>
    </xdr:grpSp>
    <xdr:clientData/>
  </xdr:twoCellAnchor>
  <xdr:twoCellAnchor>
    <xdr:from>
      <xdr:col>0</xdr:col>
      <xdr:colOff>31531</xdr:colOff>
      <xdr:row>38</xdr:row>
      <xdr:rowOff>52551</xdr:rowOff>
    </xdr:from>
    <xdr:to>
      <xdr:col>2</xdr:col>
      <xdr:colOff>416689</xdr:colOff>
      <xdr:row>40</xdr:row>
      <xdr:rowOff>176871</xdr:rowOff>
    </xdr:to>
    <xdr:sp macro="" textlink="">
      <xdr:nvSpPr>
        <xdr:cNvPr id="59" name="Flowchart: Predefined Process 58"/>
        <xdr:cNvSpPr/>
      </xdr:nvSpPr>
      <xdr:spPr>
        <a:xfrm>
          <a:off x="31531" y="7041930"/>
          <a:ext cx="1604358" cy="492182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900"/>
            <a:t>Proses ID3</a:t>
          </a:r>
        </a:p>
      </xdr:txBody>
    </xdr:sp>
    <xdr:clientData/>
  </xdr:twoCellAnchor>
  <xdr:twoCellAnchor>
    <xdr:from>
      <xdr:col>2</xdr:col>
      <xdr:colOff>532580</xdr:colOff>
      <xdr:row>40</xdr:row>
      <xdr:rowOff>5759</xdr:rowOff>
    </xdr:from>
    <xdr:to>
      <xdr:col>5</xdr:col>
      <xdr:colOff>71606</xdr:colOff>
      <xdr:row>57</xdr:row>
      <xdr:rowOff>95361</xdr:rowOff>
    </xdr:to>
    <xdr:grpSp>
      <xdr:nvGrpSpPr>
        <xdr:cNvPr id="69" name="Group 68"/>
        <xdr:cNvGrpSpPr/>
      </xdr:nvGrpSpPr>
      <xdr:grpSpPr>
        <a:xfrm>
          <a:off x="1751780" y="7177524"/>
          <a:ext cx="1367826" cy="3137602"/>
          <a:chOff x="1751780" y="7363000"/>
          <a:chExt cx="1367826" cy="3216430"/>
        </a:xfrm>
      </xdr:grpSpPr>
      <xdr:sp macro="" textlink="">
        <xdr:nvSpPr>
          <xdr:cNvPr id="60" name="Rounded Rectangle 59"/>
          <xdr:cNvSpPr/>
        </xdr:nvSpPr>
        <xdr:spPr>
          <a:xfrm>
            <a:off x="2019628" y="7363000"/>
            <a:ext cx="822960" cy="35236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Mulai</a:t>
            </a:r>
          </a:p>
        </xdr:txBody>
      </xdr:sp>
      <xdr:cxnSp macro="">
        <xdr:nvCxnSpPr>
          <xdr:cNvPr id="61" name="Straight Arrow Connector 60"/>
          <xdr:cNvCxnSpPr/>
        </xdr:nvCxnSpPr>
        <xdr:spPr>
          <a:xfrm>
            <a:off x="2434787" y="7720351"/>
            <a:ext cx="649" cy="31196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Parallelogram 61"/>
          <xdr:cNvSpPr/>
        </xdr:nvSpPr>
        <xdr:spPr>
          <a:xfrm>
            <a:off x="1751780" y="8035159"/>
            <a:ext cx="1357315" cy="384208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dataLatih[][]</a:t>
            </a:r>
          </a:p>
        </xdr:txBody>
      </xdr:sp>
      <xdr:sp macro="" textlink="">
        <xdr:nvSpPr>
          <xdr:cNvPr id="63" name="Flowchart: Predefined Process 62"/>
          <xdr:cNvSpPr/>
        </xdr:nvSpPr>
        <xdr:spPr>
          <a:xfrm>
            <a:off x="1793656" y="8729345"/>
            <a:ext cx="1290536" cy="492582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Membangun ID3</a:t>
            </a:r>
            <a:endParaRPr lang="id-ID" sz="1100" i="1"/>
          </a:p>
        </xdr:txBody>
      </xdr:sp>
      <xdr:cxnSp macro="">
        <xdr:nvCxnSpPr>
          <xdr:cNvPr id="64" name="Straight Arrow Connector 63"/>
          <xdr:cNvCxnSpPr/>
        </xdr:nvCxnSpPr>
        <xdr:spPr>
          <a:xfrm>
            <a:off x="2434787" y="8419289"/>
            <a:ext cx="649" cy="31196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Parallelogram 64"/>
          <xdr:cNvSpPr/>
        </xdr:nvSpPr>
        <xdr:spPr>
          <a:xfrm>
            <a:off x="1762291" y="9527627"/>
            <a:ext cx="1357315" cy="384208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 i="1"/>
              <a:t>tree</a:t>
            </a:r>
          </a:p>
        </xdr:txBody>
      </xdr:sp>
      <xdr:cxnSp macro="">
        <xdr:nvCxnSpPr>
          <xdr:cNvPr id="66" name="Straight Arrow Connector 65"/>
          <xdr:cNvCxnSpPr/>
        </xdr:nvCxnSpPr>
        <xdr:spPr>
          <a:xfrm>
            <a:off x="2440042" y="9223330"/>
            <a:ext cx="649" cy="31196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Straight Arrow Connector 66"/>
          <xdr:cNvCxnSpPr/>
        </xdr:nvCxnSpPr>
        <xdr:spPr>
          <a:xfrm>
            <a:off x="2445297" y="9906502"/>
            <a:ext cx="649" cy="31196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8" name="Rounded Rectangle 67"/>
          <xdr:cNvSpPr/>
        </xdr:nvSpPr>
        <xdr:spPr>
          <a:xfrm>
            <a:off x="2035394" y="10227070"/>
            <a:ext cx="822960" cy="35236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Kembali</a:t>
            </a:r>
          </a:p>
        </xdr:txBody>
      </xdr:sp>
    </xdr:grpSp>
    <xdr:clientData/>
  </xdr:twoCellAnchor>
  <xdr:twoCellAnchor>
    <xdr:from>
      <xdr:col>7</xdr:col>
      <xdr:colOff>33816</xdr:colOff>
      <xdr:row>38</xdr:row>
      <xdr:rowOff>47324</xdr:rowOff>
    </xdr:from>
    <xdr:to>
      <xdr:col>9</xdr:col>
      <xdr:colOff>105152</xdr:colOff>
      <xdr:row>40</xdr:row>
      <xdr:rowOff>169737</xdr:rowOff>
    </xdr:to>
    <xdr:sp macro="" textlink="">
      <xdr:nvSpPr>
        <xdr:cNvPr id="81" name="Flowchart: Predefined Process 80"/>
        <xdr:cNvSpPr/>
      </xdr:nvSpPr>
      <xdr:spPr>
        <a:xfrm>
          <a:off x="4301016" y="6891469"/>
          <a:ext cx="1290536" cy="482632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100" i="0"/>
            <a:t>Membangun</a:t>
          </a:r>
          <a:r>
            <a:rPr lang="id-ID" sz="1100" i="0" baseline="0"/>
            <a:t> ID3</a:t>
          </a:r>
          <a:endParaRPr lang="id-ID" sz="1100" i="1"/>
        </a:p>
      </xdr:txBody>
    </xdr:sp>
    <xdr:clientData/>
  </xdr:twoCellAnchor>
  <xdr:twoCellAnchor>
    <xdr:from>
      <xdr:col>8</xdr:col>
      <xdr:colOff>176463</xdr:colOff>
      <xdr:row>91</xdr:row>
      <xdr:rowOff>56147</xdr:rowOff>
    </xdr:from>
    <xdr:to>
      <xdr:col>9</xdr:col>
      <xdr:colOff>140368</xdr:colOff>
      <xdr:row>92</xdr:row>
      <xdr:rowOff>40105</xdr:rowOff>
    </xdr:to>
    <xdr:sp macro="" textlink="">
      <xdr:nvSpPr>
        <xdr:cNvPr id="120" name="Flowchart: Process 119"/>
        <xdr:cNvSpPr/>
      </xdr:nvSpPr>
      <xdr:spPr>
        <a:xfrm>
          <a:off x="5053263" y="16844210"/>
          <a:ext cx="573505" cy="168442"/>
        </a:xfrm>
        <a:prstGeom prst="flowChartProcess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Ya</a:t>
          </a:r>
          <a:endParaRPr lang="id-ID" sz="1100"/>
        </a:p>
      </xdr:txBody>
    </xdr:sp>
    <xdr:clientData/>
  </xdr:twoCellAnchor>
  <xdr:twoCellAnchor>
    <xdr:from>
      <xdr:col>8</xdr:col>
      <xdr:colOff>583322</xdr:colOff>
      <xdr:row>39</xdr:row>
      <xdr:rowOff>19011</xdr:rowOff>
    </xdr:from>
    <xdr:to>
      <xdr:col>12</xdr:col>
      <xdr:colOff>320842</xdr:colOff>
      <xdr:row>105</xdr:row>
      <xdr:rowOff>72165</xdr:rowOff>
    </xdr:to>
    <xdr:grpSp>
      <xdr:nvGrpSpPr>
        <xdr:cNvPr id="131" name="Group 130"/>
        <xdr:cNvGrpSpPr/>
      </xdr:nvGrpSpPr>
      <xdr:grpSpPr>
        <a:xfrm>
          <a:off x="5460122" y="7011482"/>
          <a:ext cx="2175920" cy="11886565"/>
          <a:chOff x="5460122" y="7011482"/>
          <a:chExt cx="2175920" cy="11886565"/>
        </a:xfrm>
      </xdr:grpSpPr>
      <xdr:cxnSp macro="">
        <xdr:nvCxnSpPr>
          <xdr:cNvPr id="117" name="Elbow Connector 116"/>
          <xdr:cNvCxnSpPr>
            <a:stCxn id="85" idx="3"/>
            <a:endCxn id="104" idx="3"/>
          </xdr:cNvCxnSpPr>
        </xdr:nvCxnSpPr>
        <xdr:spPr>
          <a:xfrm>
            <a:off x="7056782" y="8754681"/>
            <a:ext cx="358681" cy="7575991"/>
          </a:xfrm>
          <a:prstGeom prst="bentConnector3">
            <a:avLst>
              <a:gd name="adj1" fmla="val 240885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130" name="Group 129"/>
          <xdr:cNvGrpSpPr/>
        </xdr:nvGrpSpPr>
        <xdr:grpSpPr>
          <a:xfrm>
            <a:off x="5460122" y="7011482"/>
            <a:ext cx="2175920" cy="11886565"/>
            <a:chOff x="5460122" y="7011482"/>
            <a:chExt cx="2175920" cy="11886565"/>
          </a:xfrm>
        </xdr:grpSpPr>
        <xdr:sp macro="" textlink="">
          <xdr:nvSpPr>
            <xdr:cNvPr id="82" name="Rounded Rectangle 81"/>
            <xdr:cNvSpPr/>
          </xdr:nvSpPr>
          <xdr:spPr>
            <a:xfrm>
              <a:off x="6078615" y="7011482"/>
              <a:ext cx="822960" cy="342866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Mulai</a:t>
              </a:r>
            </a:p>
          </xdr:txBody>
        </xdr:sp>
        <xdr:cxnSp macro="">
          <xdr:nvCxnSpPr>
            <xdr:cNvPr id="83" name="Straight Arrow Connector 82"/>
            <xdr:cNvCxnSpPr/>
          </xdr:nvCxnSpPr>
          <xdr:spPr>
            <a:xfrm>
              <a:off x="6496058" y="7355209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84" name="Parallelogram 83"/>
            <xdr:cNvSpPr/>
          </xdr:nvSpPr>
          <xdr:spPr>
            <a:xfrm>
              <a:off x="5608165" y="7655382"/>
              <a:ext cx="1786551" cy="374983"/>
            </a:xfrm>
            <a:prstGeom prst="parallelogram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Derajat Keanggotaan</a:t>
              </a:r>
            </a:p>
          </xdr:txBody>
        </xdr:sp>
        <xdr:sp macro="" textlink="">
          <xdr:nvSpPr>
            <xdr:cNvPr id="85" name="Flowchart: Decision 84"/>
            <xdr:cNvSpPr/>
          </xdr:nvSpPr>
          <xdr:spPr>
            <a:xfrm>
              <a:off x="5917095" y="8353544"/>
              <a:ext cx="1139687" cy="797081"/>
            </a:xfrm>
            <a:prstGeom prst="flowChartDecision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000"/>
                <a:t>Node Murni</a:t>
              </a:r>
            </a:p>
          </xdr:txBody>
        </xdr:sp>
        <xdr:cxnSp macro="">
          <xdr:nvCxnSpPr>
            <xdr:cNvPr id="86" name="Straight Arrow Connector 85"/>
            <xdr:cNvCxnSpPr/>
          </xdr:nvCxnSpPr>
          <xdr:spPr>
            <a:xfrm>
              <a:off x="6489432" y="8040474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87" name="Flowchart: Predefined Process 86"/>
            <xdr:cNvSpPr/>
          </xdr:nvSpPr>
          <xdr:spPr>
            <a:xfrm>
              <a:off x="5460122" y="9481975"/>
              <a:ext cx="2071646" cy="478037"/>
            </a:xfrm>
            <a:prstGeom prst="flowChartPredefined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Menghitung Nilai </a:t>
              </a:r>
              <a:r>
                <a:rPr lang="id-ID" sz="1100" i="1"/>
                <a:t>Fuzzy Entropy</a:t>
              </a:r>
              <a:r>
                <a:rPr lang="id-ID" sz="1100" i="0" baseline="0"/>
                <a:t> Seluruh Data</a:t>
              </a:r>
              <a:endParaRPr lang="id-ID" sz="1100" i="1"/>
            </a:p>
          </xdr:txBody>
        </xdr:sp>
        <xdr:cxnSp macro="">
          <xdr:nvCxnSpPr>
            <xdr:cNvPr id="88" name="Straight Arrow Connector 87"/>
            <xdr:cNvCxnSpPr/>
          </xdr:nvCxnSpPr>
          <xdr:spPr>
            <a:xfrm>
              <a:off x="6493618" y="9163011"/>
              <a:ext cx="649" cy="30836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89" name="Flowchart: Predefined Process 88"/>
            <xdr:cNvSpPr/>
          </xdr:nvSpPr>
          <xdr:spPr>
            <a:xfrm>
              <a:off x="5472154" y="10286204"/>
              <a:ext cx="2071646" cy="478037"/>
            </a:xfrm>
            <a:prstGeom prst="flowChartPredefined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Menghitung Nilai </a:t>
              </a:r>
              <a:r>
                <a:rPr lang="id-ID" sz="1100" i="1"/>
                <a:t>Fuzzy Entropy </a:t>
              </a:r>
              <a:r>
                <a:rPr lang="id-ID" sz="1100" i="0"/>
                <a:t>Tiap</a:t>
              </a:r>
              <a:r>
                <a:rPr lang="id-ID" sz="1100" i="0" baseline="0"/>
                <a:t> Atribut</a:t>
              </a:r>
              <a:endParaRPr lang="id-ID" sz="1100" i="1"/>
            </a:p>
          </xdr:txBody>
        </xdr:sp>
        <xdr:cxnSp macro="">
          <xdr:nvCxnSpPr>
            <xdr:cNvPr id="90" name="Straight Arrow Connector 89"/>
            <xdr:cNvCxnSpPr/>
          </xdr:nvCxnSpPr>
          <xdr:spPr>
            <a:xfrm>
              <a:off x="6509660" y="9972429"/>
              <a:ext cx="649" cy="30317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1" name="Flowchart: Predefined Process 90"/>
            <xdr:cNvSpPr/>
          </xdr:nvSpPr>
          <xdr:spPr>
            <a:xfrm>
              <a:off x="5488196" y="11091611"/>
              <a:ext cx="2071646" cy="618653"/>
            </a:xfrm>
            <a:prstGeom prst="flowChartPredefined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Menghitung</a:t>
              </a:r>
              <a:r>
                <a:rPr lang="id-ID" sz="1100" baseline="0"/>
                <a:t> Nilai </a:t>
              </a:r>
              <a:r>
                <a:rPr lang="id-ID" sz="1100" i="1" baseline="0"/>
                <a:t>Information Gain</a:t>
              </a:r>
              <a:r>
                <a:rPr lang="id-ID" sz="1100" i="0" baseline="0"/>
                <a:t> Tiap Atribut</a:t>
              </a:r>
              <a:endParaRPr lang="id-ID" sz="1100" i="1"/>
            </a:p>
          </xdr:txBody>
        </xdr:sp>
        <xdr:cxnSp macro="">
          <xdr:nvCxnSpPr>
            <xdr:cNvPr id="92" name="Straight Arrow Connector 91"/>
            <xdr:cNvCxnSpPr/>
          </xdr:nvCxnSpPr>
          <xdr:spPr>
            <a:xfrm>
              <a:off x="6525702" y="10772648"/>
              <a:ext cx="649" cy="30836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" name="Straight Arrow Connector 92"/>
            <xdr:cNvCxnSpPr/>
          </xdr:nvCxnSpPr>
          <xdr:spPr>
            <a:xfrm>
              <a:off x="6541744" y="11721256"/>
              <a:ext cx="649" cy="30317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4" name="Flowchart: Process 93"/>
            <xdr:cNvSpPr/>
          </xdr:nvSpPr>
          <xdr:spPr>
            <a:xfrm>
              <a:off x="5539791" y="12024738"/>
              <a:ext cx="2014541" cy="460422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Memilih Atribut dengan </a:t>
              </a:r>
              <a:r>
                <a:rPr lang="id-ID" sz="1100" i="1"/>
                <a:t>Gain</a:t>
              </a:r>
              <a:r>
                <a:rPr lang="id-ID" sz="1100" i="1" baseline="0"/>
                <a:t> </a:t>
              </a:r>
              <a:r>
                <a:rPr lang="id-ID" sz="1100" i="0" baseline="0"/>
                <a:t>Terbesar</a:t>
              </a:r>
              <a:endParaRPr lang="id-ID" sz="1100"/>
            </a:p>
          </xdr:txBody>
        </xdr:sp>
        <xdr:cxnSp macro="">
          <xdr:nvCxnSpPr>
            <xdr:cNvPr id="95" name="Straight Arrow Connector 94"/>
            <xdr:cNvCxnSpPr/>
          </xdr:nvCxnSpPr>
          <xdr:spPr>
            <a:xfrm>
              <a:off x="6549765" y="12486559"/>
              <a:ext cx="649" cy="30317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6" name="Flowchart: Process 95"/>
            <xdr:cNvSpPr/>
          </xdr:nvSpPr>
          <xdr:spPr>
            <a:xfrm>
              <a:off x="5547812" y="12790041"/>
              <a:ext cx="2014541" cy="460424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Menghitung</a:t>
              </a:r>
              <a:r>
                <a:rPr lang="id-ID" sz="1100" baseline="0"/>
                <a:t> </a:t>
              </a:r>
              <a:r>
                <a:rPr lang="id-ID" sz="1100" i="1" baseline="0"/>
                <a:t>Information Gain </a:t>
              </a:r>
              <a:r>
                <a:rPr lang="id-ID" sz="1100" i="0" baseline="0"/>
                <a:t>Subnode baru tiap </a:t>
              </a:r>
              <a:r>
                <a:rPr lang="id-ID" sz="1100" i="1" baseline="0"/>
                <a:t>record</a:t>
              </a:r>
              <a:endParaRPr lang="id-ID" sz="1100"/>
            </a:p>
          </xdr:txBody>
        </xdr:sp>
        <xdr:cxnSp macro="">
          <xdr:nvCxnSpPr>
            <xdr:cNvPr id="97" name="Straight Arrow Connector 96"/>
            <xdr:cNvCxnSpPr/>
          </xdr:nvCxnSpPr>
          <xdr:spPr>
            <a:xfrm>
              <a:off x="6561796" y="13251864"/>
              <a:ext cx="649" cy="30317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8" name="Flowchart: Process 97"/>
            <xdr:cNvSpPr/>
          </xdr:nvSpPr>
          <xdr:spPr>
            <a:xfrm>
              <a:off x="5559843" y="13555345"/>
              <a:ext cx="2014541" cy="455233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Menghitung Proporsi</a:t>
              </a:r>
              <a:r>
                <a:rPr lang="id-ID" sz="1100" baseline="0"/>
                <a:t> Tiap Kelas pada tiap </a:t>
              </a:r>
              <a:r>
                <a:rPr lang="id-ID" sz="1100" i="1" baseline="0"/>
                <a:t>node</a:t>
              </a:r>
              <a:endParaRPr lang="id-ID" sz="1100"/>
            </a:p>
          </xdr:txBody>
        </xdr:sp>
        <xdr:cxnSp macro="">
          <xdr:nvCxnSpPr>
            <xdr:cNvPr id="99" name="Straight Arrow Connector 98"/>
            <xdr:cNvCxnSpPr/>
          </xdr:nvCxnSpPr>
          <xdr:spPr>
            <a:xfrm>
              <a:off x="6565806" y="14011976"/>
              <a:ext cx="649" cy="30836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00" name="Flowchart: Process 99"/>
                <xdr:cNvSpPr/>
              </xdr:nvSpPr>
              <xdr:spPr>
                <a:xfrm>
                  <a:off x="5563853" y="14320647"/>
                  <a:ext cx="2014541" cy="455234"/>
                </a:xfrm>
                <a:prstGeom prst="flowChartProcess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id-ID" sz="1100"/>
                    <a:t>Membandingkan Proporsi dengan FCT </a:t>
                  </a:r>
                  <a14:m>
                    <m:oMath xmlns:m="http://schemas.openxmlformats.org/officeDocument/2006/math">
                      <m:r>
                        <a:rPr lang="id-ID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id-ID" sz="1100" i="1">
                          <a:latin typeface="Cambria Math" panose="02040503050406030204" pitchFamily="18" charset="0"/>
                        </a:rPr>
                        <m:t>𝜃</m:t>
                      </m:r>
                      <m:r>
                        <a:rPr lang="id-ID" sz="1100" b="0" i="1">
                          <a:latin typeface="Cambria Math" panose="02040503050406030204" pitchFamily="18" charset="0"/>
                        </a:rPr>
                        <m:t>𝑟</m:t>
                      </m:r>
                      <m:r>
                        <a:rPr lang="id-ID" sz="1100" b="0" i="1">
                          <a:latin typeface="Cambria Math" panose="02040503050406030204" pitchFamily="18" charset="0"/>
                        </a:rPr>
                        <m:t>)</m:t>
                      </m:r>
                    </m:oMath>
                  </a14:m>
                  <a:endParaRPr lang="id-ID" sz="1100"/>
                </a:p>
              </xdr:txBody>
            </xdr:sp>
          </mc:Choice>
          <mc:Fallback xmlns="">
            <xdr:sp macro="" textlink="">
              <xdr:nvSpPr>
                <xdr:cNvPr id="100" name="Flowchart: Process 99"/>
                <xdr:cNvSpPr/>
              </xdr:nvSpPr>
              <xdr:spPr>
                <a:xfrm>
                  <a:off x="5563853" y="14320647"/>
                  <a:ext cx="2014541" cy="455234"/>
                </a:xfrm>
                <a:prstGeom prst="flowChartProcess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id-ID" sz="1100"/>
                    <a:t>Membandingkan Proporsi dengan FCT </a:t>
                  </a:r>
                  <a:r>
                    <a:rPr lang="id-ID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</a:t>
                  </a:r>
                  <a:r>
                    <a:rPr lang="id-ID" sz="1100" i="0">
                      <a:latin typeface="Cambria Math" panose="02040503050406030204" pitchFamily="18" charset="0"/>
                    </a:rPr>
                    <a:t>𝜃</a:t>
                  </a:r>
                  <a:r>
                    <a:rPr lang="id-ID" sz="1100" b="0" i="0">
                      <a:latin typeface="Cambria Math" panose="02040503050406030204" pitchFamily="18" charset="0"/>
                    </a:rPr>
                    <a:t>𝑟)</a:t>
                  </a:r>
                  <a:endParaRPr lang="id-ID" sz="1100"/>
                </a:p>
              </xdr:txBody>
            </xdr:sp>
          </mc:Fallback>
        </mc:AlternateContent>
        <xdr:cxnSp macro="">
          <xdr:nvCxnSpPr>
            <xdr:cNvPr id="101" name="Straight Arrow Connector 100"/>
            <xdr:cNvCxnSpPr/>
          </xdr:nvCxnSpPr>
          <xdr:spPr>
            <a:xfrm>
              <a:off x="6597890" y="14781290"/>
              <a:ext cx="649" cy="30317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02" name="Flowchart: Process 101"/>
                <xdr:cNvSpPr/>
              </xdr:nvSpPr>
              <xdr:spPr>
                <a:xfrm>
                  <a:off x="5595937" y="15084771"/>
                  <a:ext cx="2014541" cy="460423"/>
                </a:xfrm>
                <a:prstGeom prst="flowChartProcess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id-ID" sz="1100"/>
                    <a:t>Membandingkan Proporsi dengan FCT </a:t>
                  </a:r>
                  <a14:m>
                    <m:oMath xmlns:m="http://schemas.openxmlformats.org/officeDocument/2006/math">
                      <m:r>
                        <a:rPr lang="id-ID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id-ID" sz="1100" i="1">
                          <a:latin typeface="Cambria Math" panose="02040503050406030204" pitchFamily="18" charset="0"/>
                        </a:rPr>
                        <m:t>𝜃</m:t>
                      </m:r>
                      <m:r>
                        <a:rPr lang="id-ID" sz="1100" b="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id-ID" sz="1100" b="0" i="1">
                          <a:latin typeface="Cambria Math" panose="02040503050406030204" pitchFamily="18" charset="0"/>
                        </a:rPr>
                        <m:t>)</m:t>
                      </m:r>
                    </m:oMath>
                  </a14:m>
                  <a:endParaRPr lang="id-ID" sz="1100"/>
                </a:p>
              </xdr:txBody>
            </xdr:sp>
          </mc:Choice>
          <mc:Fallback xmlns="">
            <xdr:sp macro="" textlink="">
              <xdr:nvSpPr>
                <xdr:cNvPr id="102" name="Flowchart: Process 101"/>
                <xdr:cNvSpPr/>
              </xdr:nvSpPr>
              <xdr:spPr>
                <a:xfrm>
                  <a:off x="5595937" y="15084771"/>
                  <a:ext cx="2014541" cy="460423"/>
                </a:xfrm>
                <a:prstGeom prst="flowChartProcess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id-ID" sz="1100"/>
                    <a:t>Membandingkan Proporsi dengan FCT </a:t>
                  </a:r>
                  <a:r>
                    <a:rPr lang="id-ID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</a:t>
                  </a:r>
                  <a:r>
                    <a:rPr lang="id-ID" sz="1100" i="0">
                      <a:latin typeface="Cambria Math" panose="02040503050406030204" pitchFamily="18" charset="0"/>
                    </a:rPr>
                    <a:t>𝜃</a:t>
                  </a:r>
                  <a:r>
                    <a:rPr lang="id-ID" sz="1100" b="0" i="0">
                      <a:latin typeface="Cambria Math" panose="02040503050406030204" pitchFamily="18" charset="0"/>
                    </a:rPr>
                    <a:t>𝑛)</a:t>
                  </a:r>
                  <a:endParaRPr lang="id-ID" sz="1100"/>
                </a:p>
              </xdr:txBody>
            </xdr:sp>
          </mc:Fallback>
        </mc:AlternateContent>
        <xdr:cxnSp macro="">
          <xdr:nvCxnSpPr>
            <xdr:cNvPr id="103" name="Straight Arrow Connector 102"/>
            <xdr:cNvCxnSpPr/>
          </xdr:nvCxnSpPr>
          <xdr:spPr>
            <a:xfrm>
              <a:off x="6625790" y="15552693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04" name="Flowchart: Decision 103"/>
                <xdr:cNvSpPr/>
              </xdr:nvSpPr>
              <xdr:spPr>
                <a:xfrm>
                  <a:off x="5844905" y="15855821"/>
                  <a:ext cx="1570558" cy="954889"/>
                </a:xfrm>
                <a:prstGeom prst="flowChartDecision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700"/>
                    <a:t>Proporsi</a:t>
                  </a:r>
                  <a:r>
                    <a:rPr lang="id-ID" sz="700" baseline="0"/>
                    <a:t> &lt; </a:t>
                  </a:r>
                  <a14:m>
                    <m:oMath xmlns:m="http://schemas.openxmlformats.org/officeDocument/2006/math">
                      <m:r>
                        <a:rPr lang="id-ID" sz="9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  <m:r>
                        <a:rPr lang="id-ID" sz="9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oMath>
                  </a14:m>
                  <a:r>
                    <a:rPr lang="id-ID" sz="700"/>
                    <a:t> atau jumlah </a:t>
                  </a:r>
                  <a:r>
                    <a:rPr lang="id-ID" sz="700" i="1"/>
                    <a:t>record </a:t>
                  </a:r>
                  <a:r>
                    <a:rPr lang="id-ID" sz="700" i="0"/>
                    <a:t>&gt;</a:t>
                  </a:r>
                  <a:r>
                    <a:rPr lang="id-ID" sz="700" i="0" baseline="0"/>
                    <a:t> </a:t>
                  </a:r>
                  <a14:m>
                    <m:oMath xmlns:m="http://schemas.openxmlformats.org/officeDocument/2006/math">
                      <m:r>
                        <a:rPr lang="id-ID" sz="9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  <m:r>
                        <a:rPr lang="id-ID" sz="9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oMath>
                  </a14:m>
                  <a:endParaRPr lang="id-ID" sz="700"/>
                </a:p>
              </xdr:txBody>
            </xdr:sp>
          </mc:Choice>
          <mc:Fallback xmlns="">
            <xdr:sp macro="" textlink="">
              <xdr:nvSpPr>
                <xdr:cNvPr id="104" name="Flowchart: Decision 103"/>
                <xdr:cNvSpPr/>
              </xdr:nvSpPr>
              <xdr:spPr>
                <a:xfrm>
                  <a:off x="5844905" y="15855821"/>
                  <a:ext cx="1570558" cy="954889"/>
                </a:xfrm>
                <a:prstGeom prst="flowChartDecision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id-ID" sz="700"/>
                    <a:t>Proporsi</a:t>
                  </a:r>
                  <a:r>
                    <a:rPr lang="id-ID" sz="700" baseline="0"/>
                    <a:t> &lt; </a:t>
                  </a:r>
                  <a:r>
                    <a:rPr lang="id-ID" sz="90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𝜃</a:t>
                  </a:r>
                  <a:r>
                    <a:rPr lang="id-ID" sz="9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𝑟</a:t>
                  </a:r>
                  <a:r>
                    <a:rPr lang="id-ID" sz="700"/>
                    <a:t> atau jumlah </a:t>
                  </a:r>
                  <a:r>
                    <a:rPr lang="id-ID" sz="700" i="1"/>
                    <a:t>record </a:t>
                  </a:r>
                  <a:r>
                    <a:rPr lang="id-ID" sz="700" i="0"/>
                    <a:t>&gt;</a:t>
                  </a:r>
                  <a:r>
                    <a:rPr lang="id-ID" sz="700" i="0" baseline="0"/>
                    <a:t> </a:t>
                  </a:r>
                  <a:r>
                    <a:rPr lang="id-ID" sz="90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𝜃</a:t>
                  </a:r>
                  <a:r>
                    <a:rPr lang="id-ID" sz="9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𝑛</a:t>
                  </a:r>
                  <a:endParaRPr lang="id-ID" sz="700"/>
                </a:p>
              </xdr:txBody>
            </xdr:sp>
          </mc:Fallback>
        </mc:AlternateContent>
        <xdr:cxnSp macro="">
          <xdr:nvCxnSpPr>
            <xdr:cNvPr id="108" name="Elbow Connector 107"/>
            <xdr:cNvCxnSpPr/>
          </xdr:nvCxnSpPr>
          <xdr:spPr>
            <a:xfrm rot="10800000" flipH="1">
              <a:off x="5860947" y="8750672"/>
              <a:ext cx="72190" cy="7575991"/>
            </a:xfrm>
            <a:prstGeom prst="bentConnector3">
              <a:avLst>
                <a:gd name="adj1" fmla="val -1061104"/>
              </a:avLst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" name="Straight Arrow Connector 109"/>
            <xdr:cNvCxnSpPr/>
          </xdr:nvCxnSpPr>
          <xdr:spPr>
            <a:xfrm>
              <a:off x="6633985" y="16817693"/>
              <a:ext cx="649" cy="30317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1" name="Flowchart: Process 110"/>
            <xdr:cNvSpPr/>
          </xdr:nvSpPr>
          <xdr:spPr>
            <a:xfrm>
              <a:off x="5948861" y="17121175"/>
              <a:ext cx="1386389" cy="455233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Ekspansi </a:t>
              </a:r>
              <a:r>
                <a:rPr lang="id-ID" sz="1100" i="1"/>
                <a:t>tree</a:t>
              </a:r>
              <a:r>
                <a:rPr lang="id-ID" sz="1100" i="0" baseline="0"/>
                <a:t> selesai</a:t>
              </a:r>
              <a:endParaRPr lang="id-ID" sz="1100"/>
            </a:p>
          </xdr:txBody>
        </xdr:sp>
        <xdr:sp macro="" textlink="">
          <xdr:nvSpPr>
            <xdr:cNvPr id="112" name="Parallelogram 111"/>
            <xdr:cNvSpPr/>
          </xdr:nvSpPr>
          <xdr:spPr>
            <a:xfrm>
              <a:off x="6221781" y="17891015"/>
              <a:ext cx="856800" cy="374983"/>
            </a:xfrm>
            <a:prstGeom prst="parallelogram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ID3</a:t>
              </a:r>
            </a:p>
          </xdr:txBody>
        </xdr:sp>
        <xdr:cxnSp macro="">
          <xdr:nvCxnSpPr>
            <xdr:cNvPr id="113" name="Straight Arrow Connector 112"/>
            <xdr:cNvCxnSpPr/>
          </xdr:nvCxnSpPr>
          <xdr:spPr>
            <a:xfrm>
              <a:off x="6654037" y="17577806"/>
              <a:ext cx="649" cy="30836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4" name="Rounded Rectangle 113"/>
            <xdr:cNvSpPr/>
          </xdr:nvSpPr>
          <xdr:spPr>
            <a:xfrm>
              <a:off x="6243047" y="18555180"/>
              <a:ext cx="822960" cy="342867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Kembali</a:t>
              </a:r>
            </a:p>
          </xdr:txBody>
        </xdr:sp>
        <xdr:cxnSp macro="">
          <xdr:nvCxnSpPr>
            <xdr:cNvPr id="115" name="Straight Arrow Connector 114"/>
            <xdr:cNvCxnSpPr/>
          </xdr:nvCxnSpPr>
          <xdr:spPr>
            <a:xfrm>
              <a:off x="6656479" y="18264772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9" name="Flowchart: Process 118"/>
            <xdr:cNvSpPr/>
          </xdr:nvSpPr>
          <xdr:spPr>
            <a:xfrm>
              <a:off x="6721642" y="16861667"/>
              <a:ext cx="573505" cy="168442"/>
            </a:xfrm>
            <a:prstGeom prst="flowChartProcess">
              <a:avLst/>
            </a:prstGeom>
            <a:ln>
              <a:solidFill>
                <a:schemeClr val="bg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800"/>
                <a:t>Tidak</a:t>
              </a:r>
              <a:endParaRPr lang="id-ID" sz="1100"/>
            </a:p>
          </xdr:txBody>
        </xdr:sp>
        <xdr:sp macro="" textlink="">
          <xdr:nvSpPr>
            <xdr:cNvPr id="121" name="Flowchart: Process 120"/>
            <xdr:cNvSpPr/>
          </xdr:nvSpPr>
          <xdr:spPr>
            <a:xfrm>
              <a:off x="6557211" y="9160041"/>
              <a:ext cx="573505" cy="168442"/>
            </a:xfrm>
            <a:prstGeom prst="flowChartProcess">
              <a:avLst/>
            </a:prstGeom>
            <a:ln>
              <a:solidFill>
                <a:schemeClr val="bg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800"/>
                <a:t>Tidak</a:t>
              </a:r>
              <a:endParaRPr lang="id-ID" sz="1100"/>
            </a:p>
          </xdr:txBody>
        </xdr:sp>
        <xdr:sp macro="" textlink="">
          <xdr:nvSpPr>
            <xdr:cNvPr id="122" name="Flowchart: Process 121"/>
            <xdr:cNvSpPr/>
          </xdr:nvSpPr>
          <xdr:spPr>
            <a:xfrm>
              <a:off x="7062537" y="8547139"/>
              <a:ext cx="573505" cy="163252"/>
            </a:xfrm>
            <a:prstGeom prst="flowChartProcess">
              <a:avLst/>
            </a:prstGeom>
            <a:ln>
              <a:solidFill>
                <a:schemeClr val="bg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800"/>
                <a:t>Ya</a:t>
              </a:r>
              <a:endParaRPr lang="id-ID" sz="1100"/>
            </a:p>
          </xdr:txBody>
        </xdr:sp>
      </xdr:grpSp>
    </xdr:grpSp>
    <xdr:clientData/>
  </xdr:twoCellAnchor>
  <xdr:twoCellAnchor>
    <xdr:from>
      <xdr:col>15</xdr:col>
      <xdr:colOff>99225</xdr:colOff>
      <xdr:row>38</xdr:row>
      <xdr:rowOff>54872</xdr:rowOff>
    </xdr:from>
    <xdr:to>
      <xdr:col>18</xdr:col>
      <xdr:colOff>342071</xdr:colOff>
      <xdr:row>40</xdr:row>
      <xdr:rowOff>174320</xdr:rowOff>
    </xdr:to>
    <xdr:sp macro="" textlink="">
      <xdr:nvSpPr>
        <xdr:cNvPr id="132" name="Flowchart: Predefined Process 131"/>
        <xdr:cNvSpPr/>
      </xdr:nvSpPr>
      <xdr:spPr>
        <a:xfrm>
          <a:off x="9243225" y="6868048"/>
          <a:ext cx="2071646" cy="478037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Menghitung Nilai </a:t>
          </a:r>
          <a:r>
            <a:rPr lang="id-ID" sz="1100" i="1"/>
            <a:t>Fuzzy Entropy</a:t>
          </a:r>
          <a:r>
            <a:rPr lang="id-ID" sz="1100" i="0" baseline="0"/>
            <a:t> Seluruh Data</a:t>
          </a:r>
          <a:endParaRPr lang="id-ID" sz="1100" i="1"/>
        </a:p>
      </xdr:txBody>
    </xdr:sp>
    <xdr:clientData/>
  </xdr:twoCellAnchor>
  <xdr:twoCellAnchor>
    <xdr:from>
      <xdr:col>16</xdr:col>
      <xdr:colOff>497653</xdr:colOff>
      <xdr:row>41</xdr:row>
      <xdr:rowOff>72802</xdr:rowOff>
    </xdr:from>
    <xdr:to>
      <xdr:col>21</xdr:col>
      <xdr:colOff>116540</xdr:colOff>
      <xdr:row>58</xdr:row>
      <xdr:rowOff>119485</xdr:rowOff>
    </xdr:to>
    <xdr:grpSp>
      <xdr:nvGrpSpPr>
        <xdr:cNvPr id="142" name="Group 141"/>
        <xdr:cNvGrpSpPr/>
      </xdr:nvGrpSpPr>
      <xdr:grpSpPr>
        <a:xfrm>
          <a:off x="10251253" y="7423861"/>
          <a:ext cx="2666887" cy="3094683"/>
          <a:chOff x="10251253" y="7352141"/>
          <a:chExt cx="2666887" cy="3094683"/>
        </a:xfrm>
      </xdr:grpSpPr>
      <xdr:sp macro="" textlink="">
        <xdr:nvSpPr>
          <xdr:cNvPr id="133" name="Rounded Rectangle 132"/>
          <xdr:cNvSpPr/>
        </xdr:nvSpPr>
        <xdr:spPr>
          <a:xfrm>
            <a:off x="11183890" y="7352141"/>
            <a:ext cx="822960" cy="34286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Mulai</a:t>
            </a:r>
          </a:p>
        </xdr:txBody>
      </xdr:sp>
      <xdr:cxnSp macro="">
        <xdr:nvCxnSpPr>
          <xdr:cNvPr id="134" name="Straight Arrow Connector 133"/>
          <xdr:cNvCxnSpPr/>
        </xdr:nvCxnSpPr>
        <xdr:spPr>
          <a:xfrm>
            <a:off x="11601333" y="7695868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5" name="Parallelogram 134"/>
          <xdr:cNvSpPr/>
        </xdr:nvSpPr>
        <xdr:spPr>
          <a:xfrm>
            <a:off x="10561040" y="7996041"/>
            <a:ext cx="2061266" cy="374983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Probabilitas</a:t>
            </a:r>
            <a:r>
              <a:rPr lang="id-ID" sz="1100" baseline="0"/>
              <a:t> Tiap Kelas</a:t>
            </a:r>
            <a:endParaRPr lang="id-ID" sz="1100"/>
          </a:p>
        </xdr:txBody>
      </xdr:sp>
      <xdr:cxnSp macro="">
        <xdr:nvCxnSpPr>
          <xdr:cNvPr id="136" name="Straight Arrow Connector 135"/>
          <xdr:cNvCxnSpPr/>
        </xdr:nvCxnSpPr>
        <xdr:spPr>
          <a:xfrm>
            <a:off x="11594707" y="8381133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7" name="Flowchart: Process 136"/>
          <xdr:cNvSpPr/>
        </xdr:nvSpPr>
        <xdr:spPr>
          <a:xfrm>
            <a:off x="10471392" y="8678917"/>
            <a:ext cx="2249525" cy="455233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Menghitung Nilai </a:t>
            </a:r>
            <a:r>
              <a:rPr lang="id-ID" sz="1100" i="1"/>
              <a:t>Fuzzy Entropy</a:t>
            </a:r>
            <a:r>
              <a:rPr lang="id-ID" sz="1100" i="1" baseline="0"/>
              <a:t> </a:t>
            </a:r>
            <a:r>
              <a:rPr lang="id-ID" sz="1100" i="0" baseline="0"/>
              <a:t>keseluruhan Data</a:t>
            </a:r>
            <a:endParaRPr lang="id-ID" sz="1100"/>
          </a:p>
        </xdr:txBody>
      </xdr:sp>
      <xdr:sp macro="" textlink="">
        <xdr:nvSpPr>
          <xdr:cNvPr id="138" name="Parallelogram 137"/>
          <xdr:cNvSpPr/>
        </xdr:nvSpPr>
        <xdr:spPr>
          <a:xfrm>
            <a:off x="10251253" y="9421863"/>
            <a:ext cx="2666887" cy="374983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 i="1"/>
              <a:t>Fuzzy</a:t>
            </a:r>
            <a:r>
              <a:rPr lang="id-ID" sz="1100" i="1" baseline="0"/>
              <a:t> Entropy </a:t>
            </a:r>
            <a:r>
              <a:rPr lang="id-ID" sz="1100" i="0" baseline="0"/>
              <a:t>Keseluruhan Data</a:t>
            </a:r>
            <a:endParaRPr lang="id-ID" sz="1100" i="1"/>
          </a:p>
        </xdr:txBody>
      </xdr:sp>
      <xdr:cxnSp macro="">
        <xdr:nvCxnSpPr>
          <xdr:cNvPr id="139" name="Straight Arrow Connector 138"/>
          <xdr:cNvCxnSpPr/>
        </xdr:nvCxnSpPr>
        <xdr:spPr>
          <a:xfrm>
            <a:off x="11588945" y="9126583"/>
            <a:ext cx="649" cy="30836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0" name="Rounded Rectangle 139"/>
          <xdr:cNvSpPr/>
        </xdr:nvSpPr>
        <xdr:spPr>
          <a:xfrm>
            <a:off x="11177955" y="10103957"/>
            <a:ext cx="822960" cy="342867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Kembali</a:t>
            </a:r>
          </a:p>
        </xdr:txBody>
      </xdr:sp>
      <xdr:cxnSp macro="">
        <xdr:nvCxnSpPr>
          <xdr:cNvPr id="141" name="Straight Arrow Connector 140"/>
          <xdr:cNvCxnSpPr/>
        </xdr:nvCxnSpPr>
        <xdr:spPr>
          <a:xfrm>
            <a:off x="11591387" y="9813549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36476</xdr:colOff>
      <xdr:row>61</xdr:row>
      <xdr:rowOff>36943</xdr:rowOff>
    </xdr:from>
    <xdr:to>
      <xdr:col>18</xdr:col>
      <xdr:colOff>279322</xdr:colOff>
      <xdr:row>63</xdr:row>
      <xdr:rowOff>156392</xdr:rowOff>
    </xdr:to>
    <xdr:sp macro="" textlink="">
      <xdr:nvSpPr>
        <xdr:cNvPr id="143" name="Flowchart: Predefined Process 142"/>
        <xdr:cNvSpPr/>
      </xdr:nvSpPr>
      <xdr:spPr>
        <a:xfrm>
          <a:off x="9180476" y="10973884"/>
          <a:ext cx="2071646" cy="478037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Menghitung Nilai </a:t>
          </a:r>
          <a:r>
            <a:rPr lang="id-ID" sz="1100" i="1"/>
            <a:t>Fuzzy Entropy </a:t>
          </a:r>
          <a:r>
            <a:rPr lang="id-ID" sz="1100" i="0"/>
            <a:t>Tiap</a:t>
          </a:r>
          <a:r>
            <a:rPr lang="id-ID" sz="1100" i="0" baseline="0"/>
            <a:t> Atribut</a:t>
          </a:r>
          <a:endParaRPr lang="id-ID" sz="1100" i="1"/>
        </a:p>
      </xdr:txBody>
    </xdr:sp>
    <xdr:clientData/>
  </xdr:twoCellAnchor>
  <xdr:twoCellAnchor>
    <xdr:from>
      <xdr:col>15</xdr:col>
      <xdr:colOff>350243</xdr:colOff>
      <xdr:row>64</xdr:row>
      <xdr:rowOff>99696</xdr:rowOff>
    </xdr:from>
    <xdr:to>
      <xdr:col>22</xdr:col>
      <xdr:colOff>466168</xdr:colOff>
      <xdr:row>81</xdr:row>
      <xdr:rowOff>146379</xdr:rowOff>
    </xdr:to>
    <xdr:grpSp>
      <xdr:nvGrpSpPr>
        <xdr:cNvPr id="144" name="Group 143"/>
        <xdr:cNvGrpSpPr/>
      </xdr:nvGrpSpPr>
      <xdr:grpSpPr>
        <a:xfrm>
          <a:off x="9494243" y="11574520"/>
          <a:ext cx="4383125" cy="3094683"/>
          <a:chOff x="9404595" y="7352141"/>
          <a:chExt cx="4383125" cy="3094683"/>
        </a:xfrm>
      </xdr:grpSpPr>
      <xdr:sp macro="" textlink="">
        <xdr:nvSpPr>
          <xdr:cNvPr id="145" name="Rounded Rectangle 144"/>
          <xdr:cNvSpPr/>
        </xdr:nvSpPr>
        <xdr:spPr>
          <a:xfrm>
            <a:off x="11183890" y="7352141"/>
            <a:ext cx="822960" cy="34286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Mulai</a:t>
            </a:r>
          </a:p>
        </xdr:txBody>
      </xdr:sp>
      <xdr:cxnSp macro="">
        <xdr:nvCxnSpPr>
          <xdr:cNvPr id="146" name="Straight Arrow Connector 145"/>
          <xdr:cNvCxnSpPr/>
        </xdr:nvCxnSpPr>
        <xdr:spPr>
          <a:xfrm>
            <a:off x="11601333" y="7695868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7" name="Parallelogram 146"/>
          <xdr:cNvSpPr/>
        </xdr:nvSpPr>
        <xdr:spPr>
          <a:xfrm>
            <a:off x="9404595" y="7996040"/>
            <a:ext cx="4383125" cy="374983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Probabilitas Nilai Keanggotaan Tiap Kelas pada</a:t>
            </a:r>
            <a:r>
              <a:rPr lang="id-ID" sz="1100" baseline="0"/>
              <a:t> Tiap Atribut</a:t>
            </a:r>
            <a:endParaRPr lang="id-ID" sz="1100"/>
          </a:p>
        </xdr:txBody>
      </xdr:sp>
      <xdr:cxnSp macro="">
        <xdr:nvCxnSpPr>
          <xdr:cNvPr id="148" name="Straight Arrow Connector 147"/>
          <xdr:cNvCxnSpPr/>
        </xdr:nvCxnSpPr>
        <xdr:spPr>
          <a:xfrm>
            <a:off x="11594707" y="8381133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9" name="Flowchart: Process 148"/>
          <xdr:cNvSpPr/>
        </xdr:nvSpPr>
        <xdr:spPr>
          <a:xfrm>
            <a:off x="10471392" y="8678917"/>
            <a:ext cx="2249525" cy="455233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Menghitung Nilai </a:t>
            </a:r>
            <a:r>
              <a:rPr lang="id-ID" sz="1100" i="1"/>
              <a:t>Fuzzy Entropy</a:t>
            </a:r>
            <a:r>
              <a:rPr lang="id-ID" sz="1100" i="1" baseline="0"/>
              <a:t> </a:t>
            </a:r>
            <a:r>
              <a:rPr lang="id-ID" sz="1100" i="0" baseline="0"/>
              <a:t>Tiap Atribut</a:t>
            </a:r>
          </a:p>
        </xdr:txBody>
      </xdr:sp>
      <xdr:sp macro="" textlink="">
        <xdr:nvSpPr>
          <xdr:cNvPr id="150" name="Parallelogram 149"/>
          <xdr:cNvSpPr/>
        </xdr:nvSpPr>
        <xdr:spPr>
          <a:xfrm>
            <a:off x="10251253" y="9421863"/>
            <a:ext cx="2666887" cy="374983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 i="1"/>
              <a:t>Fuzzy</a:t>
            </a:r>
            <a:r>
              <a:rPr lang="id-ID" sz="1100" i="1" baseline="0"/>
              <a:t> Entropy </a:t>
            </a:r>
            <a:r>
              <a:rPr lang="id-ID" sz="1100" i="0" baseline="0"/>
              <a:t>Suatu Atribut</a:t>
            </a:r>
            <a:endParaRPr lang="id-ID" sz="1100" i="1"/>
          </a:p>
        </xdr:txBody>
      </xdr:sp>
      <xdr:cxnSp macro="">
        <xdr:nvCxnSpPr>
          <xdr:cNvPr id="151" name="Straight Arrow Connector 150"/>
          <xdr:cNvCxnSpPr/>
        </xdr:nvCxnSpPr>
        <xdr:spPr>
          <a:xfrm>
            <a:off x="11588945" y="9126583"/>
            <a:ext cx="649" cy="30836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2" name="Rounded Rectangle 151"/>
          <xdr:cNvSpPr/>
        </xdr:nvSpPr>
        <xdr:spPr>
          <a:xfrm>
            <a:off x="11177955" y="10103957"/>
            <a:ext cx="822960" cy="342867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Kembali</a:t>
            </a:r>
          </a:p>
        </xdr:txBody>
      </xdr:sp>
      <xdr:cxnSp macro="">
        <xdr:nvCxnSpPr>
          <xdr:cNvPr id="153" name="Straight Arrow Connector 152"/>
          <xdr:cNvCxnSpPr/>
        </xdr:nvCxnSpPr>
        <xdr:spPr>
          <a:xfrm>
            <a:off x="11591387" y="9813549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117158</xdr:colOff>
      <xdr:row>38</xdr:row>
      <xdr:rowOff>63837</xdr:rowOff>
    </xdr:from>
    <xdr:to>
      <xdr:col>26</xdr:col>
      <xdr:colOff>360004</xdr:colOff>
      <xdr:row>41</xdr:row>
      <xdr:rowOff>144607</xdr:rowOff>
    </xdr:to>
    <xdr:sp macro="" textlink="">
      <xdr:nvSpPr>
        <xdr:cNvPr id="154" name="Flowchart: Predefined Process 153"/>
        <xdr:cNvSpPr/>
      </xdr:nvSpPr>
      <xdr:spPr>
        <a:xfrm>
          <a:off x="14137958" y="6877013"/>
          <a:ext cx="2071646" cy="618653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Menghitung</a:t>
          </a:r>
          <a:r>
            <a:rPr lang="id-ID" sz="1100" baseline="0"/>
            <a:t> Nilai </a:t>
          </a:r>
          <a:r>
            <a:rPr lang="id-ID" sz="1100" i="1" baseline="0"/>
            <a:t>Information Gain</a:t>
          </a:r>
          <a:r>
            <a:rPr lang="id-ID" sz="1100" i="0" baseline="0"/>
            <a:t> Tiap Atribut</a:t>
          </a:r>
          <a:endParaRPr lang="id-ID" sz="1100" i="1"/>
        </a:p>
      </xdr:txBody>
    </xdr:sp>
    <xdr:clientData/>
  </xdr:twoCellAnchor>
  <xdr:twoCellAnchor>
    <xdr:from>
      <xdr:col>24</xdr:col>
      <xdr:colOff>547466</xdr:colOff>
      <xdr:row>42</xdr:row>
      <xdr:rowOff>19014</xdr:rowOff>
    </xdr:from>
    <xdr:to>
      <xdr:col>29</xdr:col>
      <xdr:colOff>233085</xdr:colOff>
      <xdr:row>60</xdr:row>
      <xdr:rowOff>119485</xdr:rowOff>
    </xdr:to>
    <xdr:grpSp>
      <xdr:nvGrpSpPr>
        <xdr:cNvPr id="155" name="Group 154"/>
        <xdr:cNvGrpSpPr/>
      </xdr:nvGrpSpPr>
      <xdr:grpSpPr>
        <a:xfrm>
          <a:off x="15177866" y="7549367"/>
          <a:ext cx="2733619" cy="3327765"/>
          <a:chOff x="10265206" y="7352141"/>
          <a:chExt cx="2733619" cy="3327765"/>
        </a:xfrm>
      </xdr:grpSpPr>
      <xdr:sp macro="" textlink="">
        <xdr:nvSpPr>
          <xdr:cNvPr id="156" name="Rounded Rectangle 155"/>
          <xdr:cNvSpPr/>
        </xdr:nvSpPr>
        <xdr:spPr>
          <a:xfrm>
            <a:off x="11183890" y="7352141"/>
            <a:ext cx="822960" cy="34286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Mulai</a:t>
            </a:r>
          </a:p>
        </xdr:txBody>
      </xdr:sp>
      <xdr:cxnSp macro="">
        <xdr:nvCxnSpPr>
          <xdr:cNvPr id="157" name="Straight Arrow Connector 156"/>
          <xdr:cNvCxnSpPr/>
        </xdr:nvCxnSpPr>
        <xdr:spPr>
          <a:xfrm>
            <a:off x="11601333" y="7695868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8" name="Parallelogram 157"/>
          <xdr:cNvSpPr/>
        </xdr:nvSpPr>
        <xdr:spPr>
          <a:xfrm>
            <a:off x="10265206" y="8005006"/>
            <a:ext cx="2733619" cy="601109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 i="1"/>
              <a:t>Fuzzy Entropy</a:t>
            </a:r>
            <a:r>
              <a:rPr lang="id-ID" sz="1100" i="1" baseline="0"/>
              <a:t> </a:t>
            </a:r>
            <a:r>
              <a:rPr lang="id-ID" sz="1100" i="0" baseline="0"/>
              <a:t>Keseluruhan  Atribut, </a:t>
            </a:r>
            <a:r>
              <a:rPr lang="id-ID" sz="1100" i="1" baseline="0"/>
              <a:t>Fuzzy Entropy </a:t>
            </a:r>
            <a:r>
              <a:rPr lang="id-ID" sz="1100" i="0" baseline="0"/>
              <a:t>Tiap Atribut</a:t>
            </a:r>
            <a:endParaRPr lang="id-ID" sz="1100" i="1"/>
          </a:p>
        </xdr:txBody>
      </xdr:sp>
      <xdr:cxnSp macro="">
        <xdr:nvCxnSpPr>
          <xdr:cNvPr id="159" name="Straight Arrow Connector 158"/>
          <xdr:cNvCxnSpPr/>
        </xdr:nvCxnSpPr>
        <xdr:spPr>
          <a:xfrm>
            <a:off x="11639531" y="8614215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0" name="Flowchart: Process 159"/>
          <xdr:cNvSpPr/>
        </xdr:nvSpPr>
        <xdr:spPr>
          <a:xfrm>
            <a:off x="10516216" y="8911999"/>
            <a:ext cx="2249525" cy="455233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Menghitung </a:t>
            </a:r>
            <a:r>
              <a:rPr lang="id-ID" sz="1100" i="1"/>
              <a:t>Information Gain</a:t>
            </a:r>
            <a:endParaRPr lang="id-ID" sz="1100"/>
          </a:p>
        </xdr:txBody>
      </xdr:sp>
      <xdr:sp macro="" textlink="">
        <xdr:nvSpPr>
          <xdr:cNvPr id="161" name="Parallelogram 160"/>
          <xdr:cNvSpPr/>
        </xdr:nvSpPr>
        <xdr:spPr>
          <a:xfrm>
            <a:off x="10296077" y="9654945"/>
            <a:ext cx="2666887" cy="374983"/>
          </a:xfrm>
          <a:prstGeom prst="parallelogram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 i="1"/>
              <a:t>Information</a:t>
            </a:r>
            <a:r>
              <a:rPr lang="id-ID" sz="1100" i="1" baseline="0"/>
              <a:t> Gain</a:t>
            </a:r>
            <a:endParaRPr lang="id-ID" sz="1100" i="1"/>
          </a:p>
        </xdr:txBody>
      </xdr:sp>
      <xdr:cxnSp macro="">
        <xdr:nvCxnSpPr>
          <xdr:cNvPr id="162" name="Straight Arrow Connector 161"/>
          <xdr:cNvCxnSpPr/>
        </xdr:nvCxnSpPr>
        <xdr:spPr>
          <a:xfrm>
            <a:off x="11633769" y="9359665"/>
            <a:ext cx="649" cy="30836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3" name="Rounded Rectangle 162"/>
          <xdr:cNvSpPr/>
        </xdr:nvSpPr>
        <xdr:spPr>
          <a:xfrm>
            <a:off x="11222779" y="10337039"/>
            <a:ext cx="822960" cy="342867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Kembali</a:t>
            </a:r>
          </a:p>
        </xdr:txBody>
      </xdr:sp>
      <xdr:cxnSp macro="">
        <xdr:nvCxnSpPr>
          <xdr:cNvPr id="164" name="Straight Arrow Connector 163"/>
          <xdr:cNvCxnSpPr/>
        </xdr:nvCxnSpPr>
        <xdr:spPr>
          <a:xfrm>
            <a:off x="11636211" y="10046631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175372</xdr:colOff>
      <xdr:row>63</xdr:row>
      <xdr:rowOff>84278</xdr:rowOff>
    </xdr:from>
    <xdr:to>
      <xdr:col>26</xdr:col>
      <xdr:colOff>560530</xdr:colOff>
      <xdr:row>66</xdr:row>
      <xdr:rowOff>26711</xdr:rowOff>
    </xdr:to>
    <xdr:sp macro="" textlink="">
      <xdr:nvSpPr>
        <xdr:cNvPr id="165" name="Flowchart: Predefined Process 164"/>
        <xdr:cNvSpPr/>
      </xdr:nvSpPr>
      <xdr:spPr>
        <a:xfrm>
          <a:off x="14805772" y="11379807"/>
          <a:ext cx="1604358" cy="480316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900"/>
            <a:t>Proses Fuzzifikasi data</a:t>
          </a:r>
          <a:r>
            <a:rPr lang="id-ID" sz="900" baseline="0"/>
            <a:t> uji</a:t>
          </a:r>
          <a:endParaRPr lang="id-ID" sz="900"/>
        </a:p>
      </xdr:txBody>
    </xdr:sp>
    <xdr:clientData/>
  </xdr:twoCellAnchor>
  <xdr:twoCellAnchor>
    <xdr:from>
      <xdr:col>24</xdr:col>
      <xdr:colOff>497654</xdr:colOff>
      <xdr:row>67</xdr:row>
      <xdr:rowOff>36944</xdr:rowOff>
    </xdr:from>
    <xdr:to>
      <xdr:col>29</xdr:col>
      <xdr:colOff>116541</xdr:colOff>
      <xdr:row>88</xdr:row>
      <xdr:rowOff>128450</xdr:rowOff>
    </xdr:to>
    <xdr:grpSp>
      <xdr:nvGrpSpPr>
        <xdr:cNvPr id="178" name="Group 177"/>
        <xdr:cNvGrpSpPr/>
      </xdr:nvGrpSpPr>
      <xdr:grpSpPr>
        <a:xfrm>
          <a:off x="15128054" y="12049650"/>
          <a:ext cx="2666887" cy="3856682"/>
          <a:chOff x="15576289" y="12013791"/>
          <a:chExt cx="2666887" cy="3856682"/>
        </a:xfrm>
      </xdr:grpSpPr>
      <xdr:grpSp>
        <xdr:nvGrpSpPr>
          <xdr:cNvPr id="166" name="Group 165"/>
          <xdr:cNvGrpSpPr/>
        </xdr:nvGrpSpPr>
        <xdr:grpSpPr>
          <a:xfrm>
            <a:off x="15576289" y="12013791"/>
            <a:ext cx="2666887" cy="3856682"/>
            <a:chOff x="10305041" y="7352141"/>
            <a:chExt cx="2666887" cy="3856682"/>
          </a:xfrm>
        </xdr:grpSpPr>
        <xdr:sp macro="" textlink="">
          <xdr:nvSpPr>
            <xdr:cNvPr id="167" name="Rounded Rectangle 166"/>
            <xdr:cNvSpPr/>
          </xdr:nvSpPr>
          <xdr:spPr>
            <a:xfrm>
              <a:off x="11183890" y="7352141"/>
              <a:ext cx="822960" cy="342866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Mulai</a:t>
              </a:r>
            </a:p>
          </xdr:txBody>
        </xdr:sp>
        <xdr:cxnSp macro="">
          <xdr:nvCxnSpPr>
            <xdr:cNvPr id="168" name="Straight Arrow Connector 167"/>
            <xdr:cNvCxnSpPr/>
          </xdr:nvCxnSpPr>
          <xdr:spPr>
            <a:xfrm>
              <a:off x="11601333" y="7695868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69" name="Parallelogram 168"/>
            <xdr:cNvSpPr/>
          </xdr:nvSpPr>
          <xdr:spPr>
            <a:xfrm>
              <a:off x="11054102" y="8005007"/>
              <a:ext cx="1102040" cy="359062"/>
            </a:xfrm>
            <a:prstGeom prst="parallelogram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 i="0"/>
                <a:t>dataUji[][]</a:t>
              </a:r>
            </a:p>
          </xdr:txBody>
        </xdr:sp>
        <xdr:cxnSp macro="">
          <xdr:nvCxnSpPr>
            <xdr:cNvPr id="170" name="Straight Arrow Connector 169"/>
            <xdr:cNvCxnSpPr/>
          </xdr:nvCxnSpPr>
          <xdr:spPr>
            <a:xfrm>
              <a:off x="11648495" y="9143132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71" name="Flowchart: Process 170"/>
            <xdr:cNvSpPr/>
          </xdr:nvSpPr>
          <xdr:spPr>
            <a:xfrm>
              <a:off x="10525180" y="9440916"/>
              <a:ext cx="2249525" cy="455233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Klasifikasi Kelas</a:t>
              </a:r>
            </a:p>
          </xdr:txBody>
        </xdr:sp>
        <xdr:sp macro="" textlink="">
          <xdr:nvSpPr>
            <xdr:cNvPr id="172" name="Parallelogram 171"/>
            <xdr:cNvSpPr/>
          </xdr:nvSpPr>
          <xdr:spPr>
            <a:xfrm>
              <a:off x="10305041" y="10183862"/>
              <a:ext cx="2666887" cy="374983"/>
            </a:xfrm>
            <a:prstGeom prst="parallelogram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 i="0"/>
                <a:t>Hasil Klasifikasi</a:t>
              </a:r>
            </a:p>
          </xdr:txBody>
        </xdr:sp>
        <xdr:cxnSp macro="">
          <xdr:nvCxnSpPr>
            <xdr:cNvPr id="173" name="Straight Arrow Connector 172"/>
            <xdr:cNvCxnSpPr/>
          </xdr:nvCxnSpPr>
          <xdr:spPr>
            <a:xfrm>
              <a:off x="11642733" y="9888582"/>
              <a:ext cx="649" cy="30836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74" name="Rounded Rectangle 173"/>
            <xdr:cNvSpPr/>
          </xdr:nvSpPr>
          <xdr:spPr>
            <a:xfrm>
              <a:off x="11231743" y="10865956"/>
              <a:ext cx="822960" cy="342867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Selesai</a:t>
              </a:r>
            </a:p>
          </xdr:txBody>
        </xdr:sp>
        <xdr:cxnSp macro="">
          <xdr:nvCxnSpPr>
            <xdr:cNvPr id="175" name="Straight Arrow Connector 174"/>
            <xdr:cNvCxnSpPr/>
          </xdr:nvCxnSpPr>
          <xdr:spPr>
            <a:xfrm>
              <a:off x="11645175" y="10575548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76" name="Flowchart: Predefined Process 175"/>
          <xdr:cNvSpPr/>
        </xdr:nvSpPr>
        <xdr:spPr>
          <a:xfrm>
            <a:off x="15850216" y="13340564"/>
            <a:ext cx="2071646" cy="478037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Inferensi </a:t>
            </a:r>
            <a:r>
              <a:rPr lang="id-ID" sz="1100" i="1"/>
              <a:t>Fuzzy Mamdani</a:t>
            </a:r>
          </a:p>
        </xdr:txBody>
      </xdr:sp>
      <xdr:cxnSp macro="">
        <xdr:nvCxnSpPr>
          <xdr:cNvPr id="177" name="Straight Arrow Connector 176"/>
          <xdr:cNvCxnSpPr/>
        </xdr:nvCxnSpPr>
        <xdr:spPr>
          <a:xfrm>
            <a:off x="16867207" y="13026803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58384</xdr:colOff>
      <xdr:row>84</xdr:row>
      <xdr:rowOff>81768</xdr:rowOff>
    </xdr:from>
    <xdr:to>
      <xdr:col>18</xdr:col>
      <xdr:colOff>301230</xdr:colOff>
      <xdr:row>87</xdr:row>
      <xdr:rowOff>21923</xdr:rowOff>
    </xdr:to>
    <xdr:sp macro="" textlink="">
      <xdr:nvSpPr>
        <xdr:cNvPr id="179" name="Flowchart: Predefined Process 178"/>
        <xdr:cNvSpPr/>
      </xdr:nvSpPr>
      <xdr:spPr>
        <a:xfrm>
          <a:off x="9202384" y="15142474"/>
          <a:ext cx="2071646" cy="478037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Inferensi </a:t>
          </a:r>
          <a:r>
            <a:rPr lang="id-ID" sz="1100" i="1"/>
            <a:t>Fuzzy Mamdani</a:t>
          </a:r>
        </a:p>
      </xdr:txBody>
    </xdr:sp>
    <xdr:clientData/>
  </xdr:twoCellAnchor>
  <xdr:twoCellAnchor>
    <xdr:from>
      <xdr:col>15</xdr:col>
      <xdr:colOff>372148</xdr:colOff>
      <xdr:row>88</xdr:row>
      <xdr:rowOff>1086</xdr:rowOff>
    </xdr:from>
    <xdr:to>
      <xdr:col>19</xdr:col>
      <xdr:colOff>600635</xdr:colOff>
      <xdr:row>114</xdr:row>
      <xdr:rowOff>11909</xdr:rowOff>
    </xdr:to>
    <xdr:grpSp>
      <xdr:nvGrpSpPr>
        <xdr:cNvPr id="196" name="Group 195"/>
        <xdr:cNvGrpSpPr/>
      </xdr:nvGrpSpPr>
      <xdr:grpSpPr>
        <a:xfrm>
          <a:off x="9516148" y="15778968"/>
          <a:ext cx="2666887" cy="4672470"/>
          <a:chOff x="9677513" y="15796897"/>
          <a:chExt cx="2666887" cy="4672470"/>
        </a:xfrm>
      </xdr:grpSpPr>
      <xdr:grpSp>
        <xdr:nvGrpSpPr>
          <xdr:cNvPr id="180" name="Group 179"/>
          <xdr:cNvGrpSpPr/>
        </xdr:nvGrpSpPr>
        <xdr:grpSpPr>
          <a:xfrm>
            <a:off x="9677513" y="15796897"/>
            <a:ext cx="2666887" cy="4672470"/>
            <a:chOff x="15585254" y="12013791"/>
            <a:chExt cx="2666887" cy="4672470"/>
          </a:xfrm>
        </xdr:grpSpPr>
        <xdr:grpSp>
          <xdr:nvGrpSpPr>
            <xdr:cNvPr id="181" name="Group 180"/>
            <xdr:cNvGrpSpPr/>
          </xdr:nvGrpSpPr>
          <xdr:grpSpPr>
            <a:xfrm>
              <a:off x="15585254" y="12013791"/>
              <a:ext cx="2666887" cy="4672470"/>
              <a:chOff x="10314006" y="7352141"/>
              <a:chExt cx="2666887" cy="4672470"/>
            </a:xfrm>
          </xdr:grpSpPr>
          <xdr:sp macro="" textlink="">
            <xdr:nvSpPr>
              <xdr:cNvPr id="184" name="Rounded Rectangle 183"/>
              <xdr:cNvSpPr/>
            </xdr:nvSpPr>
            <xdr:spPr>
              <a:xfrm>
                <a:off x="11183890" y="7352141"/>
                <a:ext cx="822960" cy="342866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id-ID" sz="1100"/>
                  <a:t>Mulai</a:t>
                </a:r>
              </a:p>
            </xdr:txBody>
          </xdr:sp>
          <xdr:cxnSp macro="">
            <xdr:nvCxnSpPr>
              <xdr:cNvPr id="185" name="Straight Arrow Connector 184"/>
              <xdr:cNvCxnSpPr/>
            </xdr:nvCxnSpPr>
            <xdr:spPr>
              <a:xfrm>
                <a:off x="11601333" y="7695868"/>
                <a:ext cx="649" cy="302131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86" name="Parallelogram 185"/>
              <xdr:cNvSpPr/>
            </xdr:nvSpPr>
            <xdr:spPr>
              <a:xfrm>
                <a:off x="11054102" y="8005007"/>
                <a:ext cx="1102040" cy="359062"/>
              </a:xfrm>
              <a:prstGeom prst="parallelogram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id-ID" sz="1100" i="0"/>
                  <a:t>dataUji[][]</a:t>
                </a:r>
              </a:p>
            </xdr:txBody>
          </xdr:sp>
          <xdr:cxnSp macro="">
            <xdr:nvCxnSpPr>
              <xdr:cNvPr id="187" name="Straight Arrow Connector 186"/>
              <xdr:cNvCxnSpPr/>
            </xdr:nvCxnSpPr>
            <xdr:spPr>
              <a:xfrm>
                <a:off x="11648495" y="9143132"/>
                <a:ext cx="649" cy="302131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89" name="Parallelogram 188"/>
              <xdr:cNvSpPr/>
            </xdr:nvSpPr>
            <xdr:spPr>
              <a:xfrm>
                <a:off x="10314006" y="10999650"/>
                <a:ext cx="2666887" cy="374983"/>
              </a:xfrm>
              <a:prstGeom prst="parallelogram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id-ID" sz="1100" i="0"/>
                  <a:t>Nilai Klasifikasi</a:t>
                </a:r>
              </a:p>
            </xdr:txBody>
          </xdr:sp>
          <xdr:cxnSp macro="">
            <xdr:nvCxnSpPr>
              <xdr:cNvPr id="190" name="Straight Arrow Connector 189"/>
              <xdr:cNvCxnSpPr/>
            </xdr:nvCxnSpPr>
            <xdr:spPr>
              <a:xfrm>
                <a:off x="11651698" y="10704370"/>
                <a:ext cx="649" cy="30836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1" name="Rounded Rectangle 190"/>
              <xdr:cNvSpPr/>
            </xdr:nvSpPr>
            <xdr:spPr>
              <a:xfrm>
                <a:off x="11240708" y="11681744"/>
                <a:ext cx="822960" cy="342867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id-ID" sz="1100"/>
                  <a:t>Kembali</a:t>
                </a:r>
              </a:p>
            </xdr:txBody>
          </xdr:sp>
          <xdr:cxnSp macro="">
            <xdr:nvCxnSpPr>
              <xdr:cNvPr id="192" name="Straight Arrow Connector 191"/>
              <xdr:cNvCxnSpPr/>
            </xdr:nvCxnSpPr>
            <xdr:spPr>
              <a:xfrm>
                <a:off x="11654140" y="11391336"/>
                <a:ext cx="649" cy="302131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82" name="Flowchart: Predefined Process 181"/>
            <xdr:cNvSpPr/>
          </xdr:nvSpPr>
          <xdr:spPr>
            <a:xfrm>
              <a:off x="15850216" y="13340564"/>
              <a:ext cx="2071646" cy="478037"/>
            </a:xfrm>
            <a:prstGeom prst="flowChartPredefined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Fuzzifikasi</a:t>
              </a:r>
              <a:endParaRPr lang="id-ID" sz="1100" i="1"/>
            </a:p>
          </xdr:txBody>
        </xdr:sp>
        <xdr:cxnSp macro="">
          <xdr:nvCxnSpPr>
            <xdr:cNvPr id="183" name="Straight Arrow Connector 182"/>
            <xdr:cNvCxnSpPr/>
          </xdr:nvCxnSpPr>
          <xdr:spPr>
            <a:xfrm>
              <a:off x="16867207" y="13026803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93" name="Flowchart: Predefined Process 192"/>
          <xdr:cNvSpPr/>
        </xdr:nvSpPr>
        <xdr:spPr>
          <a:xfrm>
            <a:off x="9955419" y="17885673"/>
            <a:ext cx="2071646" cy="478037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 i="1"/>
              <a:t>Min - Max</a:t>
            </a:r>
          </a:p>
        </xdr:txBody>
      </xdr:sp>
      <xdr:sp macro="" textlink="">
        <xdr:nvSpPr>
          <xdr:cNvPr id="194" name="Flowchart: Predefined Process 193"/>
          <xdr:cNvSpPr/>
        </xdr:nvSpPr>
        <xdr:spPr>
          <a:xfrm>
            <a:off x="9955419" y="18683532"/>
            <a:ext cx="2071646" cy="478037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 i="0"/>
              <a:t>Defuzzifikasi</a:t>
            </a:r>
          </a:p>
        </xdr:txBody>
      </xdr:sp>
      <xdr:cxnSp macro="">
        <xdr:nvCxnSpPr>
          <xdr:cNvPr id="195" name="Straight Arrow Connector 194"/>
          <xdr:cNvCxnSpPr/>
        </xdr:nvCxnSpPr>
        <xdr:spPr>
          <a:xfrm>
            <a:off x="10995324" y="18369767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156995</xdr:colOff>
      <xdr:row>91</xdr:row>
      <xdr:rowOff>90732</xdr:rowOff>
    </xdr:from>
    <xdr:to>
      <xdr:col>25</xdr:col>
      <xdr:colOff>399841</xdr:colOff>
      <xdr:row>94</xdr:row>
      <xdr:rowOff>30887</xdr:rowOff>
    </xdr:to>
    <xdr:sp macro="" textlink="">
      <xdr:nvSpPr>
        <xdr:cNvPr id="197" name="Flowchart: Predefined Process 196"/>
        <xdr:cNvSpPr/>
      </xdr:nvSpPr>
      <xdr:spPr>
        <a:xfrm>
          <a:off x="13568195" y="16406497"/>
          <a:ext cx="2071646" cy="478037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100" i="1"/>
            <a:t>Min - Max</a:t>
          </a:r>
        </a:p>
      </xdr:txBody>
    </xdr:sp>
    <xdr:clientData/>
  </xdr:twoCellAnchor>
  <xdr:twoCellAnchor>
    <xdr:from>
      <xdr:col>22</xdr:col>
      <xdr:colOff>511606</xdr:colOff>
      <xdr:row>94</xdr:row>
      <xdr:rowOff>162449</xdr:rowOff>
    </xdr:from>
    <xdr:to>
      <xdr:col>27</xdr:col>
      <xdr:colOff>197225</xdr:colOff>
      <xdr:row>117</xdr:row>
      <xdr:rowOff>164308</xdr:rowOff>
    </xdr:to>
    <xdr:grpSp>
      <xdr:nvGrpSpPr>
        <xdr:cNvPr id="210" name="Group 209"/>
        <xdr:cNvGrpSpPr/>
      </xdr:nvGrpSpPr>
      <xdr:grpSpPr>
        <a:xfrm>
          <a:off x="13922806" y="17016096"/>
          <a:ext cx="2733619" cy="4125624"/>
          <a:chOff x="13985560" y="17060920"/>
          <a:chExt cx="2733619" cy="4125624"/>
        </a:xfrm>
      </xdr:grpSpPr>
      <xdr:grpSp>
        <xdr:nvGrpSpPr>
          <xdr:cNvPr id="198" name="Group 197"/>
          <xdr:cNvGrpSpPr/>
        </xdr:nvGrpSpPr>
        <xdr:grpSpPr>
          <a:xfrm>
            <a:off x="13985560" y="17060920"/>
            <a:ext cx="2733619" cy="4125624"/>
            <a:chOff x="10265206" y="7352141"/>
            <a:chExt cx="2733619" cy="4125624"/>
          </a:xfrm>
        </xdr:grpSpPr>
        <xdr:sp macro="" textlink="">
          <xdr:nvSpPr>
            <xdr:cNvPr id="199" name="Rounded Rectangle 198"/>
            <xdr:cNvSpPr/>
          </xdr:nvSpPr>
          <xdr:spPr>
            <a:xfrm>
              <a:off x="11183890" y="7352141"/>
              <a:ext cx="822960" cy="342866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Mulai</a:t>
              </a:r>
            </a:p>
          </xdr:txBody>
        </xdr:sp>
        <xdr:cxnSp macro="">
          <xdr:nvCxnSpPr>
            <xdr:cNvPr id="200" name="Straight Arrow Connector 199"/>
            <xdr:cNvCxnSpPr/>
          </xdr:nvCxnSpPr>
          <xdr:spPr>
            <a:xfrm>
              <a:off x="11601333" y="7695868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01" name="Parallelogram 200"/>
            <xdr:cNvSpPr/>
          </xdr:nvSpPr>
          <xdr:spPr>
            <a:xfrm>
              <a:off x="10265206" y="8005006"/>
              <a:ext cx="2733619" cy="601109"/>
            </a:xfrm>
            <a:prstGeom prst="parallelogram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400" i="0"/>
                <a:t>Derajat Keanggotaan</a:t>
              </a:r>
              <a:endParaRPr lang="id-ID" sz="1100" i="0"/>
            </a:p>
          </xdr:txBody>
        </xdr:sp>
        <xdr:cxnSp macro="">
          <xdr:nvCxnSpPr>
            <xdr:cNvPr id="202" name="Straight Arrow Connector 201"/>
            <xdr:cNvCxnSpPr/>
          </xdr:nvCxnSpPr>
          <xdr:spPr>
            <a:xfrm>
              <a:off x="11639531" y="8614215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03" name="Flowchart: Process 202"/>
            <xdr:cNvSpPr/>
          </xdr:nvSpPr>
          <xdr:spPr>
            <a:xfrm>
              <a:off x="10516216" y="8911999"/>
              <a:ext cx="2249525" cy="455233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Fungsi Implikasi Minimum</a:t>
              </a:r>
            </a:p>
          </xdr:txBody>
        </xdr:sp>
        <xdr:sp macro="" textlink="">
          <xdr:nvSpPr>
            <xdr:cNvPr id="204" name="Parallelogram 203"/>
            <xdr:cNvSpPr/>
          </xdr:nvSpPr>
          <xdr:spPr>
            <a:xfrm>
              <a:off x="10269183" y="10452804"/>
              <a:ext cx="2666887" cy="374983"/>
            </a:xfrm>
            <a:prstGeom prst="parallelogram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 i="0"/>
                <a:t>Nilai</a:t>
              </a:r>
              <a:r>
                <a:rPr lang="id-ID" sz="1100" i="0" baseline="0"/>
                <a:t> </a:t>
              </a:r>
              <a:r>
                <a:rPr lang="id-ID" sz="1100" i="1" baseline="0"/>
                <a:t>Max</a:t>
              </a:r>
              <a:r>
                <a:rPr lang="id-ID" sz="1100" i="0" baseline="0"/>
                <a:t> Derajat Keanggotaan</a:t>
              </a:r>
              <a:endParaRPr lang="id-ID" sz="1100" i="0"/>
            </a:p>
          </xdr:txBody>
        </xdr:sp>
        <xdr:cxnSp macro="">
          <xdr:nvCxnSpPr>
            <xdr:cNvPr id="205" name="Straight Arrow Connector 204"/>
            <xdr:cNvCxnSpPr/>
          </xdr:nvCxnSpPr>
          <xdr:spPr>
            <a:xfrm>
              <a:off x="11606875" y="10157524"/>
              <a:ext cx="649" cy="30836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06" name="Rounded Rectangle 205"/>
            <xdr:cNvSpPr/>
          </xdr:nvSpPr>
          <xdr:spPr>
            <a:xfrm>
              <a:off x="11195885" y="11134898"/>
              <a:ext cx="822960" cy="342867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Kembali</a:t>
              </a:r>
            </a:p>
          </xdr:txBody>
        </xdr:sp>
        <xdr:cxnSp macro="">
          <xdr:nvCxnSpPr>
            <xdr:cNvPr id="207" name="Straight Arrow Connector 206"/>
            <xdr:cNvCxnSpPr/>
          </xdr:nvCxnSpPr>
          <xdr:spPr>
            <a:xfrm>
              <a:off x="11609317" y="10844490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8" name="Straight Arrow Connector 207"/>
          <xdr:cNvCxnSpPr/>
        </xdr:nvCxnSpPr>
        <xdr:spPr>
          <a:xfrm>
            <a:off x="15330266" y="19095909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Process 208"/>
          <xdr:cNvSpPr/>
        </xdr:nvSpPr>
        <xdr:spPr>
          <a:xfrm>
            <a:off x="14236571" y="19400708"/>
            <a:ext cx="2249525" cy="455233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Fungsi Komposisi Maximum</a:t>
            </a:r>
          </a:p>
        </xdr:txBody>
      </xdr:sp>
    </xdr:grpSp>
    <xdr:clientData/>
  </xdr:twoCellAnchor>
  <xdr:twoCellAnchor>
    <xdr:from>
      <xdr:col>29</xdr:col>
      <xdr:colOff>94242</xdr:colOff>
      <xdr:row>92</xdr:row>
      <xdr:rowOff>36945</xdr:rowOff>
    </xdr:from>
    <xdr:to>
      <xdr:col>32</xdr:col>
      <xdr:colOff>337088</xdr:colOff>
      <xdr:row>94</xdr:row>
      <xdr:rowOff>156394</xdr:rowOff>
    </xdr:to>
    <xdr:sp macro="" textlink="">
      <xdr:nvSpPr>
        <xdr:cNvPr id="211" name="Flowchart: Predefined Process 210"/>
        <xdr:cNvSpPr/>
      </xdr:nvSpPr>
      <xdr:spPr>
        <a:xfrm>
          <a:off x="17772642" y="16532004"/>
          <a:ext cx="2071646" cy="478037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100" i="0"/>
            <a:t>Defuzzifikasi</a:t>
          </a:r>
        </a:p>
      </xdr:txBody>
    </xdr:sp>
    <xdr:clientData/>
  </xdr:twoCellAnchor>
  <xdr:twoCellAnchor>
    <xdr:from>
      <xdr:col>29</xdr:col>
      <xdr:colOff>520571</xdr:colOff>
      <xdr:row>95</xdr:row>
      <xdr:rowOff>108661</xdr:rowOff>
    </xdr:from>
    <xdr:to>
      <xdr:col>34</xdr:col>
      <xdr:colOff>206190</xdr:colOff>
      <xdr:row>118</xdr:row>
      <xdr:rowOff>110520</xdr:rowOff>
    </xdr:to>
    <xdr:grpSp>
      <xdr:nvGrpSpPr>
        <xdr:cNvPr id="212" name="Group 211"/>
        <xdr:cNvGrpSpPr/>
      </xdr:nvGrpSpPr>
      <xdr:grpSpPr>
        <a:xfrm>
          <a:off x="18198971" y="17141602"/>
          <a:ext cx="2733619" cy="4125624"/>
          <a:chOff x="13985560" y="17060920"/>
          <a:chExt cx="2733619" cy="4125624"/>
        </a:xfrm>
      </xdr:grpSpPr>
      <xdr:grpSp>
        <xdr:nvGrpSpPr>
          <xdr:cNvPr id="213" name="Group 212"/>
          <xdr:cNvGrpSpPr/>
        </xdr:nvGrpSpPr>
        <xdr:grpSpPr>
          <a:xfrm>
            <a:off x="13985560" y="17060920"/>
            <a:ext cx="2733619" cy="4125624"/>
            <a:chOff x="10265206" y="7352141"/>
            <a:chExt cx="2733619" cy="4125624"/>
          </a:xfrm>
        </xdr:grpSpPr>
        <xdr:sp macro="" textlink="">
          <xdr:nvSpPr>
            <xdr:cNvPr id="216" name="Rounded Rectangle 215"/>
            <xdr:cNvSpPr/>
          </xdr:nvSpPr>
          <xdr:spPr>
            <a:xfrm>
              <a:off x="11183890" y="7352141"/>
              <a:ext cx="822960" cy="342866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Mulai</a:t>
              </a:r>
            </a:p>
          </xdr:txBody>
        </xdr:sp>
        <xdr:cxnSp macro="">
          <xdr:nvCxnSpPr>
            <xdr:cNvPr id="217" name="Straight Arrow Connector 216"/>
            <xdr:cNvCxnSpPr/>
          </xdr:nvCxnSpPr>
          <xdr:spPr>
            <a:xfrm>
              <a:off x="11601333" y="7695868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18" name="Parallelogram 217"/>
            <xdr:cNvSpPr/>
          </xdr:nvSpPr>
          <xdr:spPr>
            <a:xfrm>
              <a:off x="10265206" y="8005006"/>
              <a:ext cx="2733619" cy="601109"/>
            </a:xfrm>
            <a:prstGeom prst="parallelogram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 i="0"/>
                <a:t>Nilai </a:t>
              </a:r>
              <a:r>
                <a:rPr lang="id-ID" sz="1100" i="1"/>
                <a:t>Max </a:t>
              </a:r>
              <a:r>
                <a:rPr lang="id-ID" sz="1100" i="0"/>
                <a:t>Derajat</a:t>
              </a:r>
              <a:r>
                <a:rPr lang="id-ID" sz="1100" i="0" baseline="0"/>
                <a:t> Keanggotaan</a:t>
              </a:r>
              <a:endParaRPr lang="id-ID" sz="1000" i="0"/>
            </a:p>
          </xdr:txBody>
        </xdr:sp>
        <xdr:cxnSp macro="">
          <xdr:nvCxnSpPr>
            <xdr:cNvPr id="219" name="Straight Arrow Connector 218"/>
            <xdr:cNvCxnSpPr/>
          </xdr:nvCxnSpPr>
          <xdr:spPr>
            <a:xfrm>
              <a:off x="11639531" y="8614215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20" name="Flowchart: Process 219"/>
            <xdr:cNvSpPr/>
          </xdr:nvSpPr>
          <xdr:spPr>
            <a:xfrm>
              <a:off x="10516216" y="8911999"/>
              <a:ext cx="2249525" cy="455233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id-ID" sz="1100"/>
                <a:t>Menghitung Perpotongan</a:t>
              </a:r>
              <a:r>
                <a:rPr lang="id-ID" sz="1100" baseline="0"/>
                <a:t> Garis</a:t>
              </a:r>
              <a:endParaRPr lang="id-ID" sz="1100"/>
            </a:p>
          </xdr:txBody>
        </xdr:sp>
        <xdr:sp macro="" textlink="">
          <xdr:nvSpPr>
            <xdr:cNvPr id="221" name="Parallelogram 220"/>
            <xdr:cNvSpPr/>
          </xdr:nvSpPr>
          <xdr:spPr>
            <a:xfrm>
              <a:off x="10269183" y="10452804"/>
              <a:ext cx="2666887" cy="374983"/>
            </a:xfrm>
            <a:prstGeom prst="parallelogram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 i="0"/>
                <a:t>Nilai</a:t>
              </a:r>
              <a:r>
                <a:rPr lang="id-ID" sz="1100" i="0" baseline="0"/>
                <a:t> COG</a:t>
              </a:r>
              <a:endParaRPr lang="id-ID" sz="1100" i="0"/>
            </a:p>
          </xdr:txBody>
        </xdr:sp>
        <xdr:cxnSp macro="">
          <xdr:nvCxnSpPr>
            <xdr:cNvPr id="222" name="Straight Arrow Connector 221"/>
            <xdr:cNvCxnSpPr/>
          </xdr:nvCxnSpPr>
          <xdr:spPr>
            <a:xfrm>
              <a:off x="11606875" y="10157524"/>
              <a:ext cx="649" cy="30836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23" name="Rounded Rectangle 222"/>
            <xdr:cNvSpPr/>
          </xdr:nvSpPr>
          <xdr:spPr>
            <a:xfrm>
              <a:off x="11195885" y="11134898"/>
              <a:ext cx="822960" cy="342867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id-ID" sz="1100"/>
                <a:t>Kembali</a:t>
              </a:r>
            </a:p>
          </xdr:txBody>
        </xdr:sp>
        <xdr:cxnSp macro="">
          <xdr:nvCxnSpPr>
            <xdr:cNvPr id="224" name="Straight Arrow Connector 223"/>
            <xdr:cNvCxnSpPr/>
          </xdr:nvCxnSpPr>
          <xdr:spPr>
            <a:xfrm>
              <a:off x="11609317" y="10844490"/>
              <a:ext cx="649" cy="3021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4" name="Straight Arrow Connector 213"/>
          <xdr:cNvCxnSpPr/>
        </xdr:nvCxnSpPr>
        <xdr:spPr>
          <a:xfrm>
            <a:off x="15330266" y="19095909"/>
            <a:ext cx="649" cy="3021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5" name="Flowchart: Process 214"/>
          <xdr:cNvSpPr/>
        </xdr:nvSpPr>
        <xdr:spPr>
          <a:xfrm>
            <a:off x="14236571" y="19400708"/>
            <a:ext cx="2249525" cy="455233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100"/>
              <a:t>Menghitung COG</a:t>
            </a:r>
          </a:p>
        </xdr:txBody>
      </xdr:sp>
    </xdr:grpSp>
    <xdr:clientData/>
  </xdr:twoCellAnchor>
  <xdr:twoCellAnchor>
    <xdr:from>
      <xdr:col>7</xdr:col>
      <xdr:colOff>33816</xdr:colOff>
      <xdr:row>38</xdr:row>
      <xdr:rowOff>78293</xdr:rowOff>
    </xdr:from>
    <xdr:to>
      <xdr:col>9</xdr:col>
      <xdr:colOff>105152</xdr:colOff>
      <xdr:row>41</xdr:row>
      <xdr:rowOff>21412</xdr:rowOff>
    </xdr:to>
    <xdr:sp macro="" textlink="">
      <xdr:nvSpPr>
        <xdr:cNvPr id="226" name="Flowchart: Predefined Process 225"/>
        <xdr:cNvSpPr/>
      </xdr:nvSpPr>
      <xdr:spPr>
        <a:xfrm>
          <a:off x="4301016" y="6891469"/>
          <a:ext cx="1290536" cy="481002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100" i="0"/>
            <a:t>Membangun</a:t>
          </a:r>
          <a:r>
            <a:rPr lang="id-ID" sz="1100" i="0" baseline="0"/>
            <a:t> ID3</a:t>
          </a:r>
          <a:endParaRPr lang="id-ID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"/>
  <sheetViews>
    <sheetView topLeftCell="A40" zoomScale="40" zoomScaleNormal="40" workbookViewId="0">
      <selection activeCell="A36" sqref="A36:P80"/>
    </sheetView>
  </sheetViews>
  <sheetFormatPr defaultRowHeight="14.4" x14ac:dyDescent="0.3"/>
  <cols>
    <col min="21" max="21" width="11.5546875" bestFit="1" customWidth="1"/>
    <col min="22" max="22" width="10" bestFit="1" customWidth="1"/>
    <col min="23" max="23" width="12.6640625" bestFit="1" customWidth="1"/>
    <col min="26" max="26" width="11.33203125" bestFit="1" customWidth="1"/>
  </cols>
  <sheetData>
    <row r="1" spans="1:33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" t="s">
        <v>1</v>
      </c>
      <c r="R1" s="1" t="s">
        <v>2</v>
      </c>
      <c r="V1" t="s">
        <v>53</v>
      </c>
      <c r="W1" t="s">
        <v>54</v>
      </c>
    </row>
    <row r="2" spans="1:33" x14ac:dyDescent="0.3">
      <c r="A2" s="169" t="s">
        <v>3</v>
      </c>
      <c r="B2" s="169" t="s">
        <v>4</v>
      </c>
      <c r="C2" s="169" t="s">
        <v>5</v>
      </c>
      <c r="D2" s="169" t="s">
        <v>6</v>
      </c>
      <c r="E2" s="169"/>
      <c r="F2" s="170" t="s">
        <v>7</v>
      </c>
      <c r="G2" s="169" t="s">
        <v>8</v>
      </c>
      <c r="H2" s="169" t="s">
        <v>9</v>
      </c>
      <c r="I2" s="2" t="s">
        <v>10</v>
      </c>
      <c r="J2" s="169" t="s">
        <v>11</v>
      </c>
      <c r="K2" s="170" t="s">
        <v>12</v>
      </c>
      <c r="L2" s="169" t="s">
        <v>13</v>
      </c>
      <c r="M2" s="169" t="s">
        <v>14</v>
      </c>
      <c r="N2" s="169" t="s">
        <v>15</v>
      </c>
      <c r="O2" s="175" t="s">
        <v>16</v>
      </c>
      <c r="P2" s="175" t="s">
        <v>17</v>
      </c>
      <c r="Q2" s="1"/>
      <c r="R2" s="1" t="s">
        <v>18</v>
      </c>
      <c r="U2" t="s">
        <v>4</v>
      </c>
      <c r="V2">
        <v>35</v>
      </c>
      <c r="W2">
        <v>45</v>
      </c>
      <c r="Z2" t="s">
        <v>25</v>
      </c>
      <c r="AA2">
        <v>1</v>
      </c>
      <c r="AB2">
        <v>0</v>
      </c>
      <c r="AE2" s="20" t="s">
        <v>28</v>
      </c>
      <c r="AF2" s="9">
        <v>1</v>
      </c>
      <c r="AG2" s="9">
        <v>0</v>
      </c>
    </row>
    <row r="3" spans="1:33" x14ac:dyDescent="0.3">
      <c r="A3" s="169"/>
      <c r="B3" s="169"/>
      <c r="C3" s="169"/>
      <c r="D3" s="2" t="s">
        <v>19</v>
      </c>
      <c r="E3" s="2" t="s">
        <v>20</v>
      </c>
      <c r="F3" s="171"/>
      <c r="G3" s="169"/>
      <c r="H3" s="169"/>
      <c r="I3" s="3" t="s">
        <v>21</v>
      </c>
      <c r="J3" s="169"/>
      <c r="K3" s="171"/>
      <c r="L3" s="169"/>
      <c r="M3" s="169"/>
      <c r="N3" s="169"/>
      <c r="O3" s="175"/>
      <c r="P3" s="175"/>
      <c r="Q3" s="1"/>
      <c r="R3" s="1" t="s">
        <v>22</v>
      </c>
      <c r="Z3" t="s">
        <v>34</v>
      </c>
      <c r="AA3">
        <v>0</v>
      </c>
      <c r="AB3">
        <v>1</v>
      </c>
      <c r="AE3" s="20" t="s">
        <v>33</v>
      </c>
      <c r="AF3" s="9">
        <v>0</v>
      </c>
      <c r="AG3" s="9">
        <v>1</v>
      </c>
    </row>
    <row r="4" spans="1:33" x14ac:dyDescent="0.3">
      <c r="A4" s="176" t="s">
        <v>23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"/>
      <c r="R4" s="1"/>
      <c r="T4" s="7" t="s">
        <v>41</v>
      </c>
      <c r="U4" s="7" t="s">
        <v>42</v>
      </c>
      <c r="V4" s="7" t="s">
        <v>55</v>
      </c>
      <c r="W4" s="7" t="s">
        <v>43</v>
      </c>
      <c r="Y4" s="7" t="s">
        <v>46</v>
      </c>
      <c r="Z4" s="7" t="s">
        <v>11</v>
      </c>
      <c r="AA4" s="7" t="s">
        <v>25</v>
      </c>
      <c r="AB4" s="7" t="s">
        <v>34</v>
      </c>
      <c r="AD4" s="7" t="s">
        <v>46</v>
      </c>
      <c r="AE4" s="7" t="s">
        <v>52</v>
      </c>
      <c r="AF4" s="21" t="s">
        <v>28</v>
      </c>
      <c r="AG4" s="21" t="s">
        <v>33</v>
      </c>
    </row>
    <row r="5" spans="1:33" x14ac:dyDescent="0.3">
      <c r="A5" s="2">
        <v>1</v>
      </c>
      <c r="B5" s="2">
        <v>52</v>
      </c>
      <c r="C5" s="2" t="s">
        <v>24</v>
      </c>
      <c r="D5" s="2">
        <v>125</v>
      </c>
      <c r="E5" s="2">
        <v>90</v>
      </c>
      <c r="F5" s="2">
        <v>78</v>
      </c>
      <c r="G5" s="2">
        <v>1.63</v>
      </c>
      <c r="H5" s="2">
        <v>62.7</v>
      </c>
      <c r="I5" s="4">
        <f>H5/(G5*G5)</f>
        <v>23.598931085099178</v>
      </c>
      <c r="J5" s="5" t="s">
        <v>25</v>
      </c>
      <c r="K5" s="2" t="s">
        <v>26</v>
      </c>
      <c r="L5" s="2" t="s">
        <v>27</v>
      </c>
      <c r="M5" s="2" t="s">
        <v>28</v>
      </c>
      <c r="N5" s="2" t="s">
        <v>25</v>
      </c>
      <c r="O5" s="2" t="s">
        <v>29</v>
      </c>
      <c r="P5" s="2" t="s">
        <v>30</v>
      </c>
      <c r="Q5" s="1"/>
      <c r="R5" s="1"/>
      <c r="T5" s="7">
        <v>1</v>
      </c>
      <c r="U5" s="2">
        <v>52</v>
      </c>
      <c r="V5" s="7">
        <f>IF(U5&lt;=$V$2,1,IF(AND($V$2&lt;U5,U5&lt;$W$2),($W$2-U5)/($W$2-$V$2),IF(U5&gt;=$W$2,0)))</f>
        <v>0</v>
      </c>
      <c r="W5" s="7" t="e">
        <f>(U5-$V$3)/($W$3-$V$3)</f>
        <v>#DIV/0!</v>
      </c>
      <c r="Y5" s="7">
        <v>1</v>
      </c>
      <c r="Z5" s="7">
        <v>1</v>
      </c>
      <c r="AA5" s="7">
        <f>($AB$2-Z5)/($AB$2-$AA$2)</f>
        <v>1</v>
      </c>
      <c r="AB5" s="7">
        <f>(Z5-$AA$3)/($AB$3-$AA$3)</f>
        <v>1</v>
      </c>
      <c r="AD5" s="7">
        <v>1</v>
      </c>
      <c r="AE5" s="2">
        <v>1</v>
      </c>
      <c r="AF5" s="7">
        <f>($AG$2-AE5)/(AG$2-$AF$2)</f>
        <v>1</v>
      </c>
      <c r="AG5" s="7">
        <f>(AE5-$AF$3)/($AG$3-$AF$3)</f>
        <v>1</v>
      </c>
    </row>
    <row r="6" spans="1:33" x14ac:dyDescent="0.3">
      <c r="A6" s="2">
        <v>2</v>
      </c>
      <c r="B6" s="2">
        <v>66</v>
      </c>
      <c r="C6" s="2" t="s">
        <v>24</v>
      </c>
      <c r="D6" s="2">
        <v>194</v>
      </c>
      <c r="E6" s="2">
        <v>114</v>
      </c>
      <c r="F6" s="2">
        <v>98</v>
      </c>
      <c r="G6" s="2">
        <v>1.63</v>
      </c>
      <c r="H6" s="2">
        <v>72.2</v>
      </c>
      <c r="I6" s="4">
        <f t="shared" ref="I6:I69" si="0">H6/(G6*G6)</f>
        <v>27.174526704053598</v>
      </c>
      <c r="J6" s="5" t="s">
        <v>31</v>
      </c>
      <c r="K6" s="2" t="s">
        <v>26</v>
      </c>
      <c r="L6" s="2" t="s">
        <v>32</v>
      </c>
      <c r="M6" s="2" t="s">
        <v>33</v>
      </c>
      <c r="N6" s="2" t="s">
        <v>25</v>
      </c>
      <c r="O6" s="2" t="s">
        <v>34</v>
      </c>
      <c r="P6" s="2" t="s">
        <v>35</v>
      </c>
      <c r="Q6" s="1"/>
      <c r="R6" s="1"/>
      <c r="T6" s="7">
        <v>2</v>
      </c>
      <c r="U6" s="2">
        <v>66</v>
      </c>
      <c r="V6" s="7">
        <f t="shared" ref="V6:V24" si="1">IF(U6&lt;=$V$2,1,IF(AND($V$2&lt;U6,U6&lt;$W$2),($W$2-U6)/($W$2-$V$2),IF(U6&gt;=$W$2,0)))</f>
        <v>0</v>
      </c>
      <c r="W6" s="7" t="e">
        <f t="shared" ref="W6:W24" si="2">(U6-$V$3)/($W$3-$V$3)</f>
        <v>#DIV/0!</v>
      </c>
      <c r="Y6" s="7">
        <v>2</v>
      </c>
      <c r="Z6" s="7">
        <v>0</v>
      </c>
      <c r="AA6" s="7">
        <f t="shared" ref="AA6:AA24" si="3">($AB$2-Z6)/($AB$2-$AA$2)</f>
        <v>0</v>
      </c>
      <c r="AB6" s="7">
        <f t="shared" ref="AB6:AB24" si="4">(Z6-$AA$3)/($AB$3-$AA$3)</f>
        <v>0</v>
      </c>
      <c r="AD6" s="7">
        <v>2</v>
      </c>
      <c r="AE6" s="2">
        <v>0</v>
      </c>
      <c r="AF6" s="7">
        <f t="shared" ref="AF6:AF24" si="5">($AG$2-AE6)/(AG$2-$AF$2)</f>
        <v>0</v>
      </c>
      <c r="AG6" s="7">
        <f t="shared" ref="AG6:AG24" si="6">(AE6-$AF$3)/($AG$3-$AF$3)</f>
        <v>0</v>
      </c>
    </row>
    <row r="7" spans="1:33" x14ac:dyDescent="0.3">
      <c r="A7" s="2">
        <v>3</v>
      </c>
      <c r="B7" s="2">
        <v>56</v>
      </c>
      <c r="C7" s="2" t="s">
        <v>24</v>
      </c>
      <c r="D7" s="2">
        <v>129</v>
      </c>
      <c r="E7" s="2">
        <v>80</v>
      </c>
      <c r="F7" s="2">
        <v>98</v>
      </c>
      <c r="G7" s="2">
        <v>1.51</v>
      </c>
      <c r="H7" s="2">
        <v>61.2</v>
      </c>
      <c r="I7" s="4">
        <f t="shared" si="0"/>
        <v>26.840928029472394</v>
      </c>
      <c r="J7" s="5" t="s">
        <v>25</v>
      </c>
      <c r="K7" s="2" t="s">
        <v>26</v>
      </c>
      <c r="L7" s="2" t="s">
        <v>27</v>
      </c>
      <c r="M7" s="2" t="s">
        <v>28</v>
      </c>
      <c r="N7" s="2" t="s">
        <v>25</v>
      </c>
      <c r="O7" s="2" t="s">
        <v>34</v>
      </c>
      <c r="P7" s="2" t="s">
        <v>36</v>
      </c>
      <c r="Q7" s="1"/>
      <c r="R7" s="1"/>
      <c r="T7" s="7">
        <v>3</v>
      </c>
      <c r="U7" s="2">
        <v>56</v>
      </c>
      <c r="V7" s="7">
        <f t="shared" si="1"/>
        <v>0</v>
      </c>
      <c r="W7" s="7" t="e">
        <f t="shared" si="2"/>
        <v>#DIV/0!</v>
      </c>
      <c r="Y7" s="7">
        <v>3</v>
      </c>
      <c r="Z7" s="7">
        <v>1</v>
      </c>
      <c r="AA7" s="7">
        <f t="shared" si="3"/>
        <v>1</v>
      </c>
      <c r="AB7" s="7">
        <f t="shared" si="4"/>
        <v>1</v>
      </c>
      <c r="AD7" s="7">
        <v>3</v>
      </c>
      <c r="AE7" s="2">
        <v>1</v>
      </c>
      <c r="AF7" s="7">
        <f t="shared" si="5"/>
        <v>1</v>
      </c>
      <c r="AG7" s="7">
        <f t="shared" si="6"/>
        <v>1</v>
      </c>
    </row>
    <row r="8" spans="1:33" x14ac:dyDescent="0.3">
      <c r="A8" s="2">
        <v>4</v>
      </c>
      <c r="B8" s="2">
        <v>51</v>
      </c>
      <c r="C8" s="2" t="s">
        <v>24</v>
      </c>
      <c r="D8" s="2">
        <v>148</v>
      </c>
      <c r="E8" s="2">
        <v>97</v>
      </c>
      <c r="F8" s="2">
        <v>98</v>
      </c>
      <c r="G8" s="2">
        <v>1.65</v>
      </c>
      <c r="H8" s="2">
        <v>77.2</v>
      </c>
      <c r="I8" s="4">
        <f t="shared" si="0"/>
        <v>28.356290174471997</v>
      </c>
      <c r="J8" s="5" t="s">
        <v>25</v>
      </c>
      <c r="K8" s="2" t="s">
        <v>26</v>
      </c>
      <c r="L8" s="2" t="s">
        <v>27</v>
      </c>
      <c r="M8" s="2" t="s">
        <v>33</v>
      </c>
      <c r="N8" s="2" t="s">
        <v>31</v>
      </c>
      <c r="O8" s="2" t="s">
        <v>34</v>
      </c>
      <c r="P8" s="2" t="s">
        <v>30</v>
      </c>
      <c r="Q8" s="1"/>
      <c r="R8" s="1"/>
      <c r="T8" s="7">
        <v>4</v>
      </c>
      <c r="U8" s="2">
        <v>51</v>
      </c>
      <c r="V8" s="7">
        <f t="shared" si="1"/>
        <v>0</v>
      </c>
      <c r="W8" s="7" t="e">
        <f t="shared" si="2"/>
        <v>#DIV/0!</v>
      </c>
      <c r="Y8" s="7">
        <v>4</v>
      </c>
      <c r="Z8" s="7">
        <v>1</v>
      </c>
      <c r="AA8" s="7">
        <f t="shared" si="3"/>
        <v>1</v>
      </c>
      <c r="AB8" s="7">
        <f t="shared" si="4"/>
        <v>1</v>
      </c>
      <c r="AD8" s="7">
        <v>4</v>
      </c>
      <c r="AE8" s="2">
        <v>0</v>
      </c>
      <c r="AF8" s="7">
        <f t="shared" si="5"/>
        <v>0</v>
      </c>
      <c r="AG8" s="7">
        <f t="shared" si="6"/>
        <v>0</v>
      </c>
    </row>
    <row r="9" spans="1:33" x14ac:dyDescent="0.3">
      <c r="A9" s="2">
        <v>5</v>
      </c>
      <c r="B9" s="2">
        <v>71</v>
      </c>
      <c r="C9" s="2" t="s">
        <v>37</v>
      </c>
      <c r="D9" s="2">
        <v>148</v>
      </c>
      <c r="E9" s="2">
        <v>88</v>
      </c>
      <c r="F9" s="2">
        <v>88</v>
      </c>
      <c r="G9" s="2">
        <v>1.43</v>
      </c>
      <c r="H9" s="2">
        <v>56.3</v>
      </c>
      <c r="I9" s="4">
        <f t="shared" si="0"/>
        <v>27.531908650789774</v>
      </c>
      <c r="J9" s="5" t="s">
        <v>31</v>
      </c>
      <c r="K9" s="2" t="s">
        <v>26</v>
      </c>
      <c r="L9" s="2" t="s">
        <v>32</v>
      </c>
      <c r="M9" s="2" t="s">
        <v>33</v>
      </c>
      <c r="N9" s="2" t="s">
        <v>25</v>
      </c>
      <c r="O9" s="2" t="s">
        <v>38</v>
      </c>
      <c r="P9" s="2" t="s">
        <v>30</v>
      </c>
      <c r="Q9" s="1"/>
      <c r="R9" s="1"/>
      <c r="T9" s="7">
        <v>5</v>
      </c>
      <c r="U9" s="2">
        <v>71</v>
      </c>
      <c r="V9" s="7">
        <f t="shared" si="1"/>
        <v>0</v>
      </c>
      <c r="W9" s="7">
        <v>1</v>
      </c>
      <c r="Y9" s="7">
        <v>5</v>
      </c>
      <c r="Z9" s="7">
        <v>0</v>
      </c>
      <c r="AA9" s="7">
        <f t="shared" si="3"/>
        <v>0</v>
      </c>
      <c r="AB9" s="7">
        <f t="shared" si="4"/>
        <v>0</v>
      </c>
      <c r="AD9" s="7">
        <v>5</v>
      </c>
      <c r="AE9" s="2">
        <v>0</v>
      </c>
      <c r="AF9" s="7">
        <f t="shared" si="5"/>
        <v>0</v>
      </c>
      <c r="AG9" s="7">
        <f t="shared" si="6"/>
        <v>0</v>
      </c>
    </row>
    <row r="10" spans="1:33" x14ac:dyDescent="0.3">
      <c r="A10" s="2">
        <v>6</v>
      </c>
      <c r="B10" s="2">
        <v>51</v>
      </c>
      <c r="C10" s="2" t="s">
        <v>24</v>
      </c>
      <c r="D10" s="2">
        <v>115</v>
      </c>
      <c r="E10" s="2">
        <v>83</v>
      </c>
      <c r="F10" s="2">
        <v>70</v>
      </c>
      <c r="G10" s="2">
        <v>1.57</v>
      </c>
      <c r="H10" s="2">
        <v>62.5</v>
      </c>
      <c r="I10" s="4">
        <f t="shared" si="0"/>
        <v>25.355998214937724</v>
      </c>
      <c r="J10" s="5" t="s">
        <v>31</v>
      </c>
      <c r="K10" s="2" t="s">
        <v>26</v>
      </c>
      <c r="L10" s="2" t="s">
        <v>27</v>
      </c>
      <c r="M10" s="2" t="s">
        <v>28</v>
      </c>
      <c r="N10" s="2" t="s">
        <v>25</v>
      </c>
      <c r="O10" s="2" t="s">
        <v>29</v>
      </c>
      <c r="P10" s="2" t="s">
        <v>36</v>
      </c>
      <c r="Q10" s="1"/>
      <c r="R10" s="1"/>
      <c r="T10" s="7">
        <v>6</v>
      </c>
      <c r="U10" s="2">
        <v>51</v>
      </c>
      <c r="V10" s="7">
        <f t="shared" si="1"/>
        <v>0</v>
      </c>
      <c r="W10" s="7" t="e">
        <f t="shared" si="2"/>
        <v>#DIV/0!</v>
      </c>
      <c r="Y10" s="7">
        <v>6</v>
      </c>
      <c r="Z10" s="7">
        <v>0</v>
      </c>
      <c r="AA10" s="7">
        <f t="shared" si="3"/>
        <v>0</v>
      </c>
      <c r="AB10" s="7">
        <f t="shared" si="4"/>
        <v>0</v>
      </c>
      <c r="AD10" s="7">
        <v>6</v>
      </c>
      <c r="AE10" s="2">
        <v>1</v>
      </c>
      <c r="AF10" s="7">
        <f t="shared" si="5"/>
        <v>1</v>
      </c>
      <c r="AG10" s="7">
        <f t="shared" si="6"/>
        <v>1</v>
      </c>
    </row>
    <row r="11" spans="1:33" x14ac:dyDescent="0.3">
      <c r="A11" s="2">
        <v>7</v>
      </c>
      <c r="B11" s="2">
        <v>55</v>
      </c>
      <c r="C11" s="2" t="s">
        <v>24</v>
      </c>
      <c r="D11" s="2">
        <v>170</v>
      </c>
      <c r="E11" s="2">
        <v>96</v>
      </c>
      <c r="F11" s="2">
        <v>97</v>
      </c>
      <c r="G11" s="2">
        <v>1.56</v>
      </c>
      <c r="H11" s="2">
        <v>67.400000000000006</v>
      </c>
      <c r="I11" s="4">
        <f t="shared" si="0"/>
        <v>27.695595003287313</v>
      </c>
      <c r="J11" s="5" t="s">
        <v>31</v>
      </c>
      <c r="K11" s="2" t="s">
        <v>26</v>
      </c>
      <c r="L11" s="2" t="s">
        <v>27</v>
      </c>
      <c r="M11" s="2" t="s">
        <v>28</v>
      </c>
      <c r="N11" s="2" t="s">
        <v>25</v>
      </c>
      <c r="O11" s="2" t="s">
        <v>29</v>
      </c>
      <c r="P11" s="2" t="s">
        <v>35</v>
      </c>
      <c r="Q11" s="1"/>
      <c r="R11" s="1"/>
      <c r="T11" s="7">
        <v>7</v>
      </c>
      <c r="U11" s="2">
        <v>55</v>
      </c>
      <c r="V11" s="7">
        <f t="shared" si="1"/>
        <v>0</v>
      </c>
      <c r="W11" s="7" t="e">
        <f t="shared" si="2"/>
        <v>#DIV/0!</v>
      </c>
      <c r="Y11" s="7">
        <v>7</v>
      </c>
      <c r="Z11" s="7">
        <v>0</v>
      </c>
      <c r="AA11" s="7">
        <f t="shared" si="3"/>
        <v>0</v>
      </c>
      <c r="AB11" s="7">
        <f t="shared" si="4"/>
        <v>0</v>
      </c>
      <c r="AD11" s="7">
        <v>7</v>
      </c>
      <c r="AE11" s="2">
        <v>1</v>
      </c>
      <c r="AF11" s="7">
        <f t="shared" si="5"/>
        <v>1</v>
      </c>
      <c r="AG11" s="7">
        <f t="shared" si="6"/>
        <v>1</v>
      </c>
    </row>
    <row r="12" spans="1:33" x14ac:dyDescent="0.3">
      <c r="A12" s="2">
        <v>8</v>
      </c>
      <c r="B12" s="2">
        <v>58</v>
      </c>
      <c r="C12" s="2" t="s">
        <v>37</v>
      </c>
      <c r="D12" s="2">
        <v>168</v>
      </c>
      <c r="E12" s="2">
        <v>104</v>
      </c>
      <c r="F12" s="2">
        <v>90</v>
      </c>
      <c r="G12" s="2">
        <v>1.46</v>
      </c>
      <c r="H12" s="2">
        <v>51.2</v>
      </c>
      <c r="I12" s="4">
        <f t="shared" si="0"/>
        <v>24.019515856633518</v>
      </c>
      <c r="J12" s="5" t="s">
        <v>31</v>
      </c>
      <c r="K12" s="2" t="s">
        <v>26</v>
      </c>
      <c r="L12" s="2" t="s">
        <v>27</v>
      </c>
      <c r="M12" s="2" t="s">
        <v>33</v>
      </c>
      <c r="N12" s="2" t="s">
        <v>25</v>
      </c>
      <c r="O12" s="2" t="s">
        <v>29</v>
      </c>
      <c r="P12" s="2" t="s">
        <v>35</v>
      </c>
      <c r="Q12" s="1"/>
      <c r="R12" s="1"/>
      <c r="T12" s="7">
        <v>8</v>
      </c>
      <c r="U12" s="2">
        <v>58</v>
      </c>
      <c r="V12" s="7">
        <f t="shared" si="1"/>
        <v>0</v>
      </c>
      <c r="W12" s="7" t="e">
        <f t="shared" si="2"/>
        <v>#DIV/0!</v>
      </c>
      <c r="Y12" s="7">
        <v>8</v>
      </c>
      <c r="Z12" s="7">
        <v>0</v>
      </c>
      <c r="AA12" s="7">
        <f t="shared" si="3"/>
        <v>0</v>
      </c>
      <c r="AB12" s="7">
        <f t="shared" si="4"/>
        <v>0</v>
      </c>
      <c r="AD12" s="7">
        <v>8</v>
      </c>
      <c r="AE12" s="2">
        <v>0</v>
      </c>
      <c r="AF12" s="7">
        <f t="shared" si="5"/>
        <v>0</v>
      </c>
      <c r="AG12" s="7">
        <f t="shared" si="6"/>
        <v>0</v>
      </c>
    </row>
    <row r="13" spans="1:33" x14ac:dyDescent="0.3">
      <c r="A13" s="2">
        <v>9</v>
      </c>
      <c r="B13" s="2">
        <v>55</v>
      </c>
      <c r="C13" s="2" t="s">
        <v>24</v>
      </c>
      <c r="D13" s="2">
        <v>127</v>
      </c>
      <c r="E13" s="2">
        <v>85</v>
      </c>
      <c r="F13" s="2">
        <v>72</v>
      </c>
      <c r="G13" s="2">
        <v>1.53</v>
      </c>
      <c r="H13" s="2">
        <v>45.7</v>
      </c>
      <c r="I13" s="4">
        <f t="shared" si="0"/>
        <v>19.522405912255973</v>
      </c>
      <c r="J13" s="5" t="s">
        <v>31</v>
      </c>
      <c r="K13" s="2" t="s">
        <v>26</v>
      </c>
      <c r="L13" s="2" t="s">
        <v>27</v>
      </c>
      <c r="M13" s="2" t="s">
        <v>33</v>
      </c>
      <c r="N13" s="2" t="s">
        <v>25</v>
      </c>
      <c r="O13" s="2" t="s">
        <v>34</v>
      </c>
      <c r="P13" s="2" t="s">
        <v>36</v>
      </c>
      <c r="Q13" s="1"/>
      <c r="R13" s="1"/>
      <c r="T13" s="7">
        <v>9</v>
      </c>
      <c r="U13" s="2">
        <v>55</v>
      </c>
      <c r="V13" s="7">
        <f t="shared" si="1"/>
        <v>0</v>
      </c>
      <c r="W13" s="7" t="e">
        <f t="shared" si="2"/>
        <v>#DIV/0!</v>
      </c>
      <c r="Y13" s="7">
        <v>9</v>
      </c>
      <c r="Z13" s="7">
        <v>0</v>
      </c>
      <c r="AA13" s="7">
        <f t="shared" si="3"/>
        <v>0</v>
      </c>
      <c r="AB13" s="7">
        <f t="shared" si="4"/>
        <v>0</v>
      </c>
      <c r="AD13" s="7">
        <v>9</v>
      </c>
      <c r="AE13" s="2">
        <v>0</v>
      </c>
      <c r="AF13" s="7">
        <f t="shared" si="5"/>
        <v>0</v>
      </c>
      <c r="AG13" s="7">
        <f t="shared" si="6"/>
        <v>0</v>
      </c>
    </row>
    <row r="14" spans="1:33" x14ac:dyDescent="0.3">
      <c r="A14" s="2">
        <v>10</v>
      </c>
      <c r="B14" s="2">
        <v>57</v>
      </c>
      <c r="C14" s="2" t="s">
        <v>37</v>
      </c>
      <c r="D14" s="2">
        <v>140</v>
      </c>
      <c r="E14" s="2">
        <v>99</v>
      </c>
      <c r="F14" s="2">
        <v>105</v>
      </c>
      <c r="G14" s="2">
        <v>1.55</v>
      </c>
      <c r="H14" s="2">
        <v>64.400000000000006</v>
      </c>
      <c r="I14" s="4">
        <f t="shared" si="0"/>
        <v>26.805411030176899</v>
      </c>
      <c r="J14" s="5" t="s">
        <v>31</v>
      </c>
      <c r="K14" s="2" t="s">
        <v>26</v>
      </c>
      <c r="L14" s="2" t="s">
        <v>27</v>
      </c>
      <c r="M14" s="2" t="s">
        <v>33</v>
      </c>
      <c r="N14" s="2" t="s">
        <v>31</v>
      </c>
      <c r="O14" s="2" t="s">
        <v>34</v>
      </c>
      <c r="P14" s="2" t="s">
        <v>30</v>
      </c>
      <c r="Q14" s="1"/>
      <c r="R14" s="1"/>
      <c r="T14" s="7">
        <v>10</v>
      </c>
      <c r="U14" s="2">
        <v>57</v>
      </c>
      <c r="V14" s="7">
        <f t="shared" si="1"/>
        <v>0</v>
      </c>
      <c r="W14" s="7" t="e">
        <f t="shared" si="2"/>
        <v>#DIV/0!</v>
      </c>
      <c r="Y14" s="7">
        <v>10</v>
      </c>
      <c r="Z14" s="7">
        <v>0</v>
      </c>
      <c r="AA14" s="7">
        <f t="shared" si="3"/>
        <v>0</v>
      </c>
      <c r="AB14" s="7">
        <f t="shared" si="4"/>
        <v>0</v>
      </c>
      <c r="AD14" s="7">
        <v>10</v>
      </c>
      <c r="AE14" s="2">
        <v>0</v>
      </c>
      <c r="AF14" s="7">
        <f t="shared" si="5"/>
        <v>0</v>
      </c>
      <c r="AG14" s="7">
        <f t="shared" si="6"/>
        <v>0</v>
      </c>
    </row>
    <row r="15" spans="1:33" x14ac:dyDescent="0.3">
      <c r="A15" s="2">
        <v>11</v>
      </c>
      <c r="B15" s="2">
        <v>64</v>
      </c>
      <c r="C15" s="2" t="s">
        <v>24</v>
      </c>
      <c r="D15" s="2">
        <v>178</v>
      </c>
      <c r="E15" s="2">
        <v>98</v>
      </c>
      <c r="F15" s="2">
        <v>101</v>
      </c>
      <c r="G15" s="2">
        <v>1.57</v>
      </c>
      <c r="H15" s="2">
        <v>77.8</v>
      </c>
      <c r="I15" s="4">
        <f t="shared" si="0"/>
        <v>31.563146577954477</v>
      </c>
      <c r="J15" s="5" t="s">
        <v>31</v>
      </c>
      <c r="K15" s="2" t="s">
        <v>26</v>
      </c>
      <c r="L15" s="2" t="s">
        <v>27</v>
      </c>
      <c r="M15" s="2" t="s">
        <v>28</v>
      </c>
      <c r="N15" s="2" t="s">
        <v>25</v>
      </c>
      <c r="O15" s="2" t="s">
        <v>34</v>
      </c>
      <c r="P15" s="2" t="s">
        <v>35</v>
      </c>
      <c r="Q15" s="1"/>
      <c r="R15" s="1"/>
      <c r="T15" s="7">
        <v>11</v>
      </c>
      <c r="U15" s="2">
        <v>64</v>
      </c>
      <c r="V15" s="7">
        <f t="shared" si="1"/>
        <v>0</v>
      </c>
      <c r="W15" s="7" t="e">
        <f t="shared" si="2"/>
        <v>#DIV/0!</v>
      </c>
      <c r="Y15" s="7">
        <v>11</v>
      </c>
      <c r="Z15" s="7">
        <v>0</v>
      </c>
      <c r="AA15" s="7">
        <f t="shared" si="3"/>
        <v>0</v>
      </c>
      <c r="AB15" s="7">
        <f t="shared" si="4"/>
        <v>0</v>
      </c>
      <c r="AD15" s="7">
        <v>11</v>
      </c>
      <c r="AE15" s="2">
        <v>1</v>
      </c>
      <c r="AF15" s="7">
        <f t="shared" si="5"/>
        <v>1</v>
      </c>
      <c r="AG15" s="7">
        <f t="shared" si="6"/>
        <v>1</v>
      </c>
    </row>
    <row r="16" spans="1:33" x14ac:dyDescent="0.3">
      <c r="A16" s="2">
        <v>12</v>
      </c>
      <c r="B16" s="2">
        <v>58</v>
      </c>
      <c r="C16" s="2" t="s">
        <v>37</v>
      </c>
      <c r="D16" s="2">
        <v>117</v>
      </c>
      <c r="E16" s="2">
        <v>78</v>
      </c>
      <c r="F16" s="2">
        <v>91</v>
      </c>
      <c r="G16" s="2">
        <v>1.54</v>
      </c>
      <c r="H16" s="2">
        <v>54.2</v>
      </c>
      <c r="I16" s="4">
        <f t="shared" si="0"/>
        <v>22.853769607016361</v>
      </c>
      <c r="J16" s="5" t="s">
        <v>25</v>
      </c>
      <c r="K16" s="2" t="s">
        <v>26</v>
      </c>
      <c r="L16" s="2" t="s">
        <v>27</v>
      </c>
      <c r="M16" s="2" t="s">
        <v>28</v>
      </c>
      <c r="N16" s="2" t="s">
        <v>25</v>
      </c>
      <c r="O16" s="2" t="s">
        <v>34</v>
      </c>
      <c r="P16" s="2" t="s">
        <v>36</v>
      </c>
      <c r="Q16" s="1"/>
      <c r="R16" s="1"/>
      <c r="T16" s="7">
        <v>12</v>
      </c>
      <c r="U16" s="2">
        <v>58</v>
      </c>
      <c r="V16" s="7">
        <f t="shared" si="1"/>
        <v>0</v>
      </c>
      <c r="W16" s="7" t="e">
        <f t="shared" si="2"/>
        <v>#DIV/0!</v>
      </c>
      <c r="Y16" s="7">
        <v>12</v>
      </c>
      <c r="Z16" s="7">
        <v>1</v>
      </c>
      <c r="AA16" s="7">
        <f t="shared" si="3"/>
        <v>1</v>
      </c>
      <c r="AB16" s="7">
        <f t="shared" si="4"/>
        <v>1</v>
      </c>
      <c r="AD16" s="7">
        <v>12</v>
      </c>
      <c r="AE16" s="2">
        <v>1</v>
      </c>
      <c r="AF16" s="7">
        <f t="shared" si="5"/>
        <v>1</v>
      </c>
      <c r="AG16" s="7">
        <f t="shared" si="6"/>
        <v>1</v>
      </c>
    </row>
    <row r="17" spans="1:33" x14ac:dyDescent="0.3">
      <c r="A17" s="2">
        <v>13</v>
      </c>
      <c r="B17" s="2">
        <v>52</v>
      </c>
      <c r="C17" s="2" t="s">
        <v>24</v>
      </c>
      <c r="D17" s="2">
        <v>138</v>
      </c>
      <c r="E17" s="2">
        <v>93</v>
      </c>
      <c r="F17" s="2">
        <v>85</v>
      </c>
      <c r="G17" s="2">
        <v>1.54</v>
      </c>
      <c r="H17" s="2">
        <v>64.099999999999994</v>
      </c>
      <c r="I17" s="4">
        <f t="shared" si="0"/>
        <v>27.028166638556247</v>
      </c>
      <c r="J17" s="5" t="s">
        <v>25</v>
      </c>
      <c r="K17" s="2" t="s">
        <v>26</v>
      </c>
      <c r="L17" s="2" t="s">
        <v>32</v>
      </c>
      <c r="M17" s="2" t="s">
        <v>33</v>
      </c>
      <c r="N17" s="2" t="s">
        <v>25</v>
      </c>
      <c r="O17" s="2" t="s">
        <v>29</v>
      </c>
      <c r="P17" s="2" t="s">
        <v>30</v>
      </c>
      <c r="Q17" s="1"/>
      <c r="R17" s="1"/>
      <c r="T17" s="7">
        <v>13</v>
      </c>
      <c r="U17" s="2">
        <v>52</v>
      </c>
      <c r="V17" s="7">
        <f t="shared" si="1"/>
        <v>0</v>
      </c>
      <c r="W17" s="7" t="e">
        <f t="shared" si="2"/>
        <v>#DIV/0!</v>
      </c>
      <c r="Y17" s="7">
        <v>13</v>
      </c>
      <c r="Z17" s="7">
        <v>1</v>
      </c>
      <c r="AA17" s="7">
        <f t="shared" si="3"/>
        <v>1</v>
      </c>
      <c r="AB17" s="7">
        <f t="shared" si="4"/>
        <v>1</v>
      </c>
      <c r="AD17" s="7">
        <v>13</v>
      </c>
      <c r="AE17" s="2">
        <v>0</v>
      </c>
      <c r="AF17" s="7">
        <f t="shared" si="5"/>
        <v>0</v>
      </c>
      <c r="AG17" s="7">
        <f t="shared" si="6"/>
        <v>0</v>
      </c>
    </row>
    <row r="18" spans="1:33" x14ac:dyDescent="0.3">
      <c r="A18" s="2">
        <v>14</v>
      </c>
      <c r="B18" s="2">
        <v>49</v>
      </c>
      <c r="C18" s="2" t="s">
        <v>37</v>
      </c>
      <c r="D18" s="2">
        <v>113</v>
      </c>
      <c r="E18" s="2">
        <v>78</v>
      </c>
      <c r="F18" s="2">
        <v>75</v>
      </c>
      <c r="G18" s="2">
        <v>1.46</v>
      </c>
      <c r="H18" s="2">
        <v>45.9</v>
      </c>
      <c r="I18" s="4">
        <f t="shared" si="0"/>
        <v>21.533120660536689</v>
      </c>
      <c r="J18" s="5" t="s">
        <v>31</v>
      </c>
      <c r="K18" s="2" t="s">
        <v>26</v>
      </c>
      <c r="L18" s="2" t="s">
        <v>27</v>
      </c>
      <c r="M18" s="2" t="s">
        <v>28</v>
      </c>
      <c r="N18" s="2" t="s">
        <v>25</v>
      </c>
      <c r="O18" s="2" t="s">
        <v>29</v>
      </c>
      <c r="P18" s="2" t="s">
        <v>36</v>
      </c>
      <c r="Q18" s="1"/>
      <c r="R18" s="1"/>
      <c r="T18" s="7">
        <v>14</v>
      </c>
      <c r="U18" s="2">
        <v>49</v>
      </c>
      <c r="V18" s="7">
        <f t="shared" si="1"/>
        <v>0</v>
      </c>
      <c r="W18" s="7">
        <v>0</v>
      </c>
      <c r="Y18" s="7">
        <v>14</v>
      </c>
      <c r="Z18" s="7">
        <v>0</v>
      </c>
      <c r="AA18" s="7">
        <f t="shared" si="3"/>
        <v>0</v>
      </c>
      <c r="AB18" s="7">
        <f t="shared" si="4"/>
        <v>0</v>
      </c>
      <c r="AD18" s="7">
        <v>14</v>
      </c>
      <c r="AE18" s="2">
        <v>1</v>
      </c>
      <c r="AF18" s="7">
        <f t="shared" si="5"/>
        <v>1</v>
      </c>
      <c r="AG18" s="7">
        <f t="shared" si="6"/>
        <v>1</v>
      </c>
    </row>
    <row r="19" spans="1:33" x14ac:dyDescent="0.3">
      <c r="A19" s="2">
        <v>15</v>
      </c>
      <c r="B19" s="2">
        <v>51</v>
      </c>
      <c r="C19" s="2" t="s">
        <v>24</v>
      </c>
      <c r="D19" s="2">
        <v>139</v>
      </c>
      <c r="E19" s="2">
        <v>85</v>
      </c>
      <c r="F19" s="2">
        <v>84</v>
      </c>
      <c r="G19" s="2">
        <v>1.62</v>
      </c>
      <c r="H19" s="2">
        <v>61.2</v>
      </c>
      <c r="I19" s="4">
        <f t="shared" si="0"/>
        <v>23.319615912208501</v>
      </c>
      <c r="J19" s="5" t="s">
        <v>25</v>
      </c>
      <c r="K19" s="2" t="s">
        <v>26</v>
      </c>
      <c r="L19" s="2" t="s">
        <v>27</v>
      </c>
      <c r="M19" s="2" t="s">
        <v>28</v>
      </c>
      <c r="N19" s="2" t="s">
        <v>25</v>
      </c>
      <c r="O19" s="2" t="s">
        <v>38</v>
      </c>
      <c r="P19" s="2" t="s">
        <v>30</v>
      </c>
      <c r="Q19" s="1"/>
      <c r="R19" s="1"/>
      <c r="T19" s="7">
        <v>15</v>
      </c>
      <c r="U19" s="2">
        <v>51</v>
      </c>
      <c r="V19" s="7">
        <f t="shared" si="1"/>
        <v>0</v>
      </c>
      <c r="W19" s="7" t="e">
        <f t="shared" si="2"/>
        <v>#DIV/0!</v>
      </c>
      <c r="Y19" s="7">
        <v>15</v>
      </c>
      <c r="Z19" s="7">
        <v>1</v>
      </c>
      <c r="AA19" s="7">
        <f t="shared" si="3"/>
        <v>1</v>
      </c>
      <c r="AB19" s="7">
        <f t="shared" si="4"/>
        <v>1</v>
      </c>
      <c r="AD19" s="7">
        <v>15</v>
      </c>
      <c r="AE19" s="2">
        <v>1</v>
      </c>
      <c r="AF19" s="7">
        <f t="shared" si="5"/>
        <v>1</v>
      </c>
      <c r="AG19" s="7">
        <f t="shared" si="6"/>
        <v>1</v>
      </c>
    </row>
    <row r="20" spans="1:33" x14ac:dyDescent="0.3">
      <c r="A20" s="2">
        <v>16</v>
      </c>
      <c r="B20" s="2">
        <v>66</v>
      </c>
      <c r="C20" s="2" t="s">
        <v>37</v>
      </c>
      <c r="D20" s="2">
        <v>187</v>
      </c>
      <c r="E20" s="2">
        <v>108</v>
      </c>
      <c r="F20" s="2">
        <v>88</v>
      </c>
      <c r="G20" s="2">
        <v>1.47</v>
      </c>
      <c r="H20" s="2">
        <v>43.6</v>
      </c>
      <c r="I20" s="4">
        <f t="shared" si="0"/>
        <v>20.176778194270909</v>
      </c>
      <c r="J20" s="5" t="s">
        <v>31</v>
      </c>
      <c r="K20" s="2" t="s">
        <v>26</v>
      </c>
      <c r="L20" s="2" t="s">
        <v>27</v>
      </c>
      <c r="M20" s="2" t="s">
        <v>28</v>
      </c>
      <c r="N20" s="2" t="s">
        <v>25</v>
      </c>
      <c r="O20" s="2" t="s">
        <v>38</v>
      </c>
      <c r="P20" s="2" t="s">
        <v>35</v>
      </c>
      <c r="Q20" s="1"/>
      <c r="R20" s="1"/>
      <c r="T20" s="7">
        <v>16</v>
      </c>
      <c r="U20" s="2">
        <v>66</v>
      </c>
      <c r="V20" s="7">
        <f t="shared" si="1"/>
        <v>0</v>
      </c>
      <c r="W20" s="7" t="e">
        <f t="shared" si="2"/>
        <v>#DIV/0!</v>
      </c>
      <c r="Y20" s="7">
        <v>16</v>
      </c>
      <c r="Z20" s="7">
        <v>0</v>
      </c>
      <c r="AA20" s="7">
        <f t="shared" si="3"/>
        <v>0</v>
      </c>
      <c r="AB20" s="7">
        <f t="shared" si="4"/>
        <v>0</v>
      </c>
      <c r="AD20" s="7">
        <v>16</v>
      </c>
      <c r="AE20" s="2">
        <v>1</v>
      </c>
      <c r="AF20" s="7">
        <f t="shared" si="5"/>
        <v>1</v>
      </c>
      <c r="AG20" s="7">
        <f t="shared" si="6"/>
        <v>1</v>
      </c>
    </row>
    <row r="21" spans="1:33" x14ac:dyDescent="0.3">
      <c r="A21" s="2">
        <v>17</v>
      </c>
      <c r="B21" s="2">
        <v>69</v>
      </c>
      <c r="C21" s="2" t="s">
        <v>24</v>
      </c>
      <c r="D21" s="2">
        <v>139</v>
      </c>
      <c r="E21" s="2">
        <v>78</v>
      </c>
      <c r="F21" s="2">
        <v>81</v>
      </c>
      <c r="G21" s="2">
        <v>1.59</v>
      </c>
      <c r="H21" s="2">
        <v>49.1</v>
      </c>
      <c r="I21" s="4">
        <f t="shared" si="0"/>
        <v>19.421700090977414</v>
      </c>
      <c r="J21" s="5" t="s">
        <v>31</v>
      </c>
      <c r="K21" s="2" t="s">
        <v>39</v>
      </c>
      <c r="L21" s="2" t="s">
        <v>32</v>
      </c>
      <c r="M21" s="2" t="s">
        <v>28</v>
      </c>
      <c r="N21" s="2" t="s">
        <v>31</v>
      </c>
      <c r="O21" s="2" t="s">
        <v>29</v>
      </c>
      <c r="P21" s="2" t="s">
        <v>30</v>
      </c>
      <c r="Q21" s="1"/>
      <c r="R21" s="1"/>
      <c r="T21" s="7">
        <v>17</v>
      </c>
      <c r="U21" s="2">
        <v>69</v>
      </c>
      <c r="V21" s="7">
        <f t="shared" si="1"/>
        <v>0</v>
      </c>
      <c r="W21" s="7" t="e">
        <f t="shared" si="2"/>
        <v>#DIV/0!</v>
      </c>
      <c r="Y21" s="7">
        <v>17</v>
      </c>
      <c r="Z21" s="7">
        <v>0</v>
      </c>
      <c r="AA21" s="7">
        <f t="shared" si="3"/>
        <v>0</v>
      </c>
      <c r="AB21" s="7">
        <f t="shared" si="4"/>
        <v>0</v>
      </c>
      <c r="AD21" s="7">
        <v>17</v>
      </c>
      <c r="AE21" s="2">
        <v>1</v>
      </c>
      <c r="AF21" s="7">
        <f t="shared" si="5"/>
        <v>1</v>
      </c>
      <c r="AG21" s="7">
        <f t="shared" si="6"/>
        <v>1</v>
      </c>
    </row>
    <row r="22" spans="1:33" x14ac:dyDescent="0.3">
      <c r="A22" s="2">
        <v>18</v>
      </c>
      <c r="B22" s="2">
        <v>52</v>
      </c>
      <c r="C22" s="2" t="s">
        <v>37</v>
      </c>
      <c r="D22" s="2">
        <v>119</v>
      </c>
      <c r="E22" s="2">
        <v>72</v>
      </c>
      <c r="F22" s="2">
        <v>83</v>
      </c>
      <c r="G22" s="2">
        <v>1.47</v>
      </c>
      <c r="H22" s="2">
        <v>41.2</v>
      </c>
      <c r="I22" s="4">
        <f t="shared" si="0"/>
        <v>19.066129853301867</v>
      </c>
      <c r="J22" s="5" t="s">
        <v>31</v>
      </c>
      <c r="K22" s="2" t="s">
        <v>26</v>
      </c>
      <c r="L22" s="2" t="s">
        <v>27</v>
      </c>
      <c r="M22" s="2" t="s">
        <v>28</v>
      </c>
      <c r="N22" s="2" t="s">
        <v>25</v>
      </c>
      <c r="O22" s="2" t="s">
        <v>34</v>
      </c>
      <c r="P22" s="2" t="s">
        <v>36</v>
      </c>
      <c r="Q22" s="1"/>
      <c r="R22" s="1"/>
      <c r="T22" s="7">
        <v>18</v>
      </c>
      <c r="U22" s="2">
        <v>52</v>
      </c>
      <c r="V22" s="7">
        <f t="shared" si="1"/>
        <v>0</v>
      </c>
      <c r="W22" s="7" t="e">
        <f t="shared" si="2"/>
        <v>#DIV/0!</v>
      </c>
      <c r="Y22" s="7">
        <v>18</v>
      </c>
      <c r="Z22" s="7">
        <v>0</v>
      </c>
      <c r="AA22" s="7">
        <f t="shared" si="3"/>
        <v>0</v>
      </c>
      <c r="AB22" s="7">
        <f t="shared" si="4"/>
        <v>0</v>
      </c>
      <c r="AD22" s="7">
        <v>18</v>
      </c>
      <c r="AE22" s="2">
        <v>1</v>
      </c>
      <c r="AF22" s="7">
        <f t="shared" si="5"/>
        <v>1</v>
      </c>
      <c r="AG22" s="7">
        <f t="shared" si="6"/>
        <v>1</v>
      </c>
    </row>
    <row r="23" spans="1:33" x14ac:dyDescent="0.3">
      <c r="A23" s="2">
        <v>19</v>
      </c>
      <c r="B23" s="2">
        <v>67</v>
      </c>
      <c r="C23" s="2" t="s">
        <v>24</v>
      </c>
      <c r="D23" s="2">
        <v>124</v>
      </c>
      <c r="E23" s="2">
        <v>74</v>
      </c>
      <c r="F23" s="2">
        <v>79</v>
      </c>
      <c r="G23" s="2">
        <v>1.62</v>
      </c>
      <c r="H23" s="2">
        <v>52.1</v>
      </c>
      <c r="I23" s="4">
        <f t="shared" si="0"/>
        <v>19.852156683432401</v>
      </c>
      <c r="J23" s="5" t="s">
        <v>31</v>
      </c>
      <c r="K23" s="2" t="s">
        <v>26</v>
      </c>
      <c r="L23" s="2" t="s">
        <v>32</v>
      </c>
      <c r="M23" s="2" t="s">
        <v>33</v>
      </c>
      <c r="N23" s="2" t="s">
        <v>25</v>
      </c>
      <c r="O23" s="2" t="s">
        <v>38</v>
      </c>
      <c r="P23" s="2" t="s">
        <v>30</v>
      </c>
      <c r="Q23" s="1"/>
      <c r="R23" s="1"/>
      <c r="T23" s="7">
        <v>19</v>
      </c>
      <c r="U23" s="2">
        <v>67</v>
      </c>
      <c r="V23" s="7">
        <f t="shared" si="1"/>
        <v>0</v>
      </c>
      <c r="W23" s="7" t="e">
        <f t="shared" si="2"/>
        <v>#DIV/0!</v>
      </c>
      <c r="Y23" s="7">
        <v>19</v>
      </c>
      <c r="Z23" s="7">
        <v>0</v>
      </c>
      <c r="AA23" s="7">
        <f t="shared" si="3"/>
        <v>0</v>
      </c>
      <c r="AB23" s="7">
        <f t="shared" si="4"/>
        <v>0</v>
      </c>
      <c r="AD23" s="7">
        <v>19</v>
      </c>
      <c r="AE23" s="2">
        <v>0</v>
      </c>
      <c r="AF23" s="7">
        <f t="shared" si="5"/>
        <v>0</v>
      </c>
      <c r="AG23" s="7">
        <f t="shared" si="6"/>
        <v>0</v>
      </c>
    </row>
    <row r="24" spans="1:33" x14ac:dyDescent="0.3">
      <c r="A24" s="2">
        <v>20</v>
      </c>
      <c r="B24" s="2">
        <v>62</v>
      </c>
      <c r="C24" s="2" t="s">
        <v>37</v>
      </c>
      <c r="D24" s="2">
        <v>156</v>
      </c>
      <c r="E24" s="2">
        <v>91</v>
      </c>
      <c r="F24" s="2">
        <v>108</v>
      </c>
      <c r="G24" s="2">
        <v>1.57</v>
      </c>
      <c r="H24" s="2">
        <v>66.7</v>
      </c>
      <c r="I24" s="4">
        <f t="shared" si="0"/>
        <v>27.059921294981542</v>
      </c>
      <c r="J24" s="5" t="s">
        <v>31</v>
      </c>
      <c r="K24" s="2" t="s">
        <v>39</v>
      </c>
      <c r="L24" s="2" t="s">
        <v>32</v>
      </c>
      <c r="M24" s="2" t="s">
        <v>28</v>
      </c>
      <c r="N24" s="2" t="s">
        <v>31</v>
      </c>
      <c r="O24" s="2" t="s">
        <v>34</v>
      </c>
      <c r="P24" s="2" t="s">
        <v>35</v>
      </c>
      <c r="Q24" s="1"/>
      <c r="R24" s="1"/>
      <c r="T24" s="7">
        <v>20</v>
      </c>
      <c r="U24" s="2">
        <v>62</v>
      </c>
      <c r="V24" s="7">
        <f t="shared" si="1"/>
        <v>0</v>
      </c>
      <c r="W24" s="7" t="e">
        <f t="shared" si="2"/>
        <v>#DIV/0!</v>
      </c>
      <c r="Y24" s="7">
        <v>20</v>
      </c>
      <c r="Z24" s="7">
        <v>0</v>
      </c>
      <c r="AA24" s="7">
        <f t="shared" si="3"/>
        <v>0</v>
      </c>
      <c r="AB24" s="7">
        <f t="shared" si="4"/>
        <v>0</v>
      </c>
      <c r="AD24" s="7">
        <v>20</v>
      </c>
      <c r="AE24" s="2">
        <v>1</v>
      </c>
      <c r="AF24" s="7">
        <f t="shared" si="5"/>
        <v>1</v>
      </c>
      <c r="AG24" s="7">
        <f t="shared" si="6"/>
        <v>1</v>
      </c>
    </row>
    <row r="25" spans="1:33" x14ac:dyDescent="0.3">
      <c r="A25" s="2">
        <v>21</v>
      </c>
      <c r="B25" s="2">
        <v>52</v>
      </c>
      <c r="C25" s="2" t="s">
        <v>37</v>
      </c>
      <c r="D25" s="2">
        <v>145</v>
      </c>
      <c r="E25" s="2">
        <v>92</v>
      </c>
      <c r="F25" s="2">
        <v>93</v>
      </c>
      <c r="G25" s="2">
        <v>1.45</v>
      </c>
      <c r="H25" s="2">
        <v>69.900000000000006</v>
      </c>
      <c r="I25" s="4">
        <f t="shared" si="0"/>
        <v>33.246135552913202</v>
      </c>
      <c r="J25" s="5" t="s">
        <v>31</v>
      </c>
      <c r="K25" s="2" t="s">
        <v>26</v>
      </c>
      <c r="L25" s="2" t="s">
        <v>32</v>
      </c>
      <c r="M25" s="2" t="s">
        <v>28</v>
      </c>
      <c r="N25" s="2" t="s">
        <v>31</v>
      </c>
      <c r="O25" s="2" t="s">
        <v>34</v>
      </c>
      <c r="P25" s="2" t="s">
        <v>30</v>
      </c>
      <c r="Q25" s="1"/>
      <c r="R25" s="1"/>
    </row>
    <row r="26" spans="1:33" x14ac:dyDescent="0.3">
      <c r="A26" s="2">
        <v>22</v>
      </c>
      <c r="B26" s="2">
        <v>54</v>
      </c>
      <c r="C26" s="2" t="s">
        <v>24</v>
      </c>
      <c r="D26" s="2">
        <v>105</v>
      </c>
      <c r="E26" s="2">
        <v>67</v>
      </c>
      <c r="F26" s="2">
        <v>79</v>
      </c>
      <c r="G26" s="2">
        <v>1.58</v>
      </c>
      <c r="H26" s="2">
        <v>58.6</v>
      </c>
      <c r="I26" s="4">
        <f t="shared" si="0"/>
        <v>23.473802275276395</v>
      </c>
      <c r="J26" s="5" t="s">
        <v>31</v>
      </c>
      <c r="K26" s="2" t="s">
        <v>26</v>
      </c>
      <c r="L26" s="2" t="s">
        <v>27</v>
      </c>
      <c r="M26" s="2" t="s">
        <v>28</v>
      </c>
      <c r="N26" s="2" t="s">
        <v>25</v>
      </c>
      <c r="O26" s="2" t="s">
        <v>29</v>
      </c>
      <c r="P26" s="2" t="s">
        <v>36</v>
      </c>
      <c r="Q26" s="1"/>
      <c r="R26" s="1"/>
    </row>
    <row r="27" spans="1:33" x14ac:dyDescent="0.3">
      <c r="A27" s="2">
        <v>23</v>
      </c>
      <c r="B27" s="2">
        <v>57</v>
      </c>
      <c r="C27" s="2" t="s">
        <v>24</v>
      </c>
      <c r="D27" s="2">
        <v>170</v>
      </c>
      <c r="E27" s="2">
        <v>91</v>
      </c>
      <c r="F27" s="2">
        <v>88</v>
      </c>
      <c r="G27" s="2">
        <v>1.6</v>
      </c>
      <c r="H27" s="2">
        <v>62.9</v>
      </c>
      <c r="I27" s="4">
        <f t="shared" si="0"/>
        <v>24.570312499999993</v>
      </c>
      <c r="J27" s="5" t="s">
        <v>31</v>
      </c>
      <c r="K27" s="2" t="s">
        <v>39</v>
      </c>
      <c r="L27" s="2" t="s">
        <v>27</v>
      </c>
      <c r="M27" s="2" t="s">
        <v>33</v>
      </c>
      <c r="N27" s="2" t="s">
        <v>25</v>
      </c>
      <c r="O27" s="2" t="s">
        <v>38</v>
      </c>
      <c r="P27" s="2" t="s">
        <v>35</v>
      </c>
      <c r="Q27" s="1"/>
      <c r="R27" s="1"/>
    </row>
    <row r="28" spans="1:33" x14ac:dyDescent="0.3">
      <c r="A28" s="2">
        <v>24</v>
      </c>
      <c r="B28" s="2">
        <v>50</v>
      </c>
      <c r="C28" s="2" t="s">
        <v>24</v>
      </c>
      <c r="D28" s="2">
        <v>126</v>
      </c>
      <c r="E28" s="2">
        <v>73</v>
      </c>
      <c r="F28" s="2">
        <v>82</v>
      </c>
      <c r="G28" s="2">
        <v>1.47</v>
      </c>
      <c r="H28" s="2">
        <v>53</v>
      </c>
      <c r="I28" s="4">
        <f t="shared" si="0"/>
        <v>24.526817529732984</v>
      </c>
      <c r="J28" s="5" t="s">
        <v>25</v>
      </c>
      <c r="K28" s="2" t="s">
        <v>26</v>
      </c>
      <c r="L28" s="2" t="s">
        <v>27</v>
      </c>
      <c r="M28" s="2" t="s">
        <v>33</v>
      </c>
      <c r="N28" s="2" t="s">
        <v>25</v>
      </c>
      <c r="O28" s="2" t="s">
        <v>29</v>
      </c>
      <c r="P28" s="2" t="s">
        <v>30</v>
      </c>
      <c r="Q28" s="1"/>
      <c r="R28" s="1"/>
      <c r="U28" t="s">
        <v>44</v>
      </c>
      <c r="V28">
        <v>50</v>
      </c>
      <c r="W28">
        <v>90</v>
      </c>
      <c r="Z28" t="s">
        <v>26</v>
      </c>
      <c r="AA28">
        <v>1</v>
      </c>
      <c r="AB28">
        <v>0</v>
      </c>
      <c r="AE28" t="s">
        <v>25</v>
      </c>
      <c r="AF28">
        <v>1</v>
      </c>
      <c r="AG28">
        <v>0</v>
      </c>
    </row>
    <row r="29" spans="1:33" x14ac:dyDescent="0.3">
      <c r="A29" s="2">
        <v>25</v>
      </c>
      <c r="B29" s="2">
        <v>50</v>
      </c>
      <c r="C29" s="2" t="s">
        <v>24</v>
      </c>
      <c r="D29" s="2">
        <v>151</v>
      </c>
      <c r="E29" s="2">
        <v>99</v>
      </c>
      <c r="F29" s="2">
        <v>84</v>
      </c>
      <c r="G29" s="2">
        <v>1.58</v>
      </c>
      <c r="H29" s="2">
        <v>54.1</v>
      </c>
      <c r="I29" s="4">
        <f t="shared" si="0"/>
        <v>21.671206537413873</v>
      </c>
      <c r="J29" s="5" t="s">
        <v>25</v>
      </c>
      <c r="K29" s="2" t="s">
        <v>26</v>
      </c>
      <c r="L29" s="2" t="s">
        <v>27</v>
      </c>
      <c r="M29" s="2" t="s">
        <v>33</v>
      </c>
      <c r="N29" s="2" t="s">
        <v>25</v>
      </c>
      <c r="O29" s="2" t="s">
        <v>38</v>
      </c>
      <c r="P29" s="2" t="s">
        <v>35</v>
      </c>
      <c r="Q29" s="1"/>
      <c r="R29" s="1"/>
      <c r="U29" t="s">
        <v>45</v>
      </c>
      <c r="V29">
        <v>70</v>
      </c>
      <c r="W29">
        <v>110</v>
      </c>
      <c r="Z29" t="s">
        <v>39</v>
      </c>
      <c r="AA29">
        <v>0</v>
      </c>
      <c r="AB29">
        <v>1</v>
      </c>
      <c r="AE29" t="s">
        <v>31</v>
      </c>
      <c r="AF29">
        <v>0</v>
      </c>
      <c r="AG29">
        <v>1</v>
      </c>
    </row>
    <row r="30" spans="1:33" x14ac:dyDescent="0.3">
      <c r="A30" s="2">
        <v>26</v>
      </c>
      <c r="B30" s="2">
        <v>52</v>
      </c>
      <c r="C30" s="2" t="s">
        <v>24</v>
      </c>
      <c r="D30" s="2">
        <v>115</v>
      </c>
      <c r="E30" s="2">
        <v>69</v>
      </c>
      <c r="F30" s="2">
        <v>99</v>
      </c>
      <c r="G30" s="2">
        <v>1.6</v>
      </c>
      <c r="H30" s="2">
        <v>71.2</v>
      </c>
      <c r="I30" s="4">
        <f t="shared" si="0"/>
        <v>27.812499999999996</v>
      </c>
      <c r="J30" s="5" t="s">
        <v>31</v>
      </c>
      <c r="K30" s="2" t="s">
        <v>26</v>
      </c>
      <c r="L30" s="2" t="s">
        <v>27</v>
      </c>
      <c r="M30" s="2" t="s">
        <v>28</v>
      </c>
      <c r="N30" s="2" t="s">
        <v>25</v>
      </c>
      <c r="O30" s="2" t="s">
        <v>29</v>
      </c>
      <c r="P30" s="2" t="s">
        <v>36</v>
      </c>
      <c r="Q30" s="1"/>
      <c r="R30" s="1"/>
      <c r="T30" s="7" t="s">
        <v>46</v>
      </c>
      <c r="U30" s="7" t="s">
        <v>7</v>
      </c>
      <c r="V30" s="7" t="s">
        <v>44</v>
      </c>
      <c r="W30" s="7" t="s">
        <v>47</v>
      </c>
      <c r="Y30" s="7" t="s">
        <v>46</v>
      </c>
      <c r="Z30" s="7" t="s">
        <v>48</v>
      </c>
      <c r="AA30" s="7" t="s">
        <v>26</v>
      </c>
      <c r="AB30" s="7" t="s">
        <v>39</v>
      </c>
      <c r="AD30" s="7" t="s">
        <v>46</v>
      </c>
      <c r="AE30" s="7" t="s">
        <v>15</v>
      </c>
      <c r="AF30" s="7" t="s">
        <v>25</v>
      </c>
      <c r="AG30" s="7" t="s">
        <v>31</v>
      </c>
    </row>
    <row r="31" spans="1:33" x14ac:dyDescent="0.3">
      <c r="A31" s="2">
        <v>27</v>
      </c>
      <c r="B31" s="2">
        <v>50</v>
      </c>
      <c r="C31" s="2" t="s">
        <v>37</v>
      </c>
      <c r="D31" s="2">
        <v>156</v>
      </c>
      <c r="E31" s="2">
        <v>88</v>
      </c>
      <c r="F31" s="2">
        <v>97</v>
      </c>
      <c r="G31" s="2">
        <v>1.5</v>
      </c>
      <c r="H31" s="2">
        <v>63</v>
      </c>
      <c r="I31" s="4">
        <f t="shared" si="0"/>
        <v>28</v>
      </c>
      <c r="J31" s="5" t="s">
        <v>31</v>
      </c>
      <c r="K31" s="2" t="s">
        <v>26</v>
      </c>
      <c r="L31" s="2" t="s">
        <v>32</v>
      </c>
      <c r="M31" s="2" t="s">
        <v>33</v>
      </c>
      <c r="N31" s="2" t="s">
        <v>31</v>
      </c>
      <c r="O31" s="2" t="s">
        <v>29</v>
      </c>
      <c r="P31" s="2" t="s">
        <v>35</v>
      </c>
      <c r="Q31" s="1"/>
      <c r="R31" s="1"/>
      <c r="T31" s="7">
        <v>1</v>
      </c>
      <c r="U31" s="2">
        <v>78</v>
      </c>
      <c r="V31" s="7">
        <f>($W$28-U31)/($W$28-$V$28)</f>
        <v>0.3</v>
      </c>
      <c r="W31" s="7">
        <f>(U31-$V$29)/($W$29-$V$29)</f>
        <v>0.2</v>
      </c>
      <c r="Y31" s="7">
        <v>1</v>
      </c>
      <c r="Z31" s="2">
        <v>1</v>
      </c>
      <c r="AA31" s="7">
        <f>($AB$28-Z31)/($AB$28-$AA$28)</f>
        <v>1</v>
      </c>
      <c r="AB31" s="7">
        <f>(Z31-$AA$29)/($AB$29-$AA$29)</f>
        <v>1</v>
      </c>
      <c r="AD31" s="7">
        <v>1</v>
      </c>
      <c r="AE31" s="2">
        <v>1</v>
      </c>
      <c r="AF31" s="7">
        <f>($AG$28-AE31)/($AG$28-$AF$28)</f>
        <v>1</v>
      </c>
      <c r="AG31" s="7">
        <f>(AE31-$AF$29)/($AG$29-$AF$29)</f>
        <v>1</v>
      </c>
    </row>
    <row r="32" spans="1:33" x14ac:dyDescent="0.3">
      <c r="A32" s="2">
        <v>28</v>
      </c>
      <c r="B32" s="2">
        <v>69</v>
      </c>
      <c r="C32" s="2" t="s">
        <v>37</v>
      </c>
      <c r="D32" s="2">
        <v>120</v>
      </c>
      <c r="E32" s="2">
        <v>63</v>
      </c>
      <c r="F32" s="2">
        <v>72</v>
      </c>
      <c r="G32" s="2">
        <v>1.55</v>
      </c>
      <c r="H32" s="2">
        <v>44.2</v>
      </c>
      <c r="I32" s="4">
        <f t="shared" si="0"/>
        <v>18.397502601456814</v>
      </c>
      <c r="J32" s="5" t="s">
        <v>31</v>
      </c>
      <c r="K32" s="2" t="s">
        <v>39</v>
      </c>
      <c r="L32" s="2" t="s">
        <v>32</v>
      </c>
      <c r="M32" s="2" t="s">
        <v>28</v>
      </c>
      <c r="N32" s="2" t="s">
        <v>31</v>
      </c>
      <c r="O32" s="2" t="s">
        <v>29</v>
      </c>
      <c r="P32" s="2" t="s">
        <v>30</v>
      </c>
      <c r="Q32" s="1"/>
      <c r="R32" s="1"/>
      <c r="T32" s="7">
        <v>2</v>
      </c>
      <c r="U32" s="2">
        <v>98</v>
      </c>
      <c r="V32" s="7">
        <v>0</v>
      </c>
      <c r="W32" s="7">
        <f t="shared" ref="W32:W50" si="7">(U32-$V$29)/($W$29-$V$29)</f>
        <v>0.7</v>
      </c>
      <c r="Y32" s="7">
        <v>2</v>
      </c>
      <c r="Z32" s="2">
        <v>1</v>
      </c>
      <c r="AA32" s="7">
        <f t="shared" ref="AA32:AA50" si="8">($AB$28-Z32)/($AB$28-$AA$28)</f>
        <v>1</v>
      </c>
      <c r="AB32" s="7">
        <f t="shared" ref="AB32:AB50" si="9">(Z32-$AA$29)/($AB$29-$AA$29)</f>
        <v>1</v>
      </c>
      <c r="AD32" s="7">
        <v>2</v>
      </c>
      <c r="AE32" s="2">
        <v>1</v>
      </c>
      <c r="AF32" s="7">
        <f t="shared" ref="AF32:AF50" si="10">($AG$28-AE32)/($AG$28-$AF$28)</f>
        <v>1</v>
      </c>
      <c r="AG32" s="7">
        <f t="shared" ref="AG32:AG50" si="11">(AE32-$AF$29)/($AG$29-$AF$29)</f>
        <v>1</v>
      </c>
    </row>
    <row r="33" spans="1:33" x14ac:dyDescent="0.3">
      <c r="A33" s="2">
        <v>29</v>
      </c>
      <c r="B33" s="2">
        <v>51</v>
      </c>
      <c r="C33" s="2" t="s">
        <v>37</v>
      </c>
      <c r="D33" s="2">
        <v>100</v>
      </c>
      <c r="E33" s="2">
        <v>75</v>
      </c>
      <c r="F33" s="2">
        <v>71</v>
      </c>
      <c r="G33" s="2">
        <v>1.52</v>
      </c>
      <c r="H33" s="2">
        <v>52</v>
      </c>
      <c r="I33" s="4">
        <f t="shared" si="0"/>
        <v>22.506925207756233</v>
      </c>
      <c r="J33" s="5" t="s">
        <v>31</v>
      </c>
      <c r="K33" s="2" t="s">
        <v>26</v>
      </c>
      <c r="L33" s="2" t="s">
        <v>27</v>
      </c>
      <c r="M33" s="2" t="s">
        <v>28</v>
      </c>
      <c r="N33" s="2" t="s">
        <v>25</v>
      </c>
      <c r="O33" s="2" t="s">
        <v>38</v>
      </c>
      <c r="P33" s="2" t="s">
        <v>36</v>
      </c>
      <c r="Q33" s="1"/>
      <c r="R33" s="1"/>
      <c r="T33" s="7">
        <v>3</v>
      </c>
      <c r="U33" s="2">
        <v>98</v>
      </c>
      <c r="V33" s="7">
        <v>0</v>
      </c>
      <c r="W33" s="7">
        <f t="shared" si="7"/>
        <v>0.7</v>
      </c>
      <c r="Y33" s="7">
        <v>3</v>
      </c>
      <c r="Z33" s="2">
        <v>1</v>
      </c>
      <c r="AA33" s="7">
        <f t="shared" si="8"/>
        <v>1</v>
      </c>
      <c r="AB33" s="7">
        <f t="shared" si="9"/>
        <v>1</v>
      </c>
      <c r="AD33" s="7">
        <v>3</v>
      </c>
      <c r="AE33" s="2">
        <v>1</v>
      </c>
      <c r="AF33" s="7">
        <f t="shared" si="10"/>
        <v>1</v>
      </c>
      <c r="AG33" s="7">
        <f t="shared" si="11"/>
        <v>1</v>
      </c>
    </row>
    <row r="34" spans="1:33" x14ac:dyDescent="0.3">
      <c r="A34" s="2">
        <v>30</v>
      </c>
      <c r="B34" s="2">
        <v>56</v>
      </c>
      <c r="C34" s="2" t="s">
        <v>24</v>
      </c>
      <c r="D34" s="2">
        <v>195</v>
      </c>
      <c r="E34" s="2">
        <v>105</v>
      </c>
      <c r="F34" s="2">
        <v>85</v>
      </c>
      <c r="G34" s="2">
        <v>1.55</v>
      </c>
      <c r="H34" s="2">
        <v>60.6</v>
      </c>
      <c r="I34" s="4">
        <f t="shared" si="0"/>
        <v>25.223725286160246</v>
      </c>
      <c r="J34" s="5" t="s">
        <v>31</v>
      </c>
      <c r="K34" s="2" t="s">
        <v>39</v>
      </c>
      <c r="L34" s="2" t="s">
        <v>27</v>
      </c>
      <c r="M34" s="2" t="s">
        <v>28</v>
      </c>
      <c r="N34" s="2" t="s">
        <v>25</v>
      </c>
      <c r="O34" s="2" t="s">
        <v>29</v>
      </c>
      <c r="P34" s="2" t="s">
        <v>35</v>
      </c>
      <c r="Q34" s="1"/>
      <c r="R34" s="1"/>
      <c r="T34" s="7">
        <v>4</v>
      </c>
      <c r="U34" s="2">
        <v>98</v>
      </c>
      <c r="V34" s="7">
        <v>0</v>
      </c>
      <c r="W34" s="7">
        <f t="shared" si="7"/>
        <v>0.7</v>
      </c>
      <c r="Y34" s="7">
        <v>4</v>
      </c>
      <c r="Z34" s="2">
        <v>1</v>
      </c>
      <c r="AA34" s="7">
        <f t="shared" si="8"/>
        <v>1</v>
      </c>
      <c r="AB34" s="7">
        <f t="shared" si="9"/>
        <v>1</v>
      </c>
      <c r="AD34" s="7">
        <v>4</v>
      </c>
      <c r="AE34" s="2">
        <v>0</v>
      </c>
      <c r="AF34" s="7">
        <f t="shared" si="10"/>
        <v>0</v>
      </c>
      <c r="AG34" s="7">
        <f t="shared" si="11"/>
        <v>0</v>
      </c>
    </row>
    <row r="35" spans="1:33" x14ac:dyDescent="0.3">
      <c r="A35" s="172" t="s">
        <v>40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4"/>
      <c r="Q35" s="1"/>
      <c r="R35" s="1"/>
      <c r="T35" s="7">
        <v>5</v>
      </c>
      <c r="U35" s="2">
        <v>88</v>
      </c>
      <c r="V35" s="7">
        <f t="shared" ref="V35:V49" si="12">($W$28-U35)/($W$28-$V$28)</f>
        <v>0.05</v>
      </c>
      <c r="W35" s="7">
        <f t="shared" si="7"/>
        <v>0.45</v>
      </c>
      <c r="Y35" s="7">
        <v>5</v>
      </c>
      <c r="Z35" s="2">
        <v>1</v>
      </c>
      <c r="AA35" s="7">
        <f t="shared" si="8"/>
        <v>1</v>
      </c>
      <c r="AB35" s="7">
        <f t="shared" si="9"/>
        <v>1</v>
      </c>
      <c r="AD35" s="7">
        <v>5</v>
      </c>
      <c r="AE35" s="2">
        <v>1</v>
      </c>
      <c r="AF35" s="7">
        <f t="shared" si="10"/>
        <v>1</v>
      </c>
      <c r="AG35" s="7">
        <f t="shared" si="11"/>
        <v>1</v>
      </c>
    </row>
    <row r="36" spans="1:33" ht="15.6" x14ac:dyDescent="0.3">
      <c r="A36" s="2">
        <v>31</v>
      </c>
      <c r="B36" s="2">
        <v>85</v>
      </c>
      <c r="C36" s="6" t="s">
        <v>24</v>
      </c>
      <c r="D36" s="2">
        <v>175</v>
      </c>
      <c r="E36" s="2">
        <v>91</v>
      </c>
      <c r="F36" s="2">
        <v>68</v>
      </c>
      <c r="G36" s="2">
        <v>1.54</v>
      </c>
      <c r="H36" s="2">
        <v>58.3</v>
      </c>
      <c r="I36" s="4">
        <f t="shared" si="0"/>
        <v>24.582560296846012</v>
      </c>
      <c r="J36" s="5" t="s">
        <v>31</v>
      </c>
      <c r="K36" s="2" t="s">
        <v>39</v>
      </c>
      <c r="L36" s="2" t="s">
        <v>27</v>
      </c>
      <c r="M36" s="2" t="s">
        <v>28</v>
      </c>
      <c r="N36" s="2" t="s">
        <v>25</v>
      </c>
      <c r="O36" s="2" t="s">
        <v>29</v>
      </c>
      <c r="P36" s="2" t="s">
        <v>35</v>
      </c>
      <c r="Q36" s="1"/>
      <c r="R36" s="1"/>
      <c r="T36" s="7">
        <v>6</v>
      </c>
      <c r="U36" s="2">
        <v>70</v>
      </c>
      <c r="V36" s="7">
        <f t="shared" si="12"/>
        <v>0.5</v>
      </c>
      <c r="W36" s="7">
        <f t="shared" si="7"/>
        <v>0</v>
      </c>
      <c r="Y36" s="7">
        <v>6</v>
      </c>
      <c r="Z36" s="2">
        <v>1</v>
      </c>
      <c r="AA36" s="7">
        <f t="shared" si="8"/>
        <v>1</v>
      </c>
      <c r="AB36" s="7">
        <f t="shared" si="9"/>
        <v>1</v>
      </c>
      <c r="AD36" s="7">
        <v>6</v>
      </c>
      <c r="AE36" s="2">
        <v>1</v>
      </c>
      <c r="AF36" s="7">
        <f t="shared" si="10"/>
        <v>1</v>
      </c>
      <c r="AG36" s="7">
        <f t="shared" si="11"/>
        <v>1</v>
      </c>
    </row>
    <row r="37" spans="1:33" ht="15.6" x14ac:dyDescent="0.3">
      <c r="A37" s="2">
        <v>32</v>
      </c>
      <c r="B37" s="2">
        <v>38</v>
      </c>
      <c r="C37" s="6" t="s">
        <v>37</v>
      </c>
      <c r="D37" s="2">
        <v>116</v>
      </c>
      <c r="E37" s="2">
        <v>87</v>
      </c>
      <c r="F37" s="2">
        <v>99</v>
      </c>
      <c r="G37" s="2">
        <v>1.512</v>
      </c>
      <c r="H37" s="2">
        <v>74.2</v>
      </c>
      <c r="I37" s="4">
        <f t="shared" si="0"/>
        <v>32.456398197138938</v>
      </c>
      <c r="J37" s="5" t="s">
        <v>31</v>
      </c>
      <c r="K37" s="2" t="s">
        <v>39</v>
      </c>
      <c r="L37" s="2" t="s">
        <v>32</v>
      </c>
      <c r="M37" s="2" t="s">
        <v>33</v>
      </c>
      <c r="N37" s="2" t="s">
        <v>25</v>
      </c>
      <c r="O37" s="2" t="s">
        <v>34</v>
      </c>
      <c r="P37" s="2" t="s">
        <v>36</v>
      </c>
      <c r="Q37" s="1"/>
      <c r="R37" s="1"/>
      <c r="T37" s="7">
        <v>7</v>
      </c>
      <c r="U37" s="2">
        <v>97</v>
      </c>
      <c r="V37" s="7">
        <v>0</v>
      </c>
      <c r="W37" s="7">
        <f t="shared" si="7"/>
        <v>0.67500000000000004</v>
      </c>
      <c r="Y37" s="7">
        <v>7</v>
      </c>
      <c r="Z37" s="2">
        <v>1</v>
      </c>
      <c r="AA37" s="7">
        <f t="shared" si="8"/>
        <v>1</v>
      </c>
      <c r="AB37" s="7">
        <f t="shared" si="9"/>
        <v>1</v>
      </c>
      <c r="AD37" s="7">
        <v>7</v>
      </c>
      <c r="AE37" s="2">
        <v>1</v>
      </c>
      <c r="AF37" s="7">
        <f t="shared" si="10"/>
        <v>1</v>
      </c>
      <c r="AG37" s="7">
        <f t="shared" si="11"/>
        <v>1</v>
      </c>
    </row>
    <row r="38" spans="1:33" ht="15.6" x14ac:dyDescent="0.3">
      <c r="A38" s="2">
        <v>33</v>
      </c>
      <c r="B38" s="2">
        <v>62</v>
      </c>
      <c r="C38" s="6" t="s">
        <v>37</v>
      </c>
      <c r="D38" s="2">
        <v>123</v>
      </c>
      <c r="E38" s="2">
        <v>78</v>
      </c>
      <c r="F38" s="2">
        <v>98</v>
      </c>
      <c r="G38" s="2">
        <v>1.5149999999999999</v>
      </c>
      <c r="H38" s="2">
        <v>63.4</v>
      </c>
      <c r="I38" s="4">
        <f t="shared" si="0"/>
        <v>27.622564236621685</v>
      </c>
      <c r="J38" s="5" t="s">
        <v>31</v>
      </c>
      <c r="K38" s="2" t="s">
        <v>26</v>
      </c>
      <c r="L38" s="2" t="s">
        <v>32</v>
      </c>
      <c r="M38" s="2" t="s">
        <v>28</v>
      </c>
      <c r="N38" s="2" t="s">
        <v>25</v>
      </c>
      <c r="O38" s="2" t="s">
        <v>34</v>
      </c>
      <c r="P38" s="2" t="s">
        <v>36</v>
      </c>
      <c r="Q38" s="1"/>
      <c r="R38" s="1"/>
      <c r="T38" s="7">
        <v>8</v>
      </c>
      <c r="U38" s="2">
        <v>90</v>
      </c>
      <c r="V38" s="7">
        <f t="shared" si="12"/>
        <v>0</v>
      </c>
      <c r="W38" s="7">
        <f t="shared" si="7"/>
        <v>0.5</v>
      </c>
      <c r="Y38" s="7">
        <v>8</v>
      </c>
      <c r="Z38" s="2">
        <v>1</v>
      </c>
      <c r="AA38" s="7">
        <f t="shared" si="8"/>
        <v>1</v>
      </c>
      <c r="AB38" s="7">
        <f t="shared" si="9"/>
        <v>1</v>
      </c>
      <c r="AD38" s="7">
        <v>8</v>
      </c>
      <c r="AE38" s="2">
        <v>1</v>
      </c>
      <c r="AF38" s="7">
        <f t="shared" si="10"/>
        <v>1</v>
      </c>
      <c r="AG38" s="7">
        <f t="shared" si="11"/>
        <v>1</v>
      </c>
    </row>
    <row r="39" spans="1:33" ht="15.6" x14ac:dyDescent="0.3">
      <c r="A39" s="2">
        <v>34</v>
      </c>
      <c r="B39" s="2">
        <v>36</v>
      </c>
      <c r="C39" s="6" t="s">
        <v>37</v>
      </c>
      <c r="D39" s="2">
        <v>115</v>
      </c>
      <c r="E39" s="2">
        <v>83</v>
      </c>
      <c r="F39" s="2">
        <v>88</v>
      </c>
      <c r="G39" s="2">
        <v>1.46</v>
      </c>
      <c r="H39" s="2">
        <v>50.3</v>
      </c>
      <c r="I39" s="4">
        <f t="shared" si="0"/>
        <v>23.59729780446613</v>
      </c>
      <c r="J39" s="5" t="s">
        <v>31</v>
      </c>
      <c r="K39" s="2" t="s">
        <v>39</v>
      </c>
      <c r="L39" s="2" t="s">
        <v>27</v>
      </c>
      <c r="M39" s="2" t="s">
        <v>28</v>
      </c>
      <c r="N39" s="2" t="s">
        <v>25</v>
      </c>
      <c r="O39" s="2" t="s">
        <v>34</v>
      </c>
      <c r="P39" s="2" t="s">
        <v>36</v>
      </c>
      <c r="Q39" s="1"/>
      <c r="R39" s="1"/>
      <c r="T39" s="7">
        <v>9</v>
      </c>
      <c r="U39" s="2">
        <v>72</v>
      </c>
      <c r="V39" s="7">
        <f t="shared" si="12"/>
        <v>0.45</v>
      </c>
      <c r="W39" s="7">
        <f t="shared" si="7"/>
        <v>0.05</v>
      </c>
      <c r="Y39" s="7">
        <v>9</v>
      </c>
      <c r="Z39" s="2">
        <v>1</v>
      </c>
      <c r="AA39" s="7">
        <f t="shared" si="8"/>
        <v>1</v>
      </c>
      <c r="AB39" s="7">
        <f t="shared" si="9"/>
        <v>1</v>
      </c>
      <c r="AD39" s="7">
        <v>9</v>
      </c>
      <c r="AE39" s="2">
        <v>1</v>
      </c>
      <c r="AF39" s="7">
        <f t="shared" si="10"/>
        <v>1</v>
      </c>
      <c r="AG39" s="7">
        <f t="shared" si="11"/>
        <v>1</v>
      </c>
    </row>
    <row r="40" spans="1:33" ht="15.6" x14ac:dyDescent="0.3">
      <c r="A40" s="2">
        <v>35</v>
      </c>
      <c r="B40" s="2">
        <v>70</v>
      </c>
      <c r="C40" s="6" t="s">
        <v>37</v>
      </c>
      <c r="D40" s="2">
        <v>159</v>
      </c>
      <c r="E40" s="2">
        <v>83</v>
      </c>
      <c r="F40" s="2">
        <v>78</v>
      </c>
      <c r="G40" s="2">
        <v>1.42</v>
      </c>
      <c r="H40" s="2">
        <v>41.8</v>
      </c>
      <c r="I40" s="4">
        <f t="shared" si="0"/>
        <v>20.730013886133701</v>
      </c>
      <c r="J40" s="5" t="s">
        <v>31</v>
      </c>
      <c r="K40" s="2" t="s">
        <v>26</v>
      </c>
      <c r="L40" s="2" t="s">
        <v>27</v>
      </c>
      <c r="M40" s="2" t="s">
        <v>33</v>
      </c>
      <c r="N40" s="2" t="s">
        <v>25</v>
      </c>
      <c r="O40" s="2" t="s">
        <v>29</v>
      </c>
      <c r="P40" s="2" t="s">
        <v>30</v>
      </c>
      <c r="Q40" s="1"/>
      <c r="R40" s="1"/>
      <c r="T40" s="7">
        <v>10</v>
      </c>
      <c r="U40" s="2">
        <v>105</v>
      </c>
      <c r="V40" s="7">
        <v>0</v>
      </c>
      <c r="W40" s="7">
        <f t="shared" si="7"/>
        <v>0.875</v>
      </c>
      <c r="Y40" s="7">
        <v>10</v>
      </c>
      <c r="Z40" s="2">
        <v>1</v>
      </c>
      <c r="AA40" s="7">
        <f t="shared" si="8"/>
        <v>1</v>
      </c>
      <c r="AB40" s="7">
        <f t="shared" si="9"/>
        <v>1</v>
      </c>
      <c r="AD40" s="7">
        <v>10</v>
      </c>
      <c r="AE40" s="2">
        <v>0</v>
      </c>
      <c r="AF40" s="7">
        <f t="shared" si="10"/>
        <v>0</v>
      </c>
      <c r="AG40" s="7">
        <f t="shared" si="11"/>
        <v>0</v>
      </c>
    </row>
    <row r="41" spans="1:33" ht="15.6" x14ac:dyDescent="0.3">
      <c r="A41" s="2">
        <v>36</v>
      </c>
      <c r="B41" s="2">
        <v>32</v>
      </c>
      <c r="C41" s="6" t="s">
        <v>24</v>
      </c>
      <c r="D41" s="2">
        <v>133</v>
      </c>
      <c r="E41" s="2">
        <v>76</v>
      </c>
      <c r="F41" s="2">
        <v>88</v>
      </c>
      <c r="G41" s="2">
        <v>1.68</v>
      </c>
      <c r="H41" s="2">
        <v>74.400000000000006</v>
      </c>
      <c r="I41" s="4">
        <f t="shared" si="0"/>
        <v>26.360544217687082</v>
      </c>
      <c r="J41" s="2" t="s">
        <v>25</v>
      </c>
      <c r="K41" s="2" t="s">
        <v>26</v>
      </c>
      <c r="L41" s="2" t="s">
        <v>27</v>
      </c>
      <c r="M41" s="2" t="s">
        <v>28</v>
      </c>
      <c r="N41" s="2" t="s">
        <v>25</v>
      </c>
      <c r="O41" s="2" t="s">
        <v>29</v>
      </c>
      <c r="P41" s="2" t="s">
        <v>36</v>
      </c>
      <c r="Q41" s="1"/>
      <c r="R41" s="1"/>
      <c r="T41" s="7">
        <v>11</v>
      </c>
      <c r="U41" s="2">
        <v>101</v>
      </c>
      <c r="V41" s="7">
        <v>0</v>
      </c>
      <c r="W41" s="7">
        <f t="shared" si="7"/>
        <v>0.77500000000000002</v>
      </c>
      <c r="Y41" s="7">
        <v>11</v>
      </c>
      <c r="Z41" s="2">
        <v>1</v>
      </c>
      <c r="AA41" s="7">
        <f t="shared" si="8"/>
        <v>1</v>
      </c>
      <c r="AB41" s="7">
        <f t="shared" si="9"/>
        <v>1</v>
      </c>
      <c r="AD41" s="7">
        <v>11</v>
      </c>
      <c r="AE41" s="2">
        <v>1</v>
      </c>
      <c r="AF41" s="7">
        <f t="shared" si="10"/>
        <v>1</v>
      </c>
      <c r="AG41" s="7">
        <f t="shared" si="11"/>
        <v>1</v>
      </c>
    </row>
    <row r="42" spans="1:33" ht="15.6" x14ac:dyDescent="0.3">
      <c r="A42" s="2">
        <v>37</v>
      </c>
      <c r="B42" s="2">
        <v>43</v>
      </c>
      <c r="C42" s="6" t="s">
        <v>24</v>
      </c>
      <c r="D42" s="2">
        <v>149</v>
      </c>
      <c r="E42" s="2">
        <v>102</v>
      </c>
      <c r="F42" s="2">
        <v>128</v>
      </c>
      <c r="G42" s="2">
        <v>1.69</v>
      </c>
      <c r="H42" s="2">
        <v>115.3</v>
      </c>
      <c r="I42" s="4">
        <f t="shared" si="0"/>
        <v>40.369734953257947</v>
      </c>
      <c r="J42" s="2" t="s">
        <v>25</v>
      </c>
      <c r="K42" s="2" t="s">
        <v>39</v>
      </c>
      <c r="L42" s="2" t="s">
        <v>32</v>
      </c>
      <c r="M42" s="2" t="s">
        <v>33</v>
      </c>
      <c r="N42" s="2" t="s">
        <v>31</v>
      </c>
      <c r="O42" s="2" t="s">
        <v>38</v>
      </c>
      <c r="P42" s="2" t="s">
        <v>35</v>
      </c>
      <c r="Q42" s="1"/>
      <c r="R42" s="1"/>
      <c r="T42" s="7">
        <v>12</v>
      </c>
      <c r="U42" s="2">
        <v>91</v>
      </c>
      <c r="V42" s="7">
        <v>0</v>
      </c>
      <c r="W42" s="7">
        <f t="shared" si="7"/>
        <v>0.52500000000000002</v>
      </c>
      <c r="Y42" s="7">
        <v>12</v>
      </c>
      <c r="Z42" s="2">
        <v>1</v>
      </c>
      <c r="AA42" s="7">
        <f t="shared" si="8"/>
        <v>1</v>
      </c>
      <c r="AB42" s="7">
        <f t="shared" si="9"/>
        <v>1</v>
      </c>
      <c r="AD42" s="7">
        <v>12</v>
      </c>
      <c r="AE42" s="2">
        <v>1</v>
      </c>
      <c r="AF42" s="7">
        <f t="shared" si="10"/>
        <v>1</v>
      </c>
      <c r="AG42" s="7">
        <f t="shared" si="11"/>
        <v>1</v>
      </c>
    </row>
    <row r="43" spans="1:33" ht="15.6" x14ac:dyDescent="0.3">
      <c r="A43" s="2">
        <v>38</v>
      </c>
      <c r="B43" s="2">
        <v>31</v>
      </c>
      <c r="C43" s="6" t="s">
        <v>37</v>
      </c>
      <c r="D43" s="2">
        <v>122</v>
      </c>
      <c r="E43" s="2">
        <v>83</v>
      </c>
      <c r="F43" s="2">
        <v>89</v>
      </c>
      <c r="G43" s="2">
        <v>1.4750000000000001</v>
      </c>
      <c r="H43" s="2">
        <v>68.099999999999994</v>
      </c>
      <c r="I43" s="4">
        <f t="shared" si="0"/>
        <v>31.301350186727948</v>
      </c>
      <c r="J43" s="2" t="s">
        <v>31</v>
      </c>
      <c r="K43" s="2" t="s">
        <v>39</v>
      </c>
      <c r="L43" s="2" t="s">
        <v>32</v>
      </c>
      <c r="M43" s="2" t="s">
        <v>28</v>
      </c>
      <c r="N43" s="2" t="s">
        <v>31</v>
      </c>
      <c r="O43" s="2" t="s">
        <v>29</v>
      </c>
      <c r="P43" s="2" t="s">
        <v>30</v>
      </c>
      <c r="Q43" s="1"/>
      <c r="R43" s="1"/>
      <c r="T43" s="7">
        <v>13</v>
      </c>
      <c r="U43" s="2">
        <v>85</v>
      </c>
      <c r="V43" s="7">
        <f t="shared" si="12"/>
        <v>0.125</v>
      </c>
      <c r="W43" s="7">
        <f t="shared" si="7"/>
        <v>0.375</v>
      </c>
      <c r="Y43" s="7">
        <v>13</v>
      </c>
      <c r="Z43" s="2">
        <v>1</v>
      </c>
      <c r="AA43" s="7">
        <f t="shared" si="8"/>
        <v>1</v>
      </c>
      <c r="AB43" s="7">
        <f t="shared" si="9"/>
        <v>1</v>
      </c>
      <c r="AD43" s="7">
        <v>13</v>
      </c>
      <c r="AE43" s="2">
        <v>1</v>
      </c>
      <c r="AF43" s="7">
        <f t="shared" si="10"/>
        <v>1</v>
      </c>
      <c r="AG43" s="7">
        <f t="shared" si="11"/>
        <v>1</v>
      </c>
    </row>
    <row r="44" spans="1:33" ht="15.6" x14ac:dyDescent="0.3">
      <c r="A44" s="2">
        <v>39</v>
      </c>
      <c r="B44" s="2">
        <v>40</v>
      </c>
      <c r="C44" s="6" t="s">
        <v>37</v>
      </c>
      <c r="D44" s="2">
        <v>173</v>
      </c>
      <c r="E44" s="2">
        <v>103</v>
      </c>
      <c r="F44" s="2">
        <v>95</v>
      </c>
      <c r="G44" s="2">
        <v>1.54</v>
      </c>
      <c r="H44" s="2">
        <v>68.900000000000006</v>
      </c>
      <c r="I44" s="4">
        <f t="shared" si="0"/>
        <v>29.052116714454382</v>
      </c>
      <c r="J44" s="2" t="s">
        <v>31</v>
      </c>
      <c r="K44" s="2" t="s">
        <v>39</v>
      </c>
      <c r="L44" s="2" t="s">
        <v>27</v>
      </c>
      <c r="M44" s="2" t="s">
        <v>33</v>
      </c>
      <c r="N44" s="2" t="s">
        <v>25</v>
      </c>
      <c r="O44" s="2" t="s">
        <v>29</v>
      </c>
      <c r="P44" s="2" t="s">
        <v>35</v>
      </c>
      <c r="Q44" s="1"/>
      <c r="R44" s="1"/>
      <c r="T44" s="7">
        <v>14</v>
      </c>
      <c r="U44" s="2">
        <v>75</v>
      </c>
      <c r="V44" s="7">
        <f t="shared" si="12"/>
        <v>0.375</v>
      </c>
      <c r="W44" s="7">
        <f t="shared" si="7"/>
        <v>0.125</v>
      </c>
      <c r="Y44" s="7">
        <v>14</v>
      </c>
      <c r="Z44" s="2">
        <v>1</v>
      </c>
      <c r="AA44" s="7">
        <f t="shared" si="8"/>
        <v>1</v>
      </c>
      <c r="AB44" s="7">
        <f t="shared" si="9"/>
        <v>1</v>
      </c>
      <c r="AD44" s="7">
        <v>14</v>
      </c>
      <c r="AE44" s="2">
        <v>1</v>
      </c>
      <c r="AF44" s="7">
        <f t="shared" si="10"/>
        <v>1</v>
      </c>
      <c r="AG44" s="7">
        <f t="shared" si="11"/>
        <v>1</v>
      </c>
    </row>
    <row r="45" spans="1:33" ht="15.6" x14ac:dyDescent="0.3">
      <c r="A45" s="2">
        <v>40</v>
      </c>
      <c r="B45" s="2">
        <v>41</v>
      </c>
      <c r="C45" s="6" t="s">
        <v>37</v>
      </c>
      <c r="D45" s="2">
        <v>132</v>
      </c>
      <c r="E45" s="2">
        <v>101</v>
      </c>
      <c r="F45" s="2">
        <v>97</v>
      </c>
      <c r="G45" s="2">
        <v>1.5</v>
      </c>
      <c r="H45" s="2">
        <v>60.5</v>
      </c>
      <c r="I45" s="4">
        <f t="shared" si="0"/>
        <v>26.888888888888889</v>
      </c>
      <c r="J45" s="2" t="s">
        <v>31</v>
      </c>
      <c r="K45" s="2" t="s">
        <v>26</v>
      </c>
      <c r="L45" s="2" t="s">
        <v>32</v>
      </c>
      <c r="M45" s="2" t="s">
        <v>28</v>
      </c>
      <c r="N45" s="2" t="s">
        <v>31</v>
      </c>
      <c r="O45" s="2" t="s">
        <v>29</v>
      </c>
      <c r="P45" s="2" t="s">
        <v>30</v>
      </c>
      <c r="Q45" s="1"/>
      <c r="R45" s="1"/>
      <c r="T45" s="7">
        <v>15</v>
      </c>
      <c r="U45" s="2">
        <v>84</v>
      </c>
      <c r="V45" s="7">
        <f t="shared" si="12"/>
        <v>0.15</v>
      </c>
      <c r="W45" s="7">
        <f t="shared" si="7"/>
        <v>0.35</v>
      </c>
      <c r="Y45" s="7">
        <v>15</v>
      </c>
      <c r="Z45" s="2">
        <v>1</v>
      </c>
      <c r="AA45" s="7">
        <f t="shared" si="8"/>
        <v>1</v>
      </c>
      <c r="AB45" s="7">
        <f t="shared" si="9"/>
        <v>1</v>
      </c>
      <c r="AD45" s="7">
        <v>15</v>
      </c>
      <c r="AE45" s="2">
        <v>1</v>
      </c>
      <c r="AF45" s="7">
        <f t="shared" si="10"/>
        <v>1</v>
      </c>
      <c r="AG45" s="7">
        <f t="shared" si="11"/>
        <v>1</v>
      </c>
    </row>
    <row r="46" spans="1:33" ht="15.6" x14ac:dyDescent="0.3">
      <c r="A46" s="2">
        <v>41</v>
      </c>
      <c r="B46" s="2">
        <v>35</v>
      </c>
      <c r="C46" s="6" t="s">
        <v>24</v>
      </c>
      <c r="D46" s="2">
        <v>123</v>
      </c>
      <c r="E46" s="2">
        <v>86</v>
      </c>
      <c r="F46" s="2">
        <v>71</v>
      </c>
      <c r="G46" s="2">
        <v>1.615</v>
      </c>
      <c r="H46" s="2">
        <v>50.7</v>
      </c>
      <c r="I46" s="4">
        <f t="shared" si="0"/>
        <v>19.438507030643446</v>
      </c>
      <c r="J46" s="2" t="s">
        <v>25</v>
      </c>
      <c r="K46" s="2" t="s">
        <v>39</v>
      </c>
      <c r="L46" s="2" t="s">
        <v>27</v>
      </c>
      <c r="M46" s="2" t="s">
        <v>28</v>
      </c>
      <c r="N46" s="2" t="s">
        <v>25</v>
      </c>
      <c r="O46" s="2" t="s">
        <v>34</v>
      </c>
      <c r="P46" s="2" t="s">
        <v>30</v>
      </c>
      <c r="Q46" s="1"/>
      <c r="R46" s="1"/>
      <c r="T46" s="7">
        <v>16</v>
      </c>
      <c r="U46" s="2">
        <v>88</v>
      </c>
      <c r="V46" s="7">
        <f t="shared" si="12"/>
        <v>0.05</v>
      </c>
      <c r="W46" s="7">
        <f t="shared" si="7"/>
        <v>0.45</v>
      </c>
      <c r="Y46" s="7">
        <v>16</v>
      </c>
      <c r="Z46" s="2">
        <v>1</v>
      </c>
      <c r="AA46" s="7">
        <f t="shared" si="8"/>
        <v>1</v>
      </c>
      <c r="AB46" s="7">
        <f t="shared" si="9"/>
        <v>1</v>
      </c>
      <c r="AD46" s="7">
        <v>16</v>
      </c>
      <c r="AE46" s="2">
        <v>1</v>
      </c>
      <c r="AF46" s="7">
        <f t="shared" si="10"/>
        <v>1</v>
      </c>
      <c r="AG46" s="7">
        <f t="shared" si="11"/>
        <v>1</v>
      </c>
    </row>
    <row r="47" spans="1:33" ht="15.6" x14ac:dyDescent="0.3">
      <c r="A47" s="2">
        <v>42</v>
      </c>
      <c r="B47" s="2">
        <v>36</v>
      </c>
      <c r="C47" s="6" t="s">
        <v>37</v>
      </c>
      <c r="D47" s="2">
        <v>127</v>
      </c>
      <c r="E47" s="2">
        <v>98</v>
      </c>
      <c r="F47" s="2">
        <v>101</v>
      </c>
      <c r="G47" s="2">
        <v>1.6</v>
      </c>
      <c r="H47" s="2">
        <v>75.400000000000006</v>
      </c>
      <c r="I47" s="4">
        <f t="shared" si="0"/>
        <v>29.453124999999996</v>
      </c>
      <c r="J47" s="2" t="s">
        <v>31</v>
      </c>
      <c r="K47" s="2" t="s">
        <v>39</v>
      </c>
      <c r="L47" s="2" t="s">
        <v>27</v>
      </c>
      <c r="M47" s="2" t="s">
        <v>28</v>
      </c>
      <c r="N47" s="2" t="s">
        <v>31</v>
      </c>
      <c r="O47" s="2" t="s">
        <v>34</v>
      </c>
      <c r="P47" s="2" t="s">
        <v>30</v>
      </c>
      <c r="Q47" s="1"/>
      <c r="R47" s="1"/>
      <c r="T47" s="7">
        <v>17</v>
      </c>
      <c r="U47" s="2">
        <v>81</v>
      </c>
      <c r="V47" s="7">
        <f t="shared" si="12"/>
        <v>0.22500000000000001</v>
      </c>
      <c r="W47" s="7">
        <f t="shared" si="7"/>
        <v>0.27500000000000002</v>
      </c>
      <c r="Y47" s="7">
        <v>17</v>
      </c>
      <c r="Z47" s="2">
        <v>0</v>
      </c>
      <c r="AA47" s="7">
        <f t="shared" si="8"/>
        <v>0</v>
      </c>
      <c r="AB47" s="7">
        <f t="shared" si="9"/>
        <v>0</v>
      </c>
      <c r="AD47" s="7">
        <v>17</v>
      </c>
      <c r="AE47" s="2">
        <v>0</v>
      </c>
      <c r="AF47" s="7">
        <f t="shared" si="10"/>
        <v>0</v>
      </c>
      <c r="AG47" s="7">
        <f t="shared" si="11"/>
        <v>0</v>
      </c>
    </row>
    <row r="48" spans="1:33" ht="15.6" x14ac:dyDescent="0.3">
      <c r="A48" s="2">
        <v>43</v>
      </c>
      <c r="B48" s="2">
        <v>55</v>
      </c>
      <c r="C48" s="6" t="s">
        <v>37</v>
      </c>
      <c r="D48" s="2">
        <v>161</v>
      </c>
      <c r="E48" s="2">
        <v>100</v>
      </c>
      <c r="F48" s="2">
        <v>98</v>
      </c>
      <c r="G48" s="2">
        <v>1.42</v>
      </c>
      <c r="H48" s="2">
        <v>58.6</v>
      </c>
      <c r="I48" s="4">
        <f t="shared" si="0"/>
        <v>29.061694108311844</v>
      </c>
      <c r="J48" s="2" t="s">
        <v>31</v>
      </c>
      <c r="K48" s="2" t="s">
        <v>26</v>
      </c>
      <c r="L48" s="2" t="s">
        <v>32</v>
      </c>
      <c r="M48" s="2" t="s">
        <v>33</v>
      </c>
      <c r="N48" s="2" t="s">
        <v>31</v>
      </c>
      <c r="O48" s="2" t="s">
        <v>38</v>
      </c>
      <c r="P48" s="2" t="s">
        <v>35</v>
      </c>
      <c r="Q48" s="1"/>
      <c r="R48" s="1"/>
      <c r="T48" s="7">
        <v>18</v>
      </c>
      <c r="U48" s="2">
        <v>83</v>
      </c>
      <c r="V48" s="7">
        <f t="shared" si="12"/>
        <v>0.17499999999999999</v>
      </c>
      <c r="W48" s="7">
        <f t="shared" si="7"/>
        <v>0.32500000000000001</v>
      </c>
      <c r="Y48" s="7">
        <v>18</v>
      </c>
      <c r="Z48" s="2">
        <v>1</v>
      </c>
      <c r="AA48" s="7">
        <f t="shared" si="8"/>
        <v>1</v>
      </c>
      <c r="AB48" s="7">
        <f t="shared" si="9"/>
        <v>1</v>
      </c>
      <c r="AD48" s="7">
        <v>18</v>
      </c>
      <c r="AE48" s="2">
        <v>1</v>
      </c>
      <c r="AF48" s="7">
        <f t="shared" si="10"/>
        <v>1</v>
      </c>
      <c r="AG48" s="7">
        <f t="shared" si="11"/>
        <v>1</v>
      </c>
    </row>
    <row r="49" spans="1:33" ht="15.6" x14ac:dyDescent="0.3">
      <c r="A49" s="2">
        <v>44</v>
      </c>
      <c r="B49" s="2">
        <v>37</v>
      </c>
      <c r="C49" s="6" t="s">
        <v>37</v>
      </c>
      <c r="D49" s="2">
        <v>165</v>
      </c>
      <c r="E49" s="2">
        <v>90</v>
      </c>
      <c r="F49" s="2">
        <v>85</v>
      </c>
      <c r="G49" s="2">
        <v>1.4450000000000001</v>
      </c>
      <c r="H49" s="2">
        <v>53.3</v>
      </c>
      <c r="I49" s="4">
        <f t="shared" si="0"/>
        <v>25.526514289819325</v>
      </c>
      <c r="J49" s="2" t="s">
        <v>31</v>
      </c>
      <c r="K49" s="2" t="s">
        <v>26</v>
      </c>
      <c r="L49" s="2" t="s">
        <v>27</v>
      </c>
      <c r="M49" s="2" t="s">
        <v>33</v>
      </c>
      <c r="N49" s="2" t="s">
        <v>25</v>
      </c>
      <c r="O49" s="2" t="s">
        <v>38</v>
      </c>
      <c r="P49" s="2" t="s">
        <v>35</v>
      </c>
      <c r="Q49" s="1"/>
      <c r="R49" s="1"/>
      <c r="T49" s="7">
        <v>19</v>
      </c>
      <c r="U49" s="2">
        <v>79</v>
      </c>
      <c r="V49" s="7">
        <f t="shared" si="12"/>
        <v>0.27500000000000002</v>
      </c>
      <c r="W49" s="7">
        <f t="shared" si="7"/>
        <v>0.22500000000000001</v>
      </c>
      <c r="Y49" s="7">
        <v>19</v>
      </c>
      <c r="Z49" s="2">
        <v>1</v>
      </c>
      <c r="AA49" s="7">
        <f t="shared" si="8"/>
        <v>1</v>
      </c>
      <c r="AB49" s="7">
        <f t="shared" si="9"/>
        <v>1</v>
      </c>
      <c r="AD49" s="7">
        <v>19</v>
      </c>
      <c r="AE49" s="2">
        <v>1</v>
      </c>
      <c r="AF49" s="7">
        <f t="shared" si="10"/>
        <v>1</v>
      </c>
      <c r="AG49" s="7">
        <f t="shared" si="11"/>
        <v>1</v>
      </c>
    </row>
    <row r="50" spans="1:33" ht="15.6" x14ac:dyDescent="0.3">
      <c r="A50" s="2">
        <v>45</v>
      </c>
      <c r="B50" s="2">
        <v>70</v>
      </c>
      <c r="C50" s="6" t="s">
        <v>37</v>
      </c>
      <c r="D50" s="2">
        <v>166</v>
      </c>
      <c r="E50" s="2">
        <v>87</v>
      </c>
      <c r="F50" s="2">
        <v>85</v>
      </c>
      <c r="G50" s="2">
        <v>1.405</v>
      </c>
      <c r="H50" s="2">
        <v>38.9</v>
      </c>
      <c r="I50" s="4">
        <f t="shared" si="0"/>
        <v>19.705930775952684</v>
      </c>
      <c r="J50" s="2" t="s">
        <v>31</v>
      </c>
      <c r="K50" s="2" t="s">
        <v>39</v>
      </c>
      <c r="L50" s="2" t="s">
        <v>27</v>
      </c>
      <c r="M50" s="2" t="s">
        <v>33</v>
      </c>
      <c r="N50" s="2" t="s">
        <v>25</v>
      </c>
      <c r="O50" s="2" t="s">
        <v>38</v>
      </c>
      <c r="P50" s="2" t="s">
        <v>35</v>
      </c>
      <c r="Q50" s="1"/>
      <c r="R50" s="1"/>
      <c r="T50" s="7">
        <v>20</v>
      </c>
      <c r="U50" s="2">
        <v>108</v>
      </c>
      <c r="V50" s="7">
        <v>0</v>
      </c>
      <c r="W50" s="7">
        <f t="shared" si="7"/>
        <v>0.95</v>
      </c>
      <c r="Y50" s="7">
        <v>20</v>
      </c>
      <c r="Z50" s="2">
        <v>0</v>
      </c>
      <c r="AA50" s="7">
        <f t="shared" si="8"/>
        <v>0</v>
      </c>
      <c r="AB50" s="7">
        <f t="shared" si="9"/>
        <v>0</v>
      </c>
      <c r="AD50" s="7">
        <v>20</v>
      </c>
      <c r="AE50" s="2">
        <v>0</v>
      </c>
      <c r="AF50" s="7">
        <f t="shared" si="10"/>
        <v>0</v>
      </c>
      <c r="AG50" s="7">
        <f t="shared" si="11"/>
        <v>0</v>
      </c>
    </row>
    <row r="51" spans="1:33" ht="15.6" x14ac:dyDescent="0.3">
      <c r="A51" s="2">
        <v>46</v>
      </c>
      <c r="B51" s="2">
        <v>32</v>
      </c>
      <c r="C51" s="6" t="s">
        <v>37</v>
      </c>
      <c r="D51" s="2">
        <v>113</v>
      </c>
      <c r="E51" s="2">
        <v>80</v>
      </c>
      <c r="F51" s="2">
        <v>82</v>
      </c>
      <c r="G51" s="2">
        <v>1.48</v>
      </c>
      <c r="H51" s="2">
        <v>43.7</v>
      </c>
      <c r="I51" s="4">
        <f t="shared" si="0"/>
        <v>19.950693937180425</v>
      </c>
      <c r="J51" s="2" t="s">
        <v>31</v>
      </c>
      <c r="K51" s="2" t="s">
        <v>26</v>
      </c>
      <c r="L51" s="2" t="s">
        <v>27</v>
      </c>
      <c r="M51" s="2" t="s">
        <v>28</v>
      </c>
      <c r="N51" s="2" t="s">
        <v>25</v>
      </c>
      <c r="O51" s="2" t="s">
        <v>29</v>
      </c>
      <c r="P51" s="2" t="s">
        <v>36</v>
      </c>
      <c r="Q51" s="1"/>
      <c r="R51" s="1"/>
    </row>
    <row r="52" spans="1:33" ht="15.6" x14ac:dyDescent="0.3">
      <c r="A52" s="2">
        <v>47</v>
      </c>
      <c r="B52" s="2">
        <v>61</v>
      </c>
      <c r="C52" s="6" t="s">
        <v>24</v>
      </c>
      <c r="D52" s="2">
        <v>167</v>
      </c>
      <c r="E52" s="2">
        <v>103</v>
      </c>
      <c r="F52" s="2">
        <v>81</v>
      </c>
      <c r="G52" s="2">
        <v>1.52</v>
      </c>
      <c r="H52" s="2">
        <v>44</v>
      </c>
      <c r="I52" s="4">
        <f t="shared" si="0"/>
        <v>19.044321329639889</v>
      </c>
      <c r="J52" s="2" t="s">
        <v>25</v>
      </c>
      <c r="K52" s="2" t="s">
        <v>26</v>
      </c>
      <c r="L52" s="2" t="s">
        <v>27</v>
      </c>
      <c r="M52" s="2" t="s">
        <v>33</v>
      </c>
      <c r="N52" s="2" t="s">
        <v>31</v>
      </c>
      <c r="O52" s="2" t="s">
        <v>29</v>
      </c>
      <c r="P52" s="2" t="s">
        <v>35</v>
      </c>
      <c r="Q52" s="1"/>
      <c r="R52" s="1"/>
    </row>
    <row r="53" spans="1:33" ht="15.6" x14ac:dyDescent="0.3">
      <c r="A53" s="2">
        <v>48</v>
      </c>
      <c r="B53" s="2">
        <v>32</v>
      </c>
      <c r="C53" s="6" t="s">
        <v>37</v>
      </c>
      <c r="D53" s="2">
        <v>160</v>
      </c>
      <c r="E53" s="2">
        <v>118</v>
      </c>
      <c r="F53" s="2">
        <v>98</v>
      </c>
      <c r="G53" s="2">
        <v>1.5049999999999999</v>
      </c>
      <c r="H53" s="2">
        <v>64.3</v>
      </c>
      <c r="I53" s="4">
        <f t="shared" si="0"/>
        <v>28.388207635677315</v>
      </c>
      <c r="J53" s="2" t="s">
        <v>31</v>
      </c>
      <c r="K53" s="2" t="s">
        <v>26</v>
      </c>
      <c r="L53" s="2" t="s">
        <v>27</v>
      </c>
      <c r="M53" s="2" t="s">
        <v>33</v>
      </c>
      <c r="N53" s="2" t="s">
        <v>31</v>
      </c>
      <c r="O53" s="2" t="s">
        <v>38</v>
      </c>
      <c r="P53" s="2" t="s">
        <v>35</v>
      </c>
      <c r="Q53" s="1"/>
      <c r="R53" s="1"/>
      <c r="T53" s="9"/>
      <c r="U53" s="9" t="s">
        <v>44</v>
      </c>
      <c r="V53" s="9">
        <v>17</v>
      </c>
      <c r="W53" s="9">
        <v>25</v>
      </c>
      <c r="Z53" s="20" t="s">
        <v>27</v>
      </c>
      <c r="AA53">
        <v>1</v>
      </c>
      <c r="AB53">
        <v>0</v>
      </c>
    </row>
    <row r="54" spans="1:33" ht="15.6" x14ac:dyDescent="0.3">
      <c r="A54" s="2">
        <v>49</v>
      </c>
      <c r="B54" s="2">
        <v>39</v>
      </c>
      <c r="C54" s="6" t="s">
        <v>37</v>
      </c>
      <c r="D54" s="2">
        <v>167</v>
      </c>
      <c r="E54" s="2">
        <v>111</v>
      </c>
      <c r="F54" s="2">
        <v>93</v>
      </c>
      <c r="G54" s="2">
        <v>1.49</v>
      </c>
      <c r="H54" s="2">
        <v>46.7</v>
      </c>
      <c r="I54" s="4">
        <f t="shared" si="0"/>
        <v>21.035088509526599</v>
      </c>
      <c r="J54" s="2" t="s">
        <v>31</v>
      </c>
      <c r="K54" s="2" t="s">
        <v>39</v>
      </c>
      <c r="L54" s="2" t="s">
        <v>27</v>
      </c>
      <c r="M54" s="2" t="s">
        <v>33</v>
      </c>
      <c r="N54" s="2" t="s">
        <v>25</v>
      </c>
      <c r="O54" s="2" t="s">
        <v>38</v>
      </c>
      <c r="P54" s="2" t="s">
        <v>35</v>
      </c>
      <c r="Q54" s="1"/>
      <c r="R54" s="1"/>
      <c r="T54" s="9"/>
      <c r="U54" s="9" t="s">
        <v>47</v>
      </c>
      <c r="V54" s="9">
        <v>23</v>
      </c>
      <c r="W54" s="9">
        <v>31</v>
      </c>
      <c r="Z54" s="20" t="s">
        <v>32</v>
      </c>
      <c r="AA54">
        <v>0</v>
      </c>
      <c r="AB54">
        <v>1</v>
      </c>
    </row>
    <row r="55" spans="1:33" ht="15.6" x14ac:dyDescent="0.3">
      <c r="A55" s="2">
        <v>50</v>
      </c>
      <c r="B55" s="2">
        <v>27</v>
      </c>
      <c r="C55" s="6" t="s">
        <v>37</v>
      </c>
      <c r="D55" s="2">
        <v>148</v>
      </c>
      <c r="E55" s="2">
        <v>123</v>
      </c>
      <c r="F55" s="2">
        <v>106</v>
      </c>
      <c r="G55" s="2">
        <v>1.45</v>
      </c>
      <c r="H55" s="2">
        <v>78.8</v>
      </c>
      <c r="I55" s="4">
        <f t="shared" si="0"/>
        <v>37.479191438763372</v>
      </c>
      <c r="J55" s="2" t="s">
        <v>31</v>
      </c>
      <c r="K55" s="2" t="s">
        <v>39</v>
      </c>
      <c r="L55" s="2" t="s">
        <v>32</v>
      </c>
      <c r="M55" s="2" t="s">
        <v>28</v>
      </c>
      <c r="N55" s="2" t="s">
        <v>31</v>
      </c>
      <c r="O55" s="2" t="s">
        <v>38</v>
      </c>
      <c r="P55" s="2" t="s">
        <v>35</v>
      </c>
      <c r="Q55" s="1"/>
      <c r="R55" s="1"/>
      <c r="T55" s="8" t="s">
        <v>46</v>
      </c>
      <c r="U55" s="8" t="s">
        <v>10</v>
      </c>
      <c r="V55" s="8" t="s">
        <v>44</v>
      </c>
      <c r="W55" s="8" t="s">
        <v>47</v>
      </c>
      <c r="Y55" s="7" t="s">
        <v>46</v>
      </c>
      <c r="Z55" s="7" t="s">
        <v>13</v>
      </c>
      <c r="AA55" s="2" t="s">
        <v>27</v>
      </c>
      <c r="AB55" s="2" t="s">
        <v>32</v>
      </c>
    </row>
    <row r="56" spans="1:33" ht="15.6" x14ac:dyDescent="0.3">
      <c r="A56" s="2">
        <v>51</v>
      </c>
      <c r="B56" s="2">
        <v>27</v>
      </c>
      <c r="C56" s="6" t="s">
        <v>37</v>
      </c>
      <c r="D56" s="2">
        <v>127</v>
      </c>
      <c r="E56" s="2">
        <v>100</v>
      </c>
      <c r="F56" s="2">
        <v>83</v>
      </c>
      <c r="G56" s="2">
        <v>1.4750000000000001</v>
      </c>
      <c r="H56" s="2">
        <v>51.7</v>
      </c>
      <c r="I56" s="4">
        <f t="shared" si="0"/>
        <v>23.763286411950588</v>
      </c>
      <c r="J56" s="2" t="s">
        <v>25</v>
      </c>
      <c r="K56" s="2" t="s">
        <v>26</v>
      </c>
      <c r="L56" s="2" t="s">
        <v>27</v>
      </c>
      <c r="M56" s="2" t="s">
        <v>33</v>
      </c>
      <c r="N56" s="2" t="s">
        <v>25</v>
      </c>
      <c r="O56" s="2" t="s">
        <v>34</v>
      </c>
      <c r="P56" s="2" t="s">
        <v>36</v>
      </c>
      <c r="Q56" s="1"/>
      <c r="R56" s="1"/>
      <c r="T56" s="7">
        <v>1</v>
      </c>
      <c r="U56" s="4">
        <f>H5/(G5*G5)</f>
        <v>23.598931085099178</v>
      </c>
      <c r="V56" s="7">
        <f>($W$53-U56)/($W$53-$V$53)</f>
        <v>0.17513361436260277</v>
      </c>
      <c r="W56" s="7">
        <f>(U56-$V$54)/($W$54-$V$54)</f>
        <v>7.4866385637397226E-2</v>
      </c>
      <c r="Y56" s="7">
        <v>1</v>
      </c>
      <c r="Z56" s="2">
        <v>1</v>
      </c>
      <c r="AA56" s="7">
        <f>($AB$53-Z56)/($AB$53-$AA$53)</f>
        <v>1</v>
      </c>
      <c r="AB56" s="7">
        <f>(Z56-$AA$54)/($AB$54-$AA$54)</f>
        <v>1</v>
      </c>
    </row>
    <row r="57" spans="1:33" ht="15.6" x14ac:dyDescent="0.3">
      <c r="A57" s="2">
        <v>52</v>
      </c>
      <c r="B57" s="2">
        <v>80</v>
      </c>
      <c r="C57" s="6" t="s">
        <v>37</v>
      </c>
      <c r="D57" s="2">
        <v>156</v>
      </c>
      <c r="E57" s="2">
        <v>79</v>
      </c>
      <c r="F57" s="2">
        <v>87</v>
      </c>
      <c r="G57" s="2">
        <v>1.42</v>
      </c>
      <c r="H57" s="2">
        <v>40.4</v>
      </c>
      <c r="I57" s="4">
        <f t="shared" si="0"/>
        <v>20.035707200952192</v>
      </c>
      <c r="J57" s="2" t="s">
        <v>31</v>
      </c>
      <c r="K57" s="2" t="s">
        <v>39</v>
      </c>
      <c r="L57" s="2" t="s">
        <v>27</v>
      </c>
      <c r="M57" s="2" t="s">
        <v>33</v>
      </c>
      <c r="N57" s="2" t="s">
        <v>31</v>
      </c>
      <c r="O57" s="2" t="s">
        <v>34</v>
      </c>
      <c r="P57" s="2" t="s">
        <v>35</v>
      </c>
      <c r="Q57" s="1"/>
      <c r="R57" s="1"/>
      <c r="T57" s="7">
        <v>2</v>
      </c>
      <c r="U57" s="4">
        <f t="shared" ref="U57:U75" si="13">H6/(G6*G6)</f>
        <v>27.174526704053598</v>
      </c>
      <c r="V57" s="7">
        <v>0</v>
      </c>
      <c r="W57" s="7">
        <f t="shared" ref="W57:W75" si="14">(U57-$V$54)/($W$54-$V$54)</f>
        <v>0.52181583800669973</v>
      </c>
      <c r="Y57" s="7">
        <v>2</v>
      </c>
      <c r="Z57" s="2">
        <v>0</v>
      </c>
      <c r="AA57" s="7">
        <f t="shared" ref="AA57:AA75" si="15">($AB$53-Z57)/($AB$53-$AA$53)</f>
        <v>0</v>
      </c>
      <c r="AB57" s="7">
        <f t="shared" ref="AB57:AB75" si="16">(Z57-$AA$54)/($AB$54-$AA$54)</f>
        <v>0</v>
      </c>
    </row>
    <row r="58" spans="1:33" ht="15.6" x14ac:dyDescent="0.3">
      <c r="A58" s="2">
        <v>53</v>
      </c>
      <c r="B58" s="2">
        <v>39</v>
      </c>
      <c r="C58" s="6" t="s">
        <v>37</v>
      </c>
      <c r="D58" s="2">
        <v>166</v>
      </c>
      <c r="E58" s="2">
        <v>110</v>
      </c>
      <c r="F58" s="2">
        <v>94</v>
      </c>
      <c r="G58" s="2">
        <v>1.58</v>
      </c>
      <c r="H58" s="2">
        <v>68.099999999999994</v>
      </c>
      <c r="I58" s="4">
        <f t="shared" si="0"/>
        <v>27.279282166319494</v>
      </c>
      <c r="J58" s="2" t="s">
        <v>31</v>
      </c>
      <c r="K58" s="2" t="s">
        <v>39</v>
      </c>
      <c r="L58" s="2" t="s">
        <v>27</v>
      </c>
      <c r="M58" s="2" t="s">
        <v>33</v>
      </c>
      <c r="N58" s="2" t="s">
        <v>31</v>
      </c>
      <c r="O58" s="2" t="s">
        <v>34</v>
      </c>
      <c r="P58" s="2" t="s">
        <v>35</v>
      </c>
      <c r="Q58" s="1"/>
      <c r="R58" s="1"/>
      <c r="T58" s="7">
        <v>3</v>
      </c>
      <c r="U58" s="4">
        <f t="shared" si="13"/>
        <v>26.840928029472394</v>
      </c>
      <c r="V58" s="7">
        <v>0</v>
      </c>
      <c r="W58" s="7">
        <f t="shared" si="14"/>
        <v>0.48011600368404928</v>
      </c>
      <c r="Y58" s="7">
        <v>3</v>
      </c>
      <c r="Z58" s="2">
        <v>1</v>
      </c>
      <c r="AA58" s="7">
        <f t="shared" si="15"/>
        <v>1</v>
      </c>
      <c r="AB58" s="7">
        <f t="shared" si="16"/>
        <v>1</v>
      </c>
    </row>
    <row r="59" spans="1:33" ht="15.6" x14ac:dyDescent="0.3">
      <c r="A59" s="2">
        <v>54</v>
      </c>
      <c r="B59" s="2">
        <v>80</v>
      </c>
      <c r="C59" s="6" t="s">
        <v>24</v>
      </c>
      <c r="D59" s="2">
        <v>167</v>
      </c>
      <c r="E59" s="2">
        <v>89</v>
      </c>
      <c r="F59" s="2">
        <v>78</v>
      </c>
      <c r="G59" s="2">
        <v>1.55</v>
      </c>
      <c r="H59" s="2">
        <v>50.2</v>
      </c>
      <c r="I59" s="4">
        <f t="shared" si="0"/>
        <v>20.894901144640997</v>
      </c>
      <c r="J59" s="2" t="s">
        <v>31</v>
      </c>
      <c r="K59" s="2" t="s">
        <v>26</v>
      </c>
      <c r="L59" s="2" t="s">
        <v>27</v>
      </c>
      <c r="M59" s="2" t="s">
        <v>28</v>
      </c>
      <c r="N59" s="2" t="s">
        <v>31</v>
      </c>
      <c r="O59" s="2" t="s">
        <v>29</v>
      </c>
      <c r="P59" s="2" t="s">
        <v>30</v>
      </c>
      <c r="Q59" s="1"/>
      <c r="R59" s="1"/>
      <c r="T59" s="7">
        <v>4</v>
      </c>
      <c r="U59" s="4">
        <f t="shared" si="13"/>
        <v>28.356290174471997</v>
      </c>
      <c r="V59" s="7">
        <v>0</v>
      </c>
      <c r="W59" s="7">
        <f t="shared" si="14"/>
        <v>0.66953627180899966</v>
      </c>
      <c r="Y59" s="7">
        <v>4</v>
      </c>
      <c r="Z59" s="2">
        <v>1</v>
      </c>
      <c r="AA59" s="7">
        <f t="shared" si="15"/>
        <v>1</v>
      </c>
      <c r="AB59" s="7">
        <f t="shared" si="16"/>
        <v>1</v>
      </c>
    </row>
    <row r="60" spans="1:33" ht="15.6" x14ac:dyDescent="0.3">
      <c r="A60" s="2">
        <v>55</v>
      </c>
      <c r="B60" s="2">
        <v>24</v>
      </c>
      <c r="C60" s="6" t="s">
        <v>37</v>
      </c>
      <c r="D60" s="2">
        <v>109</v>
      </c>
      <c r="E60" s="2">
        <v>78</v>
      </c>
      <c r="F60" s="2">
        <v>68</v>
      </c>
      <c r="G60" s="2">
        <v>1.5149999999999999</v>
      </c>
      <c r="H60" s="2">
        <v>40.4</v>
      </c>
      <c r="I60" s="4">
        <f t="shared" si="0"/>
        <v>17.601760176017603</v>
      </c>
      <c r="J60" s="2" t="s">
        <v>31</v>
      </c>
      <c r="K60" s="2" t="s">
        <v>26</v>
      </c>
      <c r="L60" s="2" t="s">
        <v>27</v>
      </c>
      <c r="M60" s="2" t="s">
        <v>28</v>
      </c>
      <c r="N60" s="2" t="s">
        <v>25</v>
      </c>
      <c r="O60" s="2" t="s">
        <v>38</v>
      </c>
      <c r="P60" s="2" t="s">
        <v>36</v>
      </c>
      <c r="Q60" s="1"/>
      <c r="R60" s="1"/>
      <c r="T60" s="7">
        <v>5</v>
      </c>
      <c r="U60" s="4">
        <f t="shared" si="13"/>
        <v>27.531908650789774</v>
      </c>
      <c r="V60" s="7">
        <v>0</v>
      </c>
      <c r="W60" s="7">
        <f t="shared" si="14"/>
        <v>0.56648858134872171</v>
      </c>
      <c r="Y60" s="7">
        <v>5</v>
      </c>
      <c r="Z60" s="2">
        <v>0</v>
      </c>
      <c r="AA60" s="7">
        <f t="shared" si="15"/>
        <v>0</v>
      </c>
      <c r="AB60" s="7">
        <f t="shared" si="16"/>
        <v>0</v>
      </c>
    </row>
    <row r="61" spans="1:33" ht="15.6" x14ac:dyDescent="0.3">
      <c r="A61" s="2">
        <v>56</v>
      </c>
      <c r="B61" s="2">
        <v>51</v>
      </c>
      <c r="C61" s="6" t="s">
        <v>37</v>
      </c>
      <c r="D61" s="2">
        <v>161</v>
      </c>
      <c r="E61" s="2">
        <v>98</v>
      </c>
      <c r="F61" s="2">
        <v>85</v>
      </c>
      <c r="G61" s="2">
        <v>1.42</v>
      </c>
      <c r="H61" s="2">
        <v>46</v>
      </c>
      <c r="I61" s="4">
        <f t="shared" si="0"/>
        <v>22.812933941678239</v>
      </c>
      <c r="J61" s="2" t="s">
        <v>31</v>
      </c>
      <c r="K61" s="2" t="s">
        <v>39</v>
      </c>
      <c r="L61" s="2" t="s">
        <v>27</v>
      </c>
      <c r="M61" s="2" t="s">
        <v>33</v>
      </c>
      <c r="N61" s="2" t="s">
        <v>31</v>
      </c>
      <c r="O61" s="2" t="s">
        <v>29</v>
      </c>
      <c r="P61" s="2" t="s">
        <v>35</v>
      </c>
      <c r="Q61" s="1"/>
      <c r="R61" s="1"/>
      <c r="T61" s="7">
        <v>6</v>
      </c>
      <c r="U61" s="4">
        <f t="shared" si="13"/>
        <v>25.355998214937724</v>
      </c>
      <c r="V61" s="7">
        <v>0</v>
      </c>
      <c r="W61" s="7">
        <f t="shared" si="14"/>
        <v>0.29449977686721551</v>
      </c>
      <c r="Y61" s="7">
        <v>6</v>
      </c>
      <c r="Z61" s="2">
        <v>1</v>
      </c>
      <c r="AA61" s="7">
        <f t="shared" si="15"/>
        <v>1</v>
      </c>
      <c r="AB61" s="7">
        <f t="shared" si="16"/>
        <v>1</v>
      </c>
    </row>
    <row r="62" spans="1:33" ht="15.6" x14ac:dyDescent="0.3">
      <c r="A62" s="2">
        <v>57</v>
      </c>
      <c r="B62" s="2">
        <v>22</v>
      </c>
      <c r="C62" s="6" t="s">
        <v>37</v>
      </c>
      <c r="D62" s="2">
        <v>133</v>
      </c>
      <c r="E62" s="2">
        <v>89</v>
      </c>
      <c r="F62" s="2">
        <v>70</v>
      </c>
      <c r="G62" s="2">
        <v>1.49</v>
      </c>
      <c r="H62" s="2">
        <v>41.6</v>
      </c>
      <c r="I62" s="4">
        <f t="shared" si="0"/>
        <v>18.737894689428405</v>
      </c>
      <c r="J62" s="2" t="s">
        <v>31</v>
      </c>
      <c r="K62" s="2" t="s">
        <v>26</v>
      </c>
      <c r="L62" s="2" t="s">
        <v>27</v>
      </c>
      <c r="M62" s="2" t="s">
        <v>28</v>
      </c>
      <c r="N62" s="2" t="s">
        <v>25</v>
      </c>
      <c r="O62" s="2" t="s">
        <v>34</v>
      </c>
      <c r="P62" s="2" t="s">
        <v>36</v>
      </c>
      <c r="Q62" s="1"/>
      <c r="R62" s="1"/>
      <c r="T62" s="7">
        <v>7</v>
      </c>
      <c r="U62" s="4">
        <f t="shared" si="13"/>
        <v>27.695595003287313</v>
      </c>
      <c r="V62" s="7">
        <v>0</v>
      </c>
      <c r="W62" s="7">
        <f t="shared" si="14"/>
        <v>0.58694937541091408</v>
      </c>
      <c r="Y62" s="7">
        <v>7</v>
      </c>
      <c r="Z62" s="2">
        <v>1</v>
      </c>
      <c r="AA62" s="7">
        <f t="shared" si="15"/>
        <v>1</v>
      </c>
      <c r="AB62" s="7">
        <f t="shared" si="16"/>
        <v>1</v>
      </c>
    </row>
    <row r="63" spans="1:33" ht="15.6" x14ac:dyDescent="0.3">
      <c r="A63" s="2">
        <v>58</v>
      </c>
      <c r="B63" s="2">
        <v>65</v>
      </c>
      <c r="C63" s="6" t="s">
        <v>24</v>
      </c>
      <c r="D63" s="2">
        <v>138</v>
      </c>
      <c r="E63" s="2">
        <v>81</v>
      </c>
      <c r="F63" s="2">
        <v>91</v>
      </c>
      <c r="G63" s="2">
        <v>1.63</v>
      </c>
      <c r="H63" s="2">
        <v>65.8</v>
      </c>
      <c r="I63" s="4">
        <f t="shared" si="0"/>
        <v>24.765704392336936</v>
      </c>
      <c r="J63" s="2" t="s">
        <v>25</v>
      </c>
      <c r="K63" s="2" t="s">
        <v>26</v>
      </c>
      <c r="L63" s="2" t="s">
        <v>27</v>
      </c>
      <c r="M63" s="2" t="s">
        <v>33</v>
      </c>
      <c r="N63" s="2" t="s">
        <v>25</v>
      </c>
      <c r="O63" s="2" t="s">
        <v>29</v>
      </c>
      <c r="P63" s="2" t="s">
        <v>30</v>
      </c>
      <c r="Q63" s="1"/>
      <c r="R63" s="1"/>
      <c r="T63" s="7">
        <v>8</v>
      </c>
      <c r="U63" s="4">
        <f t="shared" si="13"/>
        <v>24.019515856633518</v>
      </c>
      <c r="V63" s="7">
        <f t="shared" ref="V63:V74" si="17">($W$53-U63)/($W$53-$V$53)</f>
        <v>0.12256051792081024</v>
      </c>
      <c r="W63" s="7">
        <f t="shared" si="14"/>
        <v>0.12743948207918976</v>
      </c>
      <c r="Y63" s="7">
        <v>8</v>
      </c>
      <c r="Z63" s="2">
        <v>1</v>
      </c>
      <c r="AA63" s="7">
        <f t="shared" si="15"/>
        <v>1</v>
      </c>
      <c r="AB63" s="7">
        <f t="shared" si="16"/>
        <v>1</v>
      </c>
    </row>
    <row r="64" spans="1:33" ht="15.6" x14ac:dyDescent="0.3">
      <c r="A64" s="2">
        <v>59</v>
      </c>
      <c r="B64" s="2">
        <v>23</v>
      </c>
      <c r="C64" s="6" t="s">
        <v>37</v>
      </c>
      <c r="D64" s="2">
        <v>141</v>
      </c>
      <c r="E64" s="2">
        <v>96</v>
      </c>
      <c r="F64" s="2">
        <v>85</v>
      </c>
      <c r="G64" s="2">
        <v>1.5</v>
      </c>
      <c r="H64" s="2">
        <v>51.7</v>
      </c>
      <c r="I64" s="4">
        <f t="shared" si="0"/>
        <v>22.977777777777778</v>
      </c>
      <c r="J64" s="2" t="s">
        <v>31</v>
      </c>
      <c r="K64" s="2" t="s">
        <v>26</v>
      </c>
      <c r="L64" s="2" t="s">
        <v>27</v>
      </c>
      <c r="M64" s="2" t="s">
        <v>28</v>
      </c>
      <c r="N64" s="2" t="s">
        <v>25</v>
      </c>
      <c r="O64" s="2" t="s">
        <v>29</v>
      </c>
      <c r="P64" s="2" t="s">
        <v>36</v>
      </c>
      <c r="Q64" s="1"/>
      <c r="R64" s="1"/>
      <c r="T64" s="7">
        <v>9</v>
      </c>
      <c r="U64" s="4">
        <f t="shared" si="13"/>
        <v>19.522405912255973</v>
      </c>
      <c r="V64" s="7">
        <f t="shared" si="17"/>
        <v>0.68469926096800338</v>
      </c>
      <c r="W64" s="7">
        <v>0</v>
      </c>
      <c r="Y64" s="7">
        <v>9</v>
      </c>
      <c r="Z64" s="2">
        <v>1</v>
      </c>
      <c r="AA64" s="7">
        <f t="shared" si="15"/>
        <v>1</v>
      </c>
      <c r="AB64" s="7">
        <f t="shared" si="16"/>
        <v>1</v>
      </c>
    </row>
    <row r="65" spans="1:28" ht="15.6" x14ac:dyDescent="0.3">
      <c r="A65" s="2">
        <v>60</v>
      </c>
      <c r="B65" s="2">
        <v>64</v>
      </c>
      <c r="C65" s="6" t="s">
        <v>37</v>
      </c>
      <c r="D65" s="2">
        <v>179</v>
      </c>
      <c r="E65" s="2">
        <v>113</v>
      </c>
      <c r="F65" s="2">
        <v>91</v>
      </c>
      <c r="G65" s="2">
        <v>1.46</v>
      </c>
      <c r="H65" s="2">
        <v>59.6</v>
      </c>
      <c r="I65" s="4">
        <f t="shared" si="0"/>
        <v>27.960217676862456</v>
      </c>
      <c r="J65" s="2" t="s">
        <v>31</v>
      </c>
      <c r="K65" s="2" t="s">
        <v>39</v>
      </c>
      <c r="L65" s="2" t="s">
        <v>27</v>
      </c>
      <c r="M65" s="2" t="s">
        <v>33</v>
      </c>
      <c r="N65" s="2" t="s">
        <v>31</v>
      </c>
      <c r="O65" s="2" t="s">
        <v>29</v>
      </c>
      <c r="P65" s="2" t="s">
        <v>35</v>
      </c>
      <c r="Q65" s="1"/>
      <c r="R65" s="1"/>
      <c r="T65" s="7">
        <v>10</v>
      </c>
      <c r="U65" s="4">
        <f t="shared" si="13"/>
        <v>26.805411030176899</v>
      </c>
      <c r="V65" s="7">
        <v>0</v>
      </c>
      <c r="W65" s="7">
        <f t="shared" si="14"/>
        <v>0.47567637877211233</v>
      </c>
      <c r="Y65" s="7">
        <v>10</v>
      </c>
      <c r="Z65" s="2">
        <v>1</v>
      </c>
      <c r="AA65" s="7">
        <f t="shared" si="15"/>
        <v>1</v>
      </c>
      <c r="AB65" s="7">
        <f t="shared" si="16"/>
        <v>1</v>
      </c>
    </row>
    <row r="66" spans="1:28" ht="15.6" x14ac:dyDescent="0.3">
      <c r="A66" s="2">
        <v>61</v>
      </c>
      <c r="B66" s="2">
        <v>30</v>
      </c>
      <c r="C66" s="6" t="s">
        <v>37</v>
      </c>
      <c r="D66" s="2">
        <v>113</v>
      </c>
      <c r="E66" s="2">
        <v>79</v>
      </c>
      <c r="F66" s="2">
        <v>94</v>
      </c>
      <c r="G66" s="2">
        <v>1.54</v>
      </c>
      <c r="H66" s="2">
        <v>65.099999999999994</v>
      </c>
      <c r="I66" s="4">
        <f t="shared" si="0"/>
        <v>27.449822904368357</v>
      </c>
      <c r="J66" s="2" t="s">
        <v>31</v>
      </c>
      <c r="K66" s="2" t="s">
        <v>39</v>
      </c>
      <c r="L66" s="2" t="s">
        <v>27</v>
      </c>
      <c r="M66" s="2" t="s">
        <v>33</v>
      </c>
      <c r="N66" s="2" t="s">
        <v>31</v>
      </c>
      <c r="O66" s="2" t="s">
        <v>34</v>
      </c>
      <c r="P66" s="2" t="s">
        <v>30</v>
      </c>
      <c r="Q66" s="1"/>
      <c r="R66" s="1"/>
      <c r="T66" s="7">
        <v>11</v>
      </c>
      <c r="U66" s="4">
        <f t="shared" si="13"/>
        <v>31.563146577954477</v>
      </c>
      <c r="V66" s="7">
        <v>0</v>
      </c>
      <c r="W66" s="7">
        <f t="shared" si="14"/>
        <v>1.0703933222443096</v>
      </c>
      <c r="Y66" s="7">
        <v>11</v>
      </c>
      <c r="Z66" s="2">
        <v>1</v>
      </c>
      <c r="AA66" s="7">
        <f t="shared" si="15"/>
        <v>1</v>
      </c>
      <c r="AB66" s="7">
        <f t="shared" si="16"/>
        <v>1</v>
      </c>
    </row>
    <row r="67" spans="1:28" ht="15.6" x14ac:dyDescent="0.3">
      <c r="A67" s="2">
        <v>62</v>
      </c>
      <c r="B67" s="2">
        <v>27</v>
      </c>
      <c r="C67" s="6" t="s">
        <v>37</v>
      </c>
      <c r="D67" s="2">
        <v>143</v>
      </c>
      <c r="E67" s="2">
        <v>107</v>
      </c>
      <c r="F67" s="2">
        <v>106</v>
      </c>
      <c r="G67" s="2">
        <v>1.44</v>
      </c>
      <c r="H67" s="2">
        <v>76.5</v>
      </c>
      <c r="I67" s="4">
        <f t="shared" si="0"/>
        <v>36.892361111111114</v>
      </c>
      <c r="J67" s="2" t="s">
        <v>25</v>
      </c>
      <c r="K67" s="2" t="s">
        <v>26</v>
      </c>
      <c r="L67" s="2" t="s">
        <v>32</v>
      </c>
      <c r="M67" s="2" t="s">
        <v>33</v>
      </c>
      <c r="N67" s="2" t="s">
        <v>31</v>
      </c>
      <c r="O67" s="2" t="s">
        <v>34</v>
      </c>
      <c r="P67" s="2" t="s">
        <v>35</v>
      </c>
      <c r="Q67" s="1"/>
      <c r="R67" s="1"/>
      <c r="T67" s="7">
        <v>12</v>
      </c>
      <c r="U67" s="4">
        <f t="shared" si="13"/>
        <v>22.853769607016361</v>
      </c>
      <c r="V67" s="7">
        <f t="shared" si="17"/>
        <v>0.26827879912295494</v>
      </c>
      <c r="W67" s="7">
        <v>0</v>
      </c>
      <c r="Y67" s="7">
        <v>12</v>
      </c>
      <c r="Z67" s="2">
        <v>1</v>
      </c>
      <c r="AA67" s="7">
        <f t="shared" si="15"/>
        <v>1</v>
      </c>
      <c r="AB67" s="7">
        <f t="shared" si="16"/>
        <v>1</v>
      </c>
    </row>
    <row r="68" spans="1:28" ht="15.6" x14ac:dyDescent="0.3">
      <c r="A68" s="2">
        <v>63</v>
      </c>
      <c r="B68" s="2">
        <v>53</v>
      </c>
      <c r="C68" s="6" t="s">
        <v>37</v>
      </c>
      <c r="D68" s="2">
        <v>208</v>
      </c>
      <c r="E68" s="2">
        <v>113</v>
      </c>
      <c r="F68" s="2">
        <v>92</v>
      </c>
      <c r="G68" s="2">
        <v>1.45</v>
      </c>
      <c r="H68" s="2">
        <v>45</v>
      </c>
      <c r="I68" s="4">
        <f t="shared" si="0"/>
        <v>21.403091557669441</v>
      </c>
      <c r="J68" s="2" t="s">
        <v>31</v>
      </c>
      <c r="K68" s="2" t="s">
        <v>39</v>
      </c>
      <c r="L68" s="2" t="s">
        <v>27</v>
      </c>
      <c r="M68" s="2" t="s">
        <v>33</v>
      </c>
      <c r="N68" s="2" t="s">
        <v>31</v>
      </c>
      <c r="O68" s="2" t="s">
        <v>34</v>
      </c>
      <c r="P68" s="2" t="s">
        <v>35</v>
      </c>
      <c r="Q68" s="1"/>
      <c r="R68" s="1"/>
      <c r="T68" s="7">
        <v>13</v>
      </c>
      <c r="U68" s="4">
        <f t="shared" si="13"/>
        <v>27.028166638556247</v>
      </c>
      <c r="V68" s="7">
        <v>0</v>
      </c>
      <c r="W68" s="7">
        <f t="shared" si="14"/>
        <v>0.50352082981953084</v>
      </c>
      <c r="Y68" s="7">
        <v>13</v>
      </c>
      <c r="Z68" s="2">
        <v>0</v>
      </c>
      <c r="AA68" s="7">
        <f t="shared" si="15"/>
        <v>0</v>
      </c>
      <c r="AB68" s="7">
        <f t="shared" si="16"/>
        <v>0</v>
      </c>
    </row>
    <row r="69" spans="1:28" ht="15.6" x14ac:dyDescent="0.3">
      <c r="A69" s="2">
        <v>64</v>
      </c>
      <c r="B69" s="2">
        <v>34</v>
      </c>
      <c r="C69" s="6" t="s">
        <v>37</v>
      </c>
      <c r="D69" s="2">
        <v>126</v>
      </c>
      <c r="E69" s="2">
        <v>86</v>
      </c>
      <c r="F69" s="2">
        <v>108</v>
      </c>
      <c r="G69" s="2">
        <v>1.45</v>
      </c>
      <c r="H69" s="2">
        <v>62.1</v>
      </c>
      <c r="I69" s="4">
        <f t="shared" si="0"/>
        <v>29.53626634958383</v>
      </c>
      <c r="J69" s="2" t="s">
        <v>31</v>
      </c>
      <c r="K69" s="2" t="s">
        <v>39</v>
      </c>
      <c r="L69" s="2" t="s">
        <v>27</v>
      </c>
      <c r="M69" s="2" t="s">
        <v>33</v>
      </c>
      <c r="N69" s="2" t="s">
        <v>25</v>
      </c>
      <c r="O69" s="2" t="s">
        <v>34</v>
      </c>
      <c r="P69" s="2" t="s">
        <v>30</v>
      </c>
      <c r="Q69" s="1"/>
      <c r="R69" s="1"/>
      <c r="T69" s="7">
        <v>14</v>
      </c>
      <c r="U69" s="4">
        <f t="shared" si="13"/>
        <v>21.533120660536689</v>
      </c>
      <c r="V69" s="7">
        <f t="shared" si="17"/>
        <v>0.43335991743291391</v>
      </c>
      <c r="W69" s="7">
        <v>0</v>
      </c>
      <c r="Y69" s="7">
        <v>14</v>
      </c>
      <c r="Z69" s="2">
        <v>1</v>
      </c>
      <c r="AA69" s="7">
        <f t="shared" si="15"/>
        <v>1</v>
      </c>
      <c r="AB69" s="7">
        <f t="shared" si="16"/>
        <v>1</v>
      </c>
    </row>
    <row r="70" spans="1:28" ht="15.6" x14ac:dyDescent="0.3">
      <c r="A70" s="2">
        <v>65</v>
      </c>
      <c r="B70" s="2">
        <v>43</v>
      </c>
      <c r="C70" s="6" t="s">
        <v>37</v>
      </c>
      <c r="D70" s="2">
        <v>130</v>
      </c>
      <c r="E70" s="2">
        <v>82</v>
      </c>
      <c r="F70" s="2">
        <v>80</v>
      </c>
      <c r="G70" s="2">
        <v>1.44</v>
      </c>
      <c r="H70" s="2">
        <v>43.9</v>
      </c>
      <c r="I70" s="4">
        <f t="shared" ref="I70:I80" si="18">H70/(G70*G70)</f>
        <v>21.170910493827162</v>
      </c>
      <c r="J70" s="2" t="s">
        <v>31</v>
      </c>
      <c r="K70" s="2" t="s">
        <v>26</v>
      </c>
      <c r="L70" s="2" t="s">
        <v>27</v>
      </c>
      <c r="M70" s="2" t="s">
        <v>33</v>
      </c>
      <c r="N70" s="2" t="s">
        <v>25</v>
      </c>
      <c r="O70" s="2" t="s">
        <v>34</v>
      </c>
      <c r="P70" s="2" t="s">
        <v>36</v>
      </c>
      <c r="Q70" s="1"/>
      <c r="R70" s="1"/>
      <c r="T70" s="7">
        <v>15</v>
      </c>
      <c r="U70" s="4">
        <f t="shared" si="13"/>
        <v>23.319615912208501</v>
      </c>
      <c r="V70" s="7">
        <f t="shared" si="17"/>
        <v>0.21004801097393733</v>
      </c>
      <c r="W70" s="7">
        <f t="shared" si="14"/>
        <v>3.9951989026062673E-2</v>
      </c>
      <c r="Y70" s="7">
        <v>15</v>
      </c>
      <c r="Z70" s="2">
        <v>1</v>
      </c>
      <c r="AA70" s="7">
        <f t="shared" si="15"/>
        <v>1</v>
      </c>
      <c r="AB70" s="7">
        <f t="shared" si="16"/>
        <v>1</v>
      </c>
    </row>
    <row r="71" spans="1:28" ht="15.6" x14ac:dyDescent="0.3">
      <c r="A71" s="2">
        <v>66</v>
      </c>
      <c r="B71" s="2">
        <v>41</v>
      </c>
      <c r="C71" s="6" t="s">
        <v>37</v>
      </c>
      <c r="D71" s="2">
        <v>198</v>
      </c>
      <c r="E71" s="2">
        <v>122</v>
      </c>
      <c r="F71" s="2">
        <v>77</v>
      </c>
      <c r="G71" s="2">
        <v>1.43</v>
      </c>
      <c r="H71" s="2">
        <v>43.8</v>
      </c>
      <c r="I71" s="4">
        <f t="shared" si="18"/>
        <v>21.419140300259183</v>
      </c>
      <c r="J71" s="2" t="s">
        <v>31</v>
      </c>
      <c r="K71" s="2" t="s">
        <v>39</v>
      </c>
      <c r="L71" s="2" t="s">
        <v>27</v>
      </c>
      <c r="M71" s="2" t="s">
        <v>28</v>
      </c>
      <c r="N71" s="2" t="s">
        <v>31</v>
      </c>
      <c r="O71" s="2" t="s">
        <v>38</v>
      </c>
      <c r="P71" s="2" t="s">
        <v>35</v>
      </c>
      <c r="Q71" s="1"/>
      <c r="R71" s="1"/>
      <c r="T71" s="7">
        <v>16</v>
      </c>
      <c r="U71" s="4">
        <f t="shared" si="13"/>
        <v>20.176778194270909</v>
      </c>
      <c r="V71" s="7">
        <f t="shared" si="17"/>
        <v>0.60290272571613635</v>
      </c>
      <c r="W71" s="7">
        <v>0</v>
      </c>
      <c r="Y71" s="7">
        <v>16</v>
      </c>
      <c r="Z71" s="2">
        <v>1</v>
      </c>
      <c r="AA71" s="7">
        <f t="shared" si="15"/>
        <v>1</v>
      </c>
      <c r="AB71" s="7">
        <f t="shared" si="16"/>
        <v>1</v>
      </c>
    </row>
    <row r="72" spans="1:28" ht="15.6" x14ac:dyDescent="0.3">
      <c r="A72" s="2">
        <v>67</v>
      </c>
      <c r="B72" s="2">
        <v>53</v>
      </c>
      <c r="C72" s="6" t="s">
        <v>37</v>
      </c>
      <c r="D72" s="2">
        <v>181</v>
      </c>
      <c r="E72" s="2">
        <v>115</v>
      </c>
      <c r="F72" s="2">
        <v>87</v>
      </c>
      <c r="G72" s="2">
        <v>1.425</v>
      </c>
      <c r="H72" s="2">
        <v>45.2</v>
      </c>
      <c r="I72" s="4">
        <f t="shared" si="18"/>
        <v>22.259156663588797</v>
      </c>
      <c r="J72" s="2" t="s">
        <v>31</v>
      </c>
      <c r="K72" s="2" t="s">
        <v>39</v>
      </c>
      <c r="L72" s="2" t="s">
        <v>27</v>
      </c>
      <c r="M72" s="2" t="s">
        <v>28</v>
      </c>
      <c r="N72" s="2" t="s">
        <v>31</v>
      </c>
      <c r="O72" s="2" t="s">
        <v>38</v>
      </c>
      <c r="P72" s="2" t="s">
        <v>35</v>
      </c>
      <c r="Q72" s="1"/>
      <c r="R72" s="1"/>
      <c r="T72" s="7">
        <v>17</v>
      </c>
      <c r="U72" s="4">
        <f t="shared" si="13"/>
        <v>19.421700090977414</v>
      </c>
      <c r="V72" s="7">
        <f t="shared" si="17"/>
        <v>0.6972874886278233</v>
      </c>
      <c r="W72" s="7">
        <v>0</v>
      </c>
      <c r="Y72" s="7">
        <v>17</v>
      </c>
      <c r="Z72" s="2">
        <v>0</v>
      </c>
      <c r="AA72" s="7">
        <f t="shared" si="15"/>
        <v>0</v>
      </c>
      <c r="AB72" s="7">
        <f t="shared" si="16"/>
        <v>0</v>
      </c>
    </row>
    <row r="73" spans="1:28" ht="15.6" x14ac:dyDescent="0.3">
      <c r="A73" s="2">
        <v>68</v>
      </c>
      <c r="B73" s="2">
        <v>20</v>
      </c>
      <c r="C73" s="6" t="s">
        <v>37</v>
      </c>
      <c r="D73" s="2">
        <v>127</v>
      </c>
      <c r="E73" s="2">
        <v>86</v>
      </c>
      <c r="F73" s="2">
        <v>81</v>
      </c>
      <c r="G73" s="2">
        <v>1.5</v>
      </c>
      <c r="H73" s="2">
        <v>43.7</v>
      </c>
      <c r="I73" s="4">
        <f t="shared" si="18"/>
        <v>19.422222222222224</v>
      </c>
      <c r="J73" s="2" t="s">
        <v>31</v>
      </c>
      <c r="K73" s="2" t="s">
        <v>26</v>
      </c>
      <c r="L73" s="2" t="s">
        <v>27</v>
      </c>
      <c r="M73" s="2" t="s">
        <v>28</v>
      </c>
      <c r="N73" s="2" t="s">
        <v>25</v>
      </c>
      <c r="O73" s="2" t="s">
        <v>34</v>
      </c>
      <c r="P73" s="2" t="s">
        <v>36</v>
      </c>
      <c r="Q73" s="1"/>
      <c r="R73" s="1"/>
      <c r="T73" s="7">
        <v>18</v>
      </c>
      <c r="U73" s="4">
        <f t="shared" si="13"/>
        <v>19.066129853301867</v>
      </c>
      <c r="V73" s="7">
        <f t="shared" si="17"/>
        <v>0.74173376833726667</v>
      </c>
      <c r="W73" s="7">
        <v>0</v>
      </c>
      <c r="Y73" s="7">
        <v>18</v>
      </c>
      <c r="Z73" s="2">
        <v>1</v>
      </c>
      <c r="AA73" s="7">
        <f t="shared" si="15"/>
        <v>1</v>
      </c>
      <c r="AB73" s="7">
        <f t="shared" si="16"/>
        <v>1</v>
      </c>
    </row>
    <row r="74" spans="1:28" ht="15.6" x14ac:dyDescent="0.3">
      <c r="A74" s="2">
        <v>69</v>
      </c>
      <c r="B74" s="2">
        <v>49</v>
      </c>
      <c r="C74" s="6" t="s">
        <v>24</v>
      </c>
      <c r="D74" s="2">
        <v>129</v>
      </c>
      <c r="E74" s="2">
        <v>85</v>
      </c>
      <c r="F74" s="2">
        <v>87</v>
      </c>
      <c r="G74" s="2">
        <v>1.5049999999999999</v>
      </c>
      <c r="H74" s="2">
        <v>52.6</v>
      </c>
      <c r="I74" s="4">
        <f t="shared" si="18"/>
        <v>23.222701736183932</v>
      </c>
      <c r="J74" s="2" t="s">
        <v>25</v>
      </c>
      <c r="K74" s="2" t="s">
        <v>26</v>
      </c>
      <c r="L74" s="2" t="s">
        <v>27</v>
      </c>
      <c r="M74" s="2" t="s">
        <v>33</v>
      </c>
      <c r="N74" s="2" t="s">
        <v>25</v>
      </c>
      <c r="O74" s="2" t="s">
        <v>34</v>
      </c>
      <c r="P74" s="2" t="s">
        <v>36</v>
      </c>
      <c r="Q74" s="1"/>
      <c r="R74" s="1"/>
      <c r="T74" s="7">
        <v>19</v>
      </c>
      <c r="U74" s="4">
        <f t="shared" si="13"/>
        <v>19.852156683432401</v>
      </c>
      <c r="V74" s="7">
        <f t="shared" si="17"/>
        <v>0.64348041457094984</v>
      </c>
      <c r="W74" s="7">
        <v>0</v>
      </c>
      <c r="Y74" s="7">
        <v>19</v>
      </c>
      <c r="Z74" s="2">
        <v>0</v>
      </c>
      <c r="AA74" s="7">
        <f t="shared" si="15"/>
        <v>0</v>
      </c>
      <c r="AB74" s="7">
        <f t="shared" si="16"/>
        <v>0</v>
      </c>
    </row>
    <row r="75" spans="1:28" ht="15.6" x14ac:dyDescent="0.3">
      <c r="A75" s="2">
        <v>70</v>
      </c>
      <c r="B75" s="2">
        <v>53</v>
      </c>
      <c r="C75" s="6" t="s">
        <v>37</v>
      </c>
      <c r="D75" s="2">
        <v>208</v>
      </c>
      <c r="E75" s="2">
        <v>113</v>
      </c>
      <c r="F75" s="2">
        <v>92</v>
      </c>
      <c r="G75" s="2">
        <v>1.45</v>
      </c>
      <c r="H75" s="2">
        <v>45</v>
      </c>
      <c r="I75" s="4">
        <f t="shared" si="18"/>
        <v>21.403091557669441</v>
      </c>
      <c r="J75" s="2" t="s">
        <v>31</v>
      </c>
      <c r="K75" s="2" t="s">
        <v>39</v>
      </c>
      <c r="L75" s="2" t="s">
        <v>27</v>
      </c>
      <c r="M75" s="2" t="s">
        <v>33</v>
      </c>
      <c r="N75" s="2" t="s">
        <v>31</v>
      </c>
      <c r="O75" s="2" t="s">
        <v>29</v>
      </c>
      <c r="P75" s="2" t="s">
        <v>35</v>
      </c>
      <c r="Q75" s="1"/>
      <c r="R75" s="1"/>
      <c r="T75" s="7">
        <v>20</v>
      </c>
      <c r="U75" s="4">
        <f t="shared" si="13"/>
        <v>27.059921294981542</v>
      </c>
      <c r="V75" s="7">
        <v>0</v>
      </c>
      <c r="W75" s="7">
        <f t="shared" si="14"/>
        <v>0.5074901618726928</v>
      </c>
      <c r="Y75" s="7">
        <v>20</v>
      </c>
      <c r="Z75" s="2">
        <v>0</v>
      </c>
      <c r="AA75" s="7">
        <f t="shared" si="15"/>
        <v>0</v>
      </c>
      <c r="AB75" s="7">
        <f t="shared" si="16"/>
        <v>0</v>
      </c>
    </row>
    <row r="76" spans="1:28" ht="15.6" x14ac:dyDescent="0.3">
      <c r="A76" s="2">
        <v>71</v>
      </c>
      <c r="B76" s="2">
        <v>43</v>
      </c>
      <c r="C76" s="6" t="s">
        <v>24</v>
      </c>
      <c r="D76" s="2">
        <v>130</v>
      </c>
      <c r="E76" s="2">
        <v>77</v>
      </c>
      <c r="F76" s="2">
        <v>89</v>
      </c>
      <c r="G76" s="2">
        <v>1.56</v>
      </c>
      <c r="H76" s="2">
        <v>63.6</v>
      </c>
      <c r="I76" s="4">
        <f t="shared" si="18"/>
        <v>26.134122287968442</v>
      </c>
      <c r="J76" s="2" t="s">
        <v>31</v>
      </c>
      <c r="K76" s="2" t="s">
        <v>39</v>
      </c>
      <c r="L76" s="2" t="s">
        <v>27</v>
      </c>
      <c r="M76" s="2" t="s">
        <v>33</v>
      </c>
      <c r="N76" s="2" t="s">
        <v>31</v>
      </c>
      <c r="O76" s="2" t="s">
        <v>38</v>
      </c>
      <c r="P76" s="2" t="s">
        <v>35</v>
      </c>
      <c r="Q76" s="1"/>
      <c r="R76" s="1"/>
    </row>
    <row r="77" spans="1:28" ht="15.6" x14ac:dyDescent="0.3">
      <c r="A77" s="2">
        <v>72</v>
      </c>
      <c r="B77" s="2">
        <v>70</v>
      </c>
      <c r="C77" s="6" t="s">
        <v>24</v>
      </c>
      <c r="D77" s="2">
        <v>194</v>
      </c>
      <c r="E77" s="2">
        <v>121</v>
      </c>
      <c r="F77" s="2">
        <v>89</v>
      </c>
      <c r="G77" s="2">
        <v>1.64</v>
      </c>
      <c r="H77" s="2">
        <v>64.400000000000006</v>
      </c>
      <c r="I77" s="4">
        <f t="shared" si="18"/>
        <v>23.944080904223682</v>
      </c>
      <c r="J77" s="2" t="s">
        <v>31</v>
      </c>
      <c r="K77" s="2" t="s">
        <v>26</v>
      </c>
      <c r="L77" s="2" t="s">
        <v>27</v>
      </c>
      <c r="M77" s="2" t="s">
        <v>33</v>
      </c>
      <c r="N77" s="2" t="s">
        <v>31</v>
      </c>
      <c r="O77" s="2" t="s">
        <v>38</v>
      </c>
      <c r="P77" s="2" t="s">
        <v>35</v>
      </c>
      <c r="Q77" s="1"/>
      <c r="R77" s="1"/>
    </row>
    <row r="78" spans="1:28" ht="15.6" x14ac:dyDescent="0.3">
      <c r="A78" s="2">
        <v>73</v>
      </c>
      <c r="B78" s="2">
        <v>33</v>
      </c>
      <c r="C78" s="6" t="s">
        <v>37</v>
      </c>
      <c r="D78" s="2">
        <v>104</v>
      </c>
      <c r="E78" s="2">
        <v>86</v>
      </c>
      <c r="F78" s="2">
        <v>98</v>
      </c>
      <c r="G78" s="2">
        <v>1.46</v>
      </c>
      <c r="H78" s="2">
        <v>66.900000000000006</v>
      </c>
      <c r="I78" s="4">
        <f t="shared" si="18"/>
        <v>31.384875211109033</v>
      </c>
      <c r="J78" s="2" t="s">
        <v>31</v>
      </c>
      <c r="K78" s="2" t="s">
        <v>39</v>
      </c>
      <c r="L78" s="2" t="s">
        <v>32</v>
      </c>
      <c r="M78" s="2" t="s">
        <v>28</v>
      </c>
      <c r="N78" s="2" t="s">
        <v>31</v>
      </c>
      <c r="O78" s="2" t="s">
        <v>29</v>
      </c>
      <c r="P78" s="2" t="s">
        <v>30</v>
      </c>
      <c r="Q78" s="1"/>
      <c r="R78" s="1"/>
    </row>
    <row r="79" spans="1:28" ht="15.6" x14ac:dyDescent="0.3">
      <c r="A79" s="2">
        <v>74</v>
      </c>
      <c r="B79" s="2">
        <v>49</v>
      </c>
      <c r="C79" s="6" t="s">
        <v>24</v>
      </c>
      <c r="D79" s="2">
        <v>176</v>
      </c>
      <c r="E79" s="2">
        <v>114</v>
      </c>
      <c r="F79" s="2">
        <v>91</v>
      </c>
      <c r="G79" s="2">
        <v>1.536</v>
      </c>
      <c r="H79" s="2">
        <v>62.3</v>
      </c>
      <c r="I79" s="4">
        <f t="shared" si="18"/>
        <v>26.406182183159721</v>
      </c>
      <c r="J79" s="2" t="s">
        <v>25</v>
      </c>
      <c r="K79" s="2" t="s">
        <v>39</v>
      </c>
      <c r="L79" s="2" t="s">
        <v>27</v>
      </c>
      <c r="M79" s="2" t="s">
        <v>33</v>
      </c>
      <c r="N79" s="2" t="s">
        <v>25</v>
      </c>
      <c r="O79" s="2" t="s">
        <v>38</v>
      </c>
      <c r="P79" s="2" t="s">
        <v>35</v>
      </c>
      <c r="Q79" s="1"/>
      <c r="R79" s="1"/>
    </row>
    <row r="80" spans="1:28" ht="15.6" x14ac:dyDescent="0.3">
      <c r="A80" s="2">
        <v>75</v>
      </c>
      <c r="B80" s="2">
        <v>65</v>
      </c>
      <c r="C80" s="6" t="s">
        <v>24</v>
      </c>
      <c r="D80" s="2">
        <v>141</v>
      </c>
      <c r="E80" s="2">
        <v>92</v>
      </c>
      <c r="F80" s="2">
        <v>75</v>
      </c>
      <c r="G80" s="2">
        <v>1.4</v>
      </c>
      <c r="H80" s="2">
        <v>44.3</v>
      </c>
      <c r="I80" s="4">
        <f t="shared" si="18"/>
        <v>22.602040816326532</v>
      </c>
      <c r="J80" s="2" t="s">
        <v>31</v>
      </c>
      <c r="K80" s="2" t="s">
        <v>26</v>
      </c>
      <c r="L80" s="2" t="s">
        <v>27</v>
      </c>
      <c r="M80" s="2" t="s">
        <v>33</v>
      </c>
      <c r="N80" s="2" t="s">
        <v>31</v>
      </c>
      <c r="O80" s="2" t="s">
        <v>38</v>
      </c>
      <c r="P80" s="2" t="s">
        <v>30</v>
      </c>
      <c r="Q80" s="1"/>
      <c r="R80" s="1"/>
    </row>
  </sheetData>
  <mergeCells count="17">
    <mergeCell ref="A35:P35"/>
    <mergeCell ref="L2:L3"/>
    <mergeCell ref="M2:M3"/>
    <mergeCell ref="N2:N3"/>
    <mergeCell ref="O2:O3"/>
    <mergeCell ref="P2:P3"/>
    <mergeCell ref="A4:P4"/>
    <mergeCell ref="A1:P1"/>
    <mergeCell ref="A2:A3"/>
    <mergeCell ref="B2:B3"/>
    <mergeCell ref="C2:C3"/>
    <mergeCell ref="D2:E2"/>
    <mergeCell ref="F2:F3"/>
    <mergeCell ref="G2:G3"/>
    <mergeCell ref="H2:H3"/>
    <mergeCell ref="J2:J3"/>
    <mergeCell ref="K2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I23" sqref="I23"/>
    </sheetView>
  </sheetViews>
  <sheetFormatPr defaultRowHeight="14.4" x14ac:dyDescent="0.3"/>
  <sheetData>
    <row r="1" spans="1:6" x14ac:dyDescent="0.3">
      <c r="A1" s="225" t="s">
        <v>76</v>
      </c>
      <c r="B1" s="225"/>
      <c r="C1" s="225"/>
      <c r="D1" s="225"/>
    </row>
    <row r="2" spans="1:6" x14ac:dyDescent="0.3">
      <c r="A2" s="225"/>
      <c r="B2" s="225"/>
      <c r="C2" s="225"/>
      <c r="D2" s="225"/>
    </row>
    <row r="7" spans="1:6" x14ac:dyDescent="0.3">
      <c r="A7" s="43"/>
      <c r="B7" s="43"/>
      <c r="C7" s="43"/>
      <c r="D7" s="43"/>
      <c r="E7" s="43"/>
      <c r="F7" s="43"/>
    </row>
    <row r="8" spans="1:6" x14ac:dyDescent="0.3">
      <c r="A8" s="43"/>
      <c r="B8" s="43"/>
      <c r="C8" s="43"/>
      <c r="D8" s="43"/>
      <c r="E8" s="43"/>
      <c r="F8" s="43"/>
    </row>
    <row r="9" spans="1:6" x14ac:dyDescent="0.3">
      <c r="A9" s="9"/>
      <c r="B9" s="9"/>
      <c r="C9" s="9"/>
      <c r="D9" s="9"/>
      <c r="E9" s="9"/>
      <c r="F9" s="9"/>
    </row>
    <row r="10" spans="1:6" x14ac:dyDescent="0.3">
      <c r="A10" s="9"/>
      <c r="B10" s="9"/>
      <c r="C10" s="9"/>
      <c r="D10" s="9"/>
      <c r="E10" s="9"/>
      <c r="F10" s="9"/>
    </row>
    <row r="11" spans="1:6" x14ac:dyDescent="0.3">
      <c r="A11" s="9"/>
      <c r="B11" s="9"/>
      <c r="C11" s="9"/>
      <c r="D11" s="9"/>
      <c r="E11" s="9"/>
      <c r="F11" s="9"/>
    </row>
    <row r="12" spans="1:6" x14ac:dyDescent="0.3">
      <c r="D12" s="9"/>
      <c r="E12" s="9"/>
      <c r="F12" s="9"/>
    </row>
    <row r="13" spans="1:6" x14ac:dyDescent="0.3">
      <c r="B13" s="9"/>
      <c r="C13" s="9"/>
      <c r="D13" s="9"/>
      <c r="E13" s="9"/>
      <c r="F13" s="9"/>
    </row>
    <row r="14" spans="1:6" x14ac:dyDescent="0.3">
      <c r="B14" s="9"/>
      <c r="C14" s="9"/>
      <c r="D14" s="9"/>
      <c r="E14" s="9"/>
      <c r="F14" s="9"/>
    </row>
    <row r="15" spans="1:6" x14ac:dyDescent="0.3">
      <c r="B15" s="9"/>
      <c r="C15" s="9"/>
      <c r="D15" s="9"/>
      <c r="E15" s="9"/>
      <c r="F15" s="9"/>
    </row>
    <row r="16" spans="1:6" x14ac:dyDescent="0.3">
      <c r="B16" s="9"/>
      <c r="C16" s="9"/>
      <c r="D16" s="9"/>
      <c r="E16" s="9"/>
      <c r="F16" s="9"/>
    </row>
    <row r="17" spans="2:6" x14ac:dyDescent="0.3">
      <c r="B17" s="9"/>
      <c r="C17" s="9"/>
      <c r="D17" s="9"/>
      <c r="E17" s="9"/>
      <c r="F17" s="9"/>
    </row>
    <row r="18" spans="2:6" x14ac:dyDescent="0.3">
      <c r="B18" s="9"/>
      <c r="C18" s="9"/>
      <c r="D18" s="9"/>
      <c r="E18" s="9"/>
      <c r="F18" s="9"/>
    </row>
    <row r="19" spans="2:6" x14ac:dyDescent="0.3">
      <c r="B19" s="9"/>
      <c r="C19" s="9"/>
      <c r="D19" s="9"/>
      <c r="E19" s="9"/>
      <c r="F19" s="9"/>
    </row>
    <row r="20" spans="2:6" x14ac:dyDescent="0.3">
      <c r="B20" s="9"/>
      <c r="C20" s="9"/>
      <c r="D20" s="9"/>
      <c r="E20" s="9"/>
      <c r="F20" s="9"/>
    </row>
    <row r="21" spans="2:6" x14ac:dyDescent="0.3">
      <c r="B21" s="9"/>
      <c r="C21" s="9"/>
      <c r="D21" s="9"/>
      <c r="E21" s="9"/>
      <c r="F21" s="9"/>
    </row>
  </sheetData>
  <mergeCells count="1">
    <mergeCell ref="A1:D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9"/>
  <sheetViews>
    <sheetView zoomScale="85" zoomScaleNormal="85" workbookViewId="0">
      <selection activeCell="H7" sqref="H7"/>
    </sheetView>
  </sheetViews>
  <sheetFormatPr defaultRowHeight="14.4" x14ac:dyDescent="0.3"/>
  <sheetData>
    <row r="1" spans="1:20" x14ac:dyDescent="0.3">
      <c r="A1" s="226" t="s">
        <v>49</v>
      </c>
      <c r="B1" s="214"/>
      <c r="C1" s="214"/>
      <c r="D1" s="227"/>
      <c r="F1" s="15"/>
      <c r="G1" s="16"/>
      <c r="H1" s="16"/>
      <c r="I1" s="214" t="s">
        <v>50</v>
      </c>
      <c r="J1" s="214"/>
      <c r="K1" s="227"/>
      <c r="M1" s="15"/>
      <c r="N1" s="16"/>
      <c r="O1" s="16"/>
      <c r="P1" s="16"/>
      <c r="Q1" s="187" t="s">
        <v>51</v>
      </c>
      <c r="R1" s="187"/>
      <c r="S1" s="187"/>
      <c r="T1" s="187"/>
    </row>
    <row r="2" spans="1:20" x14ac:dyDescent="0.3">
      <c r="A2" s="10"/>
      <c r="B2" s="9"/>
      <c r="C2" s="9"/>
      <c r="D2" s="11"/>
      <c r="F2" s="10"/>
      <c r="G2" s="9"/>
      <c r="H2" s="9"/>
      <c r="I2" s="9"/>
      <c r="J2" s="9"/>
      <c r="K2" s="11"/>
      <c r="M2" s="10"/>
      <c r="N2" s="9"/>
      <c r="O2" s="9"/>
      <c r="P2" s="9"/>
      <c r="Q2" s="9"/>
      <c r="R2" s="9"/>
      <c r="S2" s="11"/>
    </row>
    <row r="3" spans="1:20" x14ac:dyDescent="0.3">
      <c r="A3" s="10"/>
      <c r="B3" s="9"/>
      <c r="C3" s="9"/>
      <c r="D3" s="11"/>
      <c r="F3" s="10"/>
      <c r="G3" s="9"/>
      <c r="H3" s="9"/>
      <c r="I3" s="9"/>
      <c r="J3" s="9"/>
      <c r="K3" s="11"/>
      <c r="M3" s="10"/>
      <c r="N3" s="9"/>
      <c r="O3" s="9"/>
      <c r="P3" s="9"/>
      <c r="Q3" s="9"/>
      <c r="R3" s="9"/>
      <c r="S3" s="11"/>
    </row>
    <row r="4" spans="1:20" x14ac:dyDescent="0.3">
      <c r="A4" s="10"/>
      <c r="B4" s="9"/>
      <c r="C4" s="9"/>
      <c r="D4" s="11"/>
      <c r="F4" s="10"/>
      <c r="G4" s="9"/>
      <c r="H4" s="9"/>
      <c r="I4" s="9"/>
      <c r="J4" s="9"/>
      <c r="K4" s="11"/>
      <c r="M4" s="10"/>
      <c r="N4" s="9"/>
      <c r="O4" s="9"/>
      <c r="P4" s="9"/>
      <c r="Q4" s="9"/>
      <c r="R4" s="9"/>
      <c r="S4" s="11"/>
    </row>
    <row r="5" spans="1:20" x14ac:dyDescent="0.3">
      <c r="A5" s="10"/>
      <c r="B5" s="9"/>
      <c r="C5" s="9"/>
      <c r="D5" s="11"/>
      <c r="F5" s="10"/>
      <c r="G5" s="9"/>
      <c r="H5" s="9"/>
      <c r="I5" s="9"/>
      <c r="J5" s="9"/>
      <c r="K5" s="11"/>
      <c r="M5" s="10"/>
      <c r="N5" s="9"/>
      <c r="O5" s="9"/>
      <c r="P5" s="9"/>
      <c r="Q5" s="9"/>
      <c r="R5" s="9"/>
      <c r="S5" s="11"/>
    </row>
    <row r="6" spans="1:20" x14ac:dyDescent="0.3">
      <c r="A6" s="10"/>
      <c r="B6" s="9"/>
      <c r="C6" s="9"/>
      <c r="D6" s="11"/>
      <c r="F6" s="10"/>
      <c r="G6" s="9"/>
      <c r="H6" s="9"/>
      <c r="I6" s="9"/>
      <c r="J6" s="9"/>
      <c r="K6" s="11"/>
      <c r="M6" s="10"/>
      <c r="N6" s="9"/>
      <c r="O6" s="9"/>
      <c r="P6" s="9"/>
      <c r="Q6" s="9"/>
      <c r="R6" s="9"/>
      <c r="S6" s="11"/>
    </row>
    <row r="7" spans="1:20" x14ac:dyDescent="0.3">
      <c r="A7" s="10"/>
      <c r="B7" s="9"/>
      <c r="C7" s="9"/>
      <c r="D7" s="11"/>
      <c r="F7" s="10"/>
      <c r="G7" s="9"/>
      <c r="H7" s="9"/>
      <c r="I7" s="9"/>
      <c r="J7" s="9"/>
      <c r="K7" s="11"/>
      <c r="M7" s="10"/>
      <c r="N7" s="9"/>
      <c r="O7" s="9"/>
      <c r="P7" s="9"/>
      <c r="Q7" s="9"/>
      <c r="R7" s="9"/>
      <c r="S7" s="11"/>
    </row>
    <row r="8" spans="1:20" x14ac:dyDescent="0.3">
      <c r="A8" s="10"/>
      <c r="B8" s="9"/>
      <c r="C8" s="9"/>
      <c r="D8" s="11"/>
      <c r="F8" s="10"/>
      <c r="G8" s="9"/>
      <c r="H8" s="9"/>
      <c r="I8" s="9"/>
      <c r="J8" s="9"/>
      <c r="K8" s="11"/>
      <c r="M8" s="10"/>
      <c r="N8" s="9"/>
      <c r="O8" s="9"/>
      <c r="P8" s="9"/>
      <c r="Q8" s="9"/>
      <c r="R8" s="9"/>
      <c r="S8" s="11"/>
    </row>
    <row r="9" spans="1:20" x14ac:dyDescent="0.3">
      <c r="A9" s="10"/>
      <c r="B9" s="9"/>
      <c r="C9" s="9"/>
      <c r="D9" s="11"/>
      <c r="F9" s="10"/>
      <c r="G9" s="9"/>
      <c r="H9" s="9"/>
      <c r="I9" s="9"/>
      <c r="J9" s="9"/>
      <c r="K9" s="11"/>
      <c r="M9" s="10"/>
      <c r="N9" s="9"/>
      <c r="O9" s="9"/>
      <c r="P9" s="9"/>
      <c r="Q9" s="9"/>
      <c r="R9" s="9"/>
      <c r="S9" s="11"/>
    </row>
    <row r="10" spans="1:20" x14ac:dyDescent="0.3">
      <c r="A10" s="10"/>
      <c r="B10" s="9"/>
      <c r="C10" s="9"/>
      <c r="D10" s="11"/>
      <c r="F10" s="10"/>
      <c r="G10" s="9"/>
      <c r="H10" s="9"/>
      <c r="I10" s="9"/>
      <c r="J10" s="9"/>
      <c r="K10" s="11"/>
      <c r="M10" s="10"/>
      <c r="N10" s="9"/>
      <c r="O10" s="9"/>
      <c r="P10" s="9"/>
      <c r="Q10" s="9"/>
      <c r="R10" s="9"/>
      <c r="S10" s="11"/>
    </row>
    <row r="11" spans="1:20" x14ac:dyDescent="0.3">
      <c r="A11" s="10"/>
      <c r="B11" s="9"/>
      <c r="C11" s="9"/>
      <c r="D11" s="11"/>
      <c r="F11" s="10"/>
      <c r="G11" s="9"/>
      <c r="H11" s="9"/>
      <c r="I11" s="9"/>
      <c r="J11" s="9"/>
      <c r="K11" s="11"/>
      <c r="M11" s="10"/>
      <c r="N11" s="9"/>
      <c r="O11" s="9"/>
      <c r="P11" s="9"/>
      <c r="Q11" s="9"/>
      <c r="R11" s="9"/>
      <c r="S11" s="11"/>
    </row>
    <row r="12" spans="1:20" x14ac:dyDescent="0.3">
      <c r="A12" s="10"/>
      <c r="B12" s="9"/>
      <c r="C12" s="9"/>
      <c r="D12" s="11"/>
      <c r="F12" s="10"/>
      <c r="G12" s="9"/>
      <c r="H12" s="9"/>
      <c r="I12" s="9"/>
      <c r="J12" s="9"/>
      <c r="K12" s="11"/>
      <c r="M12" s="10"/>
      <c r="N12" s="9"/>
      <c r="O12" s="9"/>
      <c r="P12" s="9"/>
      <c r="Q12" s="9"/>
      <c r="R12" s="9"/>
      <c r="S12" s="11"/>
    </row>
    <row r="13" spans="1:20" x14ac:dyDescent="0.3">
      <c r="A13" s="10"/>
      <c r="B13" s="9"/>
      <c r="C13" s="9"/>
      <c r="D13" s="11"/>
      <c r="F13" s="10"/>
      <c r="G13" s="9"/>
      <c r="H13" s="9"/>
      <c r="I13" s="9"/>
      <c r="J13" s="9"/>
      <c r="K13" s="11"/>
      <c r="M13" s="10"/>
      <c r="N13" s="9"/>
      <c r="O13" s="9"/>
      <c r="P13" s="9"/>
      <c r="Q13" s="9"/>
      <c r="R13" s="9"/>
      <c r="S13" s="11"/>
    </row>
    <row r="14" spans="1:20" x14ac:dyDescent="0.3">
      <c r="A14" s="10"/>
      <c r="B14" s="9"/>
      <c r="C14" s="9"/>
      <c r="D14" s="11"/>
      <c r="F14" s="10"/>
      <c r="G14" s="9"/>
      <c r="H14" s="9"/>
      <c r="I14" s="9"/>
      <c r="J14" s="9"/>
      <c r="K14" s="11"/>
      <c r="M14" s="10"/>
      <c r="N14" s="9"/>
      <c r="O14" s="9"/>
      <c r="P14" s="9"/>
      <c r="Q14" s="9"/>
      <c r="R14" s="9"/>
      <c r="S14" s="11"/>
    </row>
    <row r="15" spans="1:20" x14ac:dyDescent="0.3">
      <c r="A15" s="10"/>
      <c r="B15" s="9"/>
      <c r="C15" s="9"/>
      <c r="D15" s="11"/>
      <c r="F15" s="10"/>
      <c r="G15" s="9"/>
      <c r="H15" s="9"/>
      <c r="I15" s="9"/>
      <c r="J15" s="9"/>
      <c r="K15" s="11"/>
      <c r="M15" s="10"/>
      <c r="N15" s="9"/>
      <c r="O15" s="9"/>
      <c r="P15" s="9"/>
      <c r="Q15" s="9"/>
      <c r="R15" s="9"/>
      <c r="S15" s="11"/>
    </row>
    <row r="16" spans="1:20" x14ac:dyDescent="0.3">
      <c r="A16" s="10"/>
      <c r="B16" s="9"/>
      <c r="C16" s="9"/>
      <c r="D16" s="11"/>
      <c r="F16" s="10"/>
      <c r="G16" s="9"/>
      <c r="H16" s="9"/>
      <c r="I16" s="9"/>
      <c r="J16" s="9"/>
      <c r="K16" s="11"/>
      <c r="M16" s="10"/>
      <c r="N16" s="9"/>
      <c r="O16" s="9"/>
      <c r="P16" s="9"/>
      <c r="Q16" s="9"/>
      <c r="R16" s="9"/>
      <c r="S16" s="11"/>
    </row>
    <row r="17" spans="1:19" x14ac:dyDescent="0.3">
      <c r="A17" s="10"/>
      <c r="B17" s="9"/>
      <c r="C17" s="9"/>
      <c r="D17" s="11"/>
      <c r="F17" s="10"/>
      <c r="G17" s="9"/>
      <c r="H17" s="9"/>
      <c r="I17" s="9"/>
      <c r="J17" s="9"/>
      <c r="K17" s="11"/>
      <c r="M17" s="10"/>
      <c r="N17" s="9"/>
      <c r="O17" s="9"/>
      <c r="P17" s="9"/>
      <c r="Q17" s="9"/>
      <c r="R17" s="9"/>
      <c r="S17" s="11"/>
    </row>
    <row r="18" spans="1:19" x14ac:dyDescent="0.3">
      <c r="A18" s="10"/>
      <c r="B18" s="9"/>
      <c r="C18" s="9"/>
      <c r="D18" s="11"/>
      <c r="F18" s="10"/>
      <c r="G18" s="9"/>
      <c r="H18" s="9"/>
      <c r="I18" s="9"/>
      <c r="J18" s="9"/>
      <c r="K18" s="11"/>
      <c r="M18" s="10"/>
      <c r="N18" s="9"/>
      <c r="O18" s="9"/>
      <c r="P18" s="9"/>
      <c r="Q18" s="9"/>
      <c r="R18" s="9"/>
      <c r="S18" s="11"/>
    </row>
    <row r="19" spans="1:19" x14ac:dyDescent="0.3">
      <c r="A19" s="10"/>
      <c r="B19" s="9"/>
      <c r="C19" s="9"/>
      <c r="D19" s="11"/>
      <c r="F19" s="10"/>
      <c r="G19" s="9"/>
      <c r="H19" s="9"/>
      <c r="I19" s="9"/>
      <c r="J19" s="9"/>
      <c r="K19" s="11"/>
      <c r="M19" s="10"/>
      <c r="N19" s="9"/>
      <c r="O19" s="9"/>
      <c r="P19" s="9"/>
      <c r="Q19" s="9"/>
      <c r="R19" s="9"/>
      <c r="S19" s="11"/>
    </row>
    <row r="20" spans="1:19" x14ac:dyDescent="0.3">
      <c r="A20" s="10"/>
      <c r="B20" s="9"/>
      <c r="C20" s="9"/>
      <c r="D20" s="11"/>
      <c r="F20" s="10"/>
      <c r="G20" s="9"/>
      <c r="H20" s="9"/>
      <c r="I20" s="9"/>
      <c r="J20" s="9"/>
      <c r="K20" s="11"/>
      <c r="M20" s="10"/>
      <c r="N20" s="9"/>
      <c r="O20" s="9"/>
      <c r="P20" s="9"/>
      <c r="Q20" s="9"/>
      <c r="R20" s="9"/>
      <c r="S20" s="11"/>
    </row>
    <row r="21" spans="1:19" x14ac:dyDescent="0.3">
      <c r="A21" s="10"/>
      <c r="B21" s="9"/>
      <c r="C21" s="9"/>
      <c r="D21" s="11"/>
      <c r="F21" s="10"/>
      <c r="G21" s="9"/>
      <c r="H21" s="9"/>
      <c r="I21" s="9"/>
      <c r="J21" s="9"/>
      <c r="K21" s="11"/>
      <c r="M21" s="10"/>
      <c r="N21" s="9"/>
      <c r="O21" s="9"/>
      <c r="P21" s="9"/>
      <c r="Q21" s="9"/>
      <c r="R21" s="9"/>
      <c r="S21" s="11"/>
    </row>
    <row r="22" spans="1:19" x14ac:dyDescent="0.3">
      <c r="A22" s="10"/>
      <c r="B22" s="9"/>
      <c r="C22" s="9"/>
      <c r="D22" s="11"/>
      <c r="F22" s="10"/>
      <c r="G22" s="9"/>
      <c r="H22" s="9"/>
      <c r="I22" s="9"/>
      <c r="J22" s="9"/>
      <c r="K22" s="11"/>
      <c r="M22" s="10"/>
      <c r="N22" s="9"/>
      <c r="O22" s="9"/>
      <c r="P22" s="9"/>
      <c r="Q22" s="9"/>
      <c r="R22" s="9"/>
      <c r="S22" s="11"/>
    </row>
    <row r="23" spans="1:19" x14ac:dyDescent="0.3">
      <c r="A23" s="10"/>
      <c r="B23" s="9"/>
      <c r="C23" s="9"/>
      <c r="D23" s="11"/>
      <c r="F23" s="10"/>
      <c r="G23" s="9"/>
      <c r="H23" s="9"/>
      <c r="I23" s="9"/>
      <c r="J23" s="9"/>
      <c r="K23" s="11"/>
      <c r="M23" s="10"/>
      <c r="N23" s="9"/>
      <c r="O23" s="9"/>
      <c r="P23" s="9"/>
      <c r="Q23" s="9"/>
      <c r="R23" s="9"/>
      <c r="S23" s="11"/>
    </row>
    <row r="24" spans="1:19" x14ac:dyDescent="0.3">
      <c r="A24" s="10"/>
      <c r="B24" s="9"/>
      <c r="C24" s="9"/>
      <c r="D24" s="11"/>
      <c r="F24" s="10"/>
      <c r="G24" s="9"/>
      <c r="H24" s="9"/>
      <c r="I24" s="9"/>
      <c r="J24" s="9"/>
      <c r="K24" s="11"/>
      <c r="M24" s="10"/>
      <c r="N24" s="9"/>
      <c r="O24" s="9"/>
      <c r="P24" s="9"/>
      <c r="Q24" s="9"/>
      <c r="R24" s="9"/>
      <c r="S24" s="11"/>
    </row>
    <row r="25" spans="1:19" x14ac:dyDescent="0.3">
      <c r="A25" s="10"/>
      <c r="B25" s="9"/>
      <c r="C25" s="9"/>
      <c r="D25" s="11"/>
      <c r="F25" s="10"/>
      <c r="G25" s="9"/>
      <c r="H25" s="9"/>
      <c r="I25" s="9"/>
      <c r="J25" s="9"/>
      <c r="K25" s="11"/>
      <c r="M25" s="12"/>
      <c r="N25" s="13"/>
      <c r="O25" s="13"/>
      <c r="P25" s="13"/>
      <c r="Q25" s="13"/>
      <c r="R25" s="13"/>
      <c r="S25" s="14"/>
    </row>
    <row r="26" spans="1:19" x14ac:dyDescent="0.3">
      <c r="A26" s="10"/>
      <c r="B26" s="9"/>
      <c r="C26" s="9"/>
      <c r="D26" s="11"/>
      <c r="F26" s="10"/>
      <c r="G26" s="9"/>
      <c r="H26" s="9"/>
      <c r="I26" s="9"/>
      <c r="J26" s="9"/>
      <c r="K26" s="11"/>
    </row>
    <row r="27" spans="1:19" x14ac:dyDescent="0.3">
      <c r="A27" s="10"/>
      <c r="B27" s="9"/>
      <c r="C27" s="9"/>
      <c r="D27" s="11"/>
      <c r="F27" s="10"/>
      <c r="G27" s="9"/>
      <c r="H27" s="9"/>
      <c r="I27" s="9"/>
      <c r="J27" s="9"/>
      <c r="K27" s="11"/>
    </row>
    <row r="28" spans="1:19" x14ac:dyDescent="0.3">
      <c r="A28" s="10"/>
      <c r="B28" s="9"/>
      <c r="C28" s="9"/>
      <c r="D28" s="11"/>
      <c r="F28" s="10"/>
      <c r="G28" s="9"/>
      <c r="H28" s="9"/>
      <c r="I28" s="9"/>
      <c r="J28" s="9"/>
      <c r="K28" s="11"/>
    </row>
    <row r="29" spans="1:19" x14ac:dyDescent="0.3">
      <c r="A29" s="10"/>
      <c r="B29" s="9"/>
      <c r="C29" s="9"/>
      <c r="D29" s="11"/>
      <c r="F29" s="10"/>
      <c r="G29" s="9"/>
      <c r="H29" s="9"/>
      <c r="I29" s="9"/>
      <c r="J29" s="9"/>
      <c r="K29" s="11"/>
    </row>
    <row r="30" spans="1:19" x14ac:dyDescent="0.3">
      <c r="A30" s="10"/>
      <c r="B30" s="9"/>
      <c r="C30" s="9"/>
      <c r="D30" s="11"/>
      <c r="F30" s="10"/>
      <c r="G30" s="9"/>
      <c r="H30" s="9"/>
      <c r="I30" s="9"/>
      <c r="J30" s="9"/>
      <c r="K30" s="11"/>
    </row>
    <row r="31" spans="1:19" x14ac:dyDescent="0.3">
      <c r="A31" s="10"/>
      <c r="B31" s="9"/>
      <c r="C31" s="9"/>
      <c r="D31" s="11"/>
      <c r="F31" s="10"/>
      <c r="G31" s="9"/>
      <c r="H31" s="9"/>
      <c r="I31" s="9"/>
      <c r="J31" s="9"/>
      <c r="K31" s="11"/>
    </row>
    <row r="32" spans="1:19" x14ac:dyDescent="0.3">
      <c r="A32" s="10"/>
      <c r="B32" s="9"/>
      <c r="C32" s="9"/>
      <c r="D32" s="11"/>
      <c r="F32" s="10"/>
      <c r="G32" s="9"/>
      <c r="H32" s="9"/>
      <c r="I32" s="9"/>
      <c r="J32" s="9"/>
      <c r="K32" s="11"/>
    </row>
    <row r="33" spans="1:30" x14ac:dyDescent="0.3">
      <c r="A33" s="10"/>
      <c r="B33" s="9"/>
      <c r="C33" s="9"/>
      <c r="D33" s="11"/>
      <c r="F33" s="12"/>
      <c r="G33" s="13"/>
      <c r="H33" s="13"/>
      <c r="I33" s="13"/>
      <c r="J33" s="13"/>
      <c r="K33" s="14"/>
    </row>
    <row r="34" spans="1:30" x14ac:dyDescent="0.3">
      <c r="A34" s="10"/>
      <c r="B34" s="9"/>
      <c r="C34" s="9"/>
      <c r="D34" s="11"/>
    </row>
    <row r="35" spans="1:30" x14ac:dyDescent="0.3">
      <c r="A35" s="10"/>
      <c r="B35" s="9"/>
      <c r="C35" s="9"/>
      <c r="D35" s="11"/>
    </row>
    <row r="36" spans="1:30" x14ac:dyDescent="0.3">
      <c r="A36" s="10"/>
      <c r="B36" s="9"/>
      <c r="C36" s="9"/>
      <c r="D36" s="11"/>
    </row>
    <row r="37" spans="1:30" x14ac:dyDescent="0.3">
      <c r="A37" s="12"/>
      <c r="B37" s="13"/>
      <c r="C37" s="13"/>
      <c r="D37" s="14"/>
    </row>
    <row r="39" spans="1:30" x14ac:dyDescent="0.3">
      <c r="A39" s="15"/>
      <c r="B39" s="16"/>
      <c r="C39" s="16"/>
      <c r="D39" s="16"/>
      <c r="E39" s="16"/>
      <c r="F39" s="17"/>
      <c r="H39" s="15"/>
      <c r="I39" s="16"/>
      <c r="J39" s="16"/>
      <c r="K39" s="16"/>
      <c r="L39" s="16"/>
      <c r="M39" s="16"/>
      <c r="N39" s="17"/>
      <c r="P39" s="15"/>
      <c r="Q39" s="16"/>
      <c r="R39" s="16"/>
      <c r="S39" s="16"/>
      <c r="T39" s="16"/>
      <c r="U39" s="16"/>
      <c r="V39" s="17"/>
      <c r="X39" s="15"/>
      <c r="Y39" s="16"/>
      <c r="Z39" s="16"/>
      <c r="AA39" s="16"/>
      <c r="AB39" s="16"/>
      <c r="AC39" s="16"/>
      <c r="AD39" s="17"/>
    </row>
    <row r="40" spans="1:30" x14ac:dyDescent="0.3">
      <c r="A40" s="10"/>
      <c r="B40" s="9"/>
      <c r="C40" s="9"/>
      <c r="D40" s="9"/>
      <c r="E40" s="9"/>
      <c r="F40" s="11"/>
      <c r="H40" s="10"/>
      <c r="I40" s="9"/>
      <c r="J40" s="9"/>
      <c r="K40" s="9"/>
      <c r="L40" s="9"/>
      <c r="M40" s="9"/>
      <c r="N40" s="11"/>
      <c r="P40" s="10"/>
      <c r="Q40" s="9"/>
      <c r="R40" s="9"/>
      <c r="S40" s="9"/>
      <c r="T40" s="9"/>
      <c r="U40" s="9"/>
      <c r="V40" s="11"/>
      <c r="X40" s="10"/>
      <c r="Y40" s="9"/>
      <c r="Z40" s="9"/>
      <c r="AA40" s="9"/>
      <c r="AB40" s="9"/>
      <c r="AC40" s="9"/>
      <c r="AD40" s="11"/>
    </row>
    <row r="41" spans="1:30" x14ac:dyDescent="0.3">
      <c r="A41" s="10"/>
      <c r="B41" s="9"/>
      <c r="C41" s="9"/>
      <c r="D41" s="9"/>
      <c r="E41" s="9"/>
      <c r="F41" s="11"/>
      <c r="H41" s="10"/>
      <c r="I41" s="9"/>
      <c r="J41" s="9"/>
      <c r="K41" s="9"/>
      <c r="L41" s="9"/>
      <c r="M41" s="9"/>
      <c r="N41" s="11"/>
      <c r="P41" s="10"/>
      <c r="Q41" s="9"/>
      <c r="R41" s="9"/>
      <c r="S41" s="9"/>
      <c r="T41" s="9"/>
      <c r="U41" s="9"/>
      <c r="V41" s="11"/>
      <c r="X41" s="10"/>
      <c r="Y41" s="9"/>
      <c r="Z41" s="9"/>
      <c r="AA41" s="9"/>
      <c r="AB41" s="9"/>
      <c r="AC41" s="9"/>
      <c r="AD41" s="11"/>
    </row>
    <row r="42" spans="1:30" x14ac:dyDescent="0.3">
      <c r="A42" s="10"/>
      <c r="B42" s="9"/>
      <c r="C42" s="9"/>
      <c r="D42" s="9"/>
      <c r="E42" s="9"/>
      <c r="F42" s="11"/>
      <c r="H42" s="10"/>
      <c r="I42" s="9"/>
      <c r="J42" s="9"/>
      <c r="K42" s="9"/>
      <c r="L42" s="9"/>
      <c r="M42" s="9"/>
      <c r="N42" s="11"/>
      <c r="P42" s="10"/>
      <c r="Q42" s="9"/>
      <c r="R42" s="9"/>
      <c r="S42" s="9"/>
      <c r="T42" s="9"/>
      <c r="U42" s="9"/>
      <c r="V42" s="11"/>
      <c r="X42" s="10"/>
      <c r="Y42" s="9"/>
      <c r="Z42" s="9"/>
      <c r="AA42" s="9"/>
      <c r="AB42" s="9"/>
      <c r="AC42" s="9"/>
      <c r="AD42" s="11"/>
    </row>
    <row r="43" spans="1:30" x14ac:dyDescent="0.3">
      <c r="A43" s="10"/>
      <c r="B43" s="9"/>
      <c r="C43" s="9"/>
      <c r="D43" s="9"/>
      <c r="E43" s="9"/>
      <c r="F43" s="11"/>
      <c r="H43" s="10"/>
      <c r="I43" s="9"/>
      <c r="J43" s="9"/>
      <c r="K43" s="9"/>
      <c r="L43" s="9"/>
      <c r="M43" s="9"/>
      <c r="N43" s="11"/>
      <c r="P43" s="10"/>
      <c r="Q43" s="9"/>
      <c r="R43" s="9"/>
      <c r="S43" s="9"/>
      <c r="T43" s="9"/>
      <c r="U43" s="9"/>
      <c r="V43" s="11"/>
      <c r="X43" s="10"/>
      <c r="Y43" s="9"/>
      <c r="Z43" s="9"/>
      <c r="AA43" s="9"/>
      <c r="AB43" s="9"/>
      <c r="AC43" s="9"/>
      <c r="AD43" s="11"/>
    </row>
    <row r="44" spans="1:30" x14ac:dyDescent="0.3">
      <c r="A44" s="10"/>
      <c r="B44" s="9"/>
      <c r="C44" s="9"/>
      <c r="D44" s="9"/>
      <c r="E44" s="9"/>
      <c r="F44" s="11"/>
      <c r="H44" s="10"/>
      <c r="I44" s="9"/>
      <c r="J44" s="9"/>
      <c r="K44" s="9"/>
      <c r="L44" s="9"/>
      <c r="M44" s="9"/>
      <c r="N44" s="11"/>
      <c r="P44" s="10"/>
      <c r="Q44" s="9"/>
      <c r="R44" s="9"/>
      <c r="S44" s="9"/>
      <c r="T44" s="9"/>
      <c r="U44" s="9"/>
      <c r="V44" s="11"/>
      <c r="X44" s="10"/>
      <c r="Y44" s="9"/>
      <c r="Z44" s="9"/>
      <c r="AA44" s="9"/>
      <c r="AB44" s="9"/>
      <c r="AC44" s="9"/>
      <c r="AD44" s="11"/>
    </row>
    <row r="45" spans="1:30" x14ac:dyDescent="0.3">
      <c r="A45" s="10"/>
      <c r="B45" s="9"/>
      <c r="C45" s="9"/>
      <c r="D45" s="9"/>
      <c r="E45" s="9"/>
      <c r="F45" s="11"/>
      <c r="H45" s="10"/>
      <c r="I45" s="9"/>
      <c r="J45" s="9"/>
      <c r="K45" s="9"/>
      <c r="L45" s="9"/>
      <c r="M45" s="9"/>
      <c r="N45" s="11"/>
      <c r="P45" s="10"/>
      <c r="Q45" s="9"/>
      <c r="R45" s="9"/>
      <c r="S45" s="9"/>
      <c r="T45" s="9"/>
      <c r="U45" s="9"/>
      <c r="V45" s="11"/>
      <c r="X45" s="10"/>
      <c r="Y45" s="9"/>
      <c r="Z45" s="9"/>
      <c r="AA45" s="9"/>
      <c r="AB45" s="9"/>
      <c r="AC45" s="9"/>
      <c r="AD45" s="11"/>
    </row>
    <row r="46" spans="1:30" x14ac:dyDescent="0.3">
      <c r="A46" s="10"/>
      <c r="B46" s="9"/>
      <c r="C46" s="9"/>
      <c r="D46" s="9"/>
      <c r="E46" s="9"/>
      <c r="F46" s="11"/>
      <c r="H46" s="10"/>
      <c r="I46" s="9"/>
      <c r="J46" s="9"/>
      <c r="K46" s="9"/>
      <c r="L46" s="9"/>
      <c r="M46" s="9"/>
      <c r="N46" s="11"/>
      <c r="P46" s="10"/>
      <c r="Q46" s="9"/>
      <c r="R46" s="9"/>
      <c r="S46" s="9"/>
      <c r="T46" s="9"/>
      <c r="U46" s="9"/>
      <c r="V46" s="11"/>
      <c r="X46" s="10"/>
      <c r="Y46" s="9"/>
      <c r="Z46" s="9"/>
      <c r="AA46" s="9"/>
      <c r="AB46" s="9"/>
      <c r="AC46" s="9"/>
      <c r="AD46" s="11"/>
    </row>
    <row r="47" spans="1:30" x14ac:dyDescent="0.3">
      <c r="A47" s="10"/>
      <c r="B47" s="9"/>
      <c r="C47" s="9"/>
      <c r="D47" s="9"/>
      <c r="E47" s="9"/>
      <c r="F47" s="11"/>
      <c r="H47" s="10"/>
      <c r="I47" s="9"/>
      <c r="J47" s="9"/>
      <c r="K47" s="9"/>
      <c r="L47" s="9"/>
      <c r="M47" s="9"/>
      <c r="N47" s="11"/>
      <c r="P47" s="10"/>
      <c r="Q47" s="9"/>
      <c r="R47" s="9"/>
      <c r="S47" s="9"/>
      <c r="T47" s="9"/>
      <c r="U47" s="9"/>
      <c r="V47" s="11"/>
      <c r="X47" s="10"/>
      <c r="Y47" s="9"/>
      <c r="Z47" s="9"/>
      <c r="AA47" s="9"/>
      <c r="AB47" s="9"/>
      <c r="AC47" s="9"/>
      <c r="AD47" s="11"/>
    </row>
    <row r="48" spans="1:30" x14ac:dyDescent="0.3">
      <c r="A48" s="10"/>
      <c r="B48" s="9"/>
      <c r="C48" s="9"/>
      <c r="D48" s="9"/>
      <c r="E48" s="9"/>
      <c r="F48" s="11"/>
      <c r="H48" s="10"/>
      <c r="I48" s="9"/>
      <c r="J48" s="9"/>
      <c r="K48" s="9"/>
      <c r="L48" s="9"/>
      <c r="M48" s="9"/>
      <c r="N48" s="11"/>
      <c r="P48" s="10"/>
      <c r="Q48" s="9"/>
      <c r="R48" s="9"/>
      <c r="S48" s="9"/>
      <c r="T48" s="9"/>
      <c r="U48" s="9"/>
      <c r="V48" s="11"/>
      <c r="X48" s="10"/>
      <c r="Y48" s="9"/>
      <c r="Z48" s="9"/>
      <c r="AA48" s="9"/>
      <c r="AB48" s="9"/>
      <c r="AC48" s="9"/>
      <c r="AD48" s="11"/>
    </row>
    <row r="49" spans="1:30" x14ac:dyDescent="0.3">
      <c r="A49" s="10"/>
      <c r="B49" s="9"/>
      <c r="C49" s="9"/>
      <c r="D49" s="9"/>
      <c r="E49" s="9"/>
      <c r="F49" s="11"/>
      <c r="H49" s="10"/>
      <c r="I49" s="9"/>
      <c r="J49" s="9"/>
      <c r="K49" s="9"/>
      <c r="L49" s="9"/>
      <c r="M49" s="9"/>
      <c r="N49" s="11"/>
      <c r="P49" s="10"/>
      <c r="Q49" s="9"/>
      <c r="R49" s="9"/>
      <c r="S49" s="9"/>
      <c r="T49" s="9"/>
      <c r="U49" s="9"/>
      <c r="V49" s="11"/>
      <c r="X49" s="10"/>
      <c r="Y49" s="9"/>
      <c r="Z49" s="9"/>
      <c r="AA49" s="9"/>
      <c r="AB49" s="9"/>
      <c r="AC49" s="9"/>
      <c r="AD49" s="11"/>
    </row>
    <row r="50" spans="1:30" x14ac:dyDescent="0.3">
      <c r="A50" s="10"/>
      <c r="B50" s="9"/>
      <c r="C50" s="9"/>
      <c r="D50" s="9"/>
      <c r="E50" s="9"/>
      <c r="F50" s="11"/>
      <c r="H50" s="10"/>
      <c r="I50" s="9"/>
      <c r="J50" s="9"/>
      <c r="K50" s="9"/>
      <c r="L50" s="9"/>
      <c r="M50" s="9"/>
      <c r="N50" s="11"/>
      <c r="P50" s="10"/>
      <c r="Q50" s="9"/>
      <c r="R50" s="9"/>
      <c r="S50" s="9"/>
      <c r="T50" s="9"/>
      <c r="U50" s="9"/>
      <c r="V50" s="11"/>
      <c r="X50" s="10"/>
      <c r="Y50" s="9"/>
      <c r="Z50" s="9"/>
      <c r="AA50" s="9"/>
      <c r="AB50" s="9"/>
      <c r="AC50" s="9"/>
      <c r="AD50" s="11"/>
    </row>
    <row r="51" spans="1:30" x14ac:dyDescent="0.3">
      <c r="A51" s="10"/>
      <c r="B51" s="9"/>
      <c r="C51" s="9"/>
      <c r="D51" s="9"/>
      <c r="E51" s="9"/>
      <c r="F51" s="11"/>
      <c r="H51" s="10"/>
      <c r="I51" s="9"/>
      <c r="J51" s="9"/>
      <c r="K51" s="9"/>
      <c r="L51" s="9"/>
      <c r="M51" s="9"/>
      <c r="N51" s="11"/>
      <c r="P51" s="10"/>
      <c r="Q51" s="9"/>
      <c r="R51" s="9"/>
      <c r="S51" s="9"/>
      <c r="T51" s="9"/>
      <c r="U51" s="9"/>
      <c r="V51" s="11"/>
      <c r="X51" s="10"/>
      <c r="Y51" s="9"/>
      <c r="Z51" s="9"/>
      <c r="AA51" s="9"/>
      <c r="AB51" s="9"/>
      <c r="AC51" s="9"/>
      <c r="AD51" s="11"/>
    </row>
    <row r="52" spans="1:30" x14ac:dyDescent="0.3">
      <c r="A52" s="10"/>
      <c r="B52" s="9"/>
      <c r="C52" s="9"/>
      <c r="D52" s="9"/>
      <c r="E52" s="9"/>
      <c r="F52" s="11"/>
      <c r="H52" s="10"/>
      <c r="I52" s="9"/>
      <c r="J52" s="9"/>
      <c r="K52" s="9"/>
      <c r="L52" s="9"/>
      <c r="M52" s="9"/>
      <c r="N52" s="11"/>
      <c r="P52" s="10"/>
      <c r="Q52" s="9"/>
      <c r="R52" s="9"/>
      <c r="S52" s="9"/>
      <c r="T52" s="9"/>
      <c r="U52" s="9"/>
      <c r="V52" s="11"/>
      <c r="X52" s="10"/>
      <c r="Y52" s="9"/>
      <c r="Z52" s="9"/>
      <c r="AA52" s="9"/>
      <c r="AB52" s="9"/>
      <c r="AC52" s="9"/>
      <c r="AD52" s="11"/>
    </row>
    <row r="53" spans="1:30" x14ac:dyDescent="0.3">
      <c r="A53" s="10"/>
      <c r="B53" s="9"/>
      <c r="C53" s="9"/>
      <c r="D53" s="9"/>
      <c r="E53" s="9"/>
      <c r="F53" s="11"/>
      <c r="H53" s="10"/>
      <c r="I53" s="9"/>
      <c r="J53" s="9"/>
      <c r="K53" s="9"/>
      <c r="L53" s="9"/>
      <c r="M53" s="9"/>
      <c r="N53" s="11"/>
      <c r="P53" s="10"/>
      <c r="Q53" s="9"/>
      <c r="R53" s="9"/>
      <c r="S53" s="9"/>
      <c r="T53" s="9"/>
      <c r="U53" s="9"/>
      <c r="V53" s="11"/>
      <c r="X53" s="10"/>
      <c r="Y53" s="9"/>
      <c r="Z53" s="9"/>
      <c r="AA53" s="9"/>
      <c r="AB53" s="9"/>
      <c r="AC53" s="9"/>
      <c r="AD53" s="11"/>
    </row>
    <row r="54" spans="1:30" x14ac:dyDescent="0.3">
      <c r="A54" s="10"/>
      <c r="B54" s="9"/>
      <c r="C54" s="9"/>
      <c r="D54" s="9"/>
      <c r="E54" s="9"/>
      <c r="F54" s="11"/>
      <c r="H54" s="10"/>
      <c r="I54" s="9"/>
      <c r="J54" s="9"/>
      <c r="K54" s="9"/>
      <c r="L54" s="9"/>
      <c r="M54" s="9"/>
      <c r="N54" s="11"/>
      <c r="P54" s="10"/>
      <c r="Q54" s="9"/>
      <c r="R54" s="9"/>
      <c r="S54" s="9"/>
      <c r="T54" s="9"/>
      <c r="U54" s="9"/>
      <c r="V54" s="11"/>
      <c r="X54" s="10"/>
      <c r="Y54" s="9"/>
      <c r="Z54" s="9"/>
      <c r="AA54" s="9"/>
      <c r="AB54" s="9"/>
      <c r="AC54" s="9"/>
      <c r="AD54" s="11"/>
    </row>
    <row r="55" spans="1:30" x14ac:dyDescent="0.3">
      <c r="A55" s="10"/>
      <c r="B55" s="9"/>
      <c r="C55" s="9"/>
      <c r="D55" s="9"/>
      <c r="E55" s="9"/>
      <c r="F55" s="11"/>
      <c r="H55" s="10"/>
      <c r="I55" s="9"/>
      <c r="J55" s="9"/>
      <c r="K55" s="9"/>
      <c r="L55" s="9"/>
      <c r="M55" s="9"/>
      <c r="N55" s="11"/>
      <c r="P55" s="10"/>
      <c r="Q55" s="9"/>
      <c r="R55" s="9"/>
      <c r="S55" s="9"/>
      <c r="T55" s="9"/>
      <c r="U55" s="9"/>
      <c r="V55" s="11"/>
      <c r="X55" s="10"/>
      <c r="Y55" s="9"/>
      <c r="Z55" s="9"/>
      <c r="AA55" s="9"/>
      <c r="AB55" s="9"/>
      <c r="AC55" s="9"/>
      <c r="AD55" s="11"/>
    </row>
    <row r="56" spans="1:30" x14ac:dyDescent="0.3">
      <c r="A56" s="10"/>
      <c r="B56" s="9"/>
      <c r="C56" s="9"/>
      <c r="D56" s="9"/>
      <c r="E56" s="9"/>
      <c r="F56" s="11"/>
      <c r="H56" s="10"/>
      <c r="I56" s="9"/>
      <c r="J56" s="9"/>
      <c r="K56" s="9"/>
      <c r="L56" s="9"/>
      <c r="M56" s="9"/>
      <c r="N56" s="11"/>
      <c r="P56" s="10"/>
      <c r="Q56" s="9"/>
      <c r="R56" s="9"/>
      <c r="S56" s="9"/>
      <c r="T56" s="9"/>
      <c r="U56" s="9"/>
      <c r="V56" s="11"/>
      <c r="X56" s="10"/>
      <c r="Y56" s="9"/>
      <c r="Z56" s="9"/>
      <c r="AA56" s="9"/>
      <c r="AB56" s="9"/>
      <c r="AC56" s="9"/>
      <c r="AD56" s="11"/>
    </row>
    <row r="57" spans="1:30" x14ac:dyDescent="0.3">
      <c r="A57" s="10"/>
      <c r="B57" s="9"/>
      <c r="C57" s="9"/>
      <c r="D57" s="9"/>
      <c r="E57" s="9"/>
      <c r="F57" s="11"/>
      <c r="H57" s="10"/>
      <c r="I57" s="9"/>
      <c r="J57" s="9"/>
      <c r="K57" s="9"/>
      <c r="L57" s="9"/>
      <c r="M57" s="9"/>
      <c r="N57" s="11"/>
      <c r="P57" s="10"/>
      <c r="Q57" s="9"/>
      <c r="R57" s="9"/>
      <c r="S57" s="9"/>
      <c r="T57" s="9"/>
      <c r="U57" s="9"/>
      <c r="V57" s="11"/>
      <c r="X57" s="10"/>
      <c r="Y57" s="9"/>
      <c r="Z57" s="9"/>
      <c r="AA57" s="9"/>
      <c r="AB57" s="9"/>
      <c r="AC57" s="9"/>
      <c r="AD57" s="11"/>
    </row>
    <row r="58" spans="1:30" x14ac:dyDescent="0.3">
      <c r="A58" s="12"/>
      <c r="B58" s="13"/>
      <c r="C58" s="13"/>
      <c r="D58" s="13"/>
      <c r="E58" s="13"/>
      <c r="F58" s="14"/>
      <c r="H58" s="10"/>
      <c r="I58" s="9"/>
      <c r="J58" s="9"/>
      <c r="K58" s="9"/>
      <c r="L58" s="9"/>
      <c r="M58" s="9"/>
      <c r="N58" s="11"/>
      <c r="P58" s="10"/>
      <c r="Q58" s="9"/>
      <c r="R58" s="9"/>
      <c r="S58" s="9"/>
      <c r="T58" s="9"/>
      <c r="U58" s="9"/>
      <c r="V58" s="11"/>
      <c r="X58" s="10"/>
      <c r="Y58" s="9"/>
      <c r="Z58" s="9"/>
      <c r="AA58" s="9"/>
      <c r="AB58" s="9"/>
      <c r="AC58" s="9"/>
      <c r="AD58" s="11"/>
    </row>
    <row r="59" spans="1:30" x14ac:dyDescent="0.3">
      <c r="H59" s="10"/>
      <c r="I59" s="9"/>
      <c r="J59" s="9"/>
      <c r="K59" s="9"/>
      <c r="L59" s="9"/>
      <c r="M59" s="9"/>
      <c r="N59" s="11"/>
      <c r="P59" s="12"/>
      <c r="Q59" s="13"/>
      <c r="R59" s="13"/>
      <c r="S59" s="13"/>
      <c r="T59" s="13"/>
      <c r="U59" s="13"/>
      <c r="V59" s="14"/>
      <c r="X59" s="10"/>
      <c r="Y59" s="9"/>
      <c r="Z59" s="9"/>
      <c r="AA59" s="9"/>
      <c r="AB59" s="9"/>
      <c r="AC59" s="9"/>
      <c r="AD59" s="11"/>
    </row>
    <row r="60" spans="1:30" x14ac:dyDescent="0.3">
      <c r="H60" s="10"/>
      <c r="I60" s="9"/>
      <c r="J60" s="9"/>
      <c r="K60" s="9"/>
      <c r="L60" s="9"/>
      <c r="M60" s="9"/>
      <c r="N60" s="11"/>
      <c r="X60" s="10"/>
      <c r="Y60" s="9"/>
      <c r="Z60" s="9"/>
      <c r="AA60" s="9"/>
      <c r="AB60" s="9"/>
      <c r="AC60" s="9"/>
      <c r="AD60" s="11"/>
    </row>
    <row r="61" spans="1:30" x14ac:dyDescent="0.3">
      <c r="H61" s="10"/>
      <c r="I61" s="9"/>
      <c r="J61" s="9"/>
      <c r="K61" s="9"/>
      <c r="L61" s="9"/>
      <c r="M61" s="9"/>
      <c r="N61" s="11"/>
      <c r="X61" s="12"/>
      <c r="Y61" s="13"/>
      <c r="Z61" s="13"/>
      <c r="AA61" s="13"/>
      <c r="AB61" s="13"/>
      <c r="AC61" s="13"/>
      <c r="AD61" s="14"/>
    </row>
    <row r="62" spans="1:30" x14ac:dyDescent="0.3">
      <c r="H62" s="10"/>
      <c r="I62" s="9"/>
      <c r="J62" s="9"/>
      <c r="K62" s="9"/>
      <c r="L62" s="9"/>
      <c r="M62" s="9"/>
      <c r="N62" s="11"/>
      <c r="P62" s="15"/>
      <c r="Q62" s="16"/>
      <c r="R62" s="16"/>
      <c r="S62" s="16"/>
      <c r="T62" s="16"/>
      <c r="U62" s="16"/>
      <c r="V62" s="16"/>
      <c r="W62" s="17"/>
    </row>
    <row r="63" spans="1:30" x14ac:dyDescent="0.3">
      <c r="H63" s="10"/>
      <c r="I63" s="9"/>
      <c r="J63" s="9"/>
      <c r="K63" s="9"/>
      <c r="L63" s="9"/>
      <c r="M63" s="9"/>
      <c r="N63" s="11"/>
      <c r="P63" s="10"/>
      <c r="Q63" s="9"/>
      <c r="R63" s="9"/>
      <c r="S63" s="9"/>
      <c r="T63" s="9"/>
      <c r="U63" s="9"/>
      <c r="V63" s="9"/>
      <c r="W63" s="11"/>
    </row>
    <row r="64" spans="1:30" x14ac:dyDescent="0.3">
      <c r="H64" s="10"/>
      <c r="I64" s="9"/>
      <c r="J64" s="9"/>
      <c r="K64" s="9"/>
      <c r="L64" s="9"/>
      <c r="M64" s="9"/>
      <c r="N64" s="11"/>
      <c r="P64" s="10"/>
      <c r="Q64" s="9"/>
      <c r="R64" s="9"/>
      <c r="S64" s="9"/>
      <c r="T64" s="9"/>
      <c r="U64" s="9"/>
      <c r="V64" s="9"/>
      <c r="W64" s="11"/>
      <c r="Y64" s="15"/>
      <c r="Z64" s="16"/>
      <c r="AA64" s="16"/>
      <c r="AB64" s="16"/>
      <c r="AC64" s="16"/>
      <c r="AD64" s="17"/>
    </row>
    <row r="65" spans="8:30" x14ac:dyDescent="0.3">
      <c r="H65" s="10"/>
      <c r="I65" s="9"/>
      <c r="J65" s="9"/>
      <c r="K65" s="9"/>
      <c r="L65" s="9"/>
      <c r="M65" s="9"/>
      <c r="N65" s="11"/>
      <c r="P65" s="10"/>
      <c r="Q65" s="9"/>
      <c r="R65" s="9"/>
      <c r="S65" s="9"/>
      <c r="T65" s="9"/>
      <c r="U65" s="9"/>
      <c r="V65" s="9"/>
      <c r="W65" s="11"/>
      <c r="Y65" s="10"/>
      <c r="Z65" s="9"/>
      <c r="AA65" s="9"/>
      <c r="AB65" s="9"/>
      <c r="AC65" s="9"/>
      <c r="AD65" s="11"/>
    </row>
    <row r="66" spans="8:30" x14ac:dyDescent="0.3">
      <c r="H66" s="10"/>
      <c r="I66" s="9"/>
      <c r="J66" s="9"/>
      <c r="K66" s="9"/>
      <c r="L66" s="9"/>
      <c r="M66" s="9"/>
      <c r="N66" s="11"/>
      <c r="P66" s="10"/>
      <c r="Q66" s="9"/>
      <c r="R66" s="9"/>
      <c r="S66" s="9"/>
      <c r="T66" s="9"/>
      <c r="U66" s="9"/>
      <c r="V66" s="9"/>
      <c r="W66" s="11"/>
      <c r="Y66" s="10"/>
      <c r="Z66" s="9"/>
      <c r="AA66" s="9"/>
      <c r="AB66" s="9"/>
      <c r="AC66" s="9"/>
      <c r="AD66" s="11"/>
    </row>
    <row r="67" spans="8:30" x14ac:dyDescent="0.3">
      <c r="H67" s="10"/>
      <c r="I67" s="9"/>
      <c r="J67" s="9"/>
      <c r="K67" s="9"/>
      <c r="L67" s="9"/>
      <c r="M67" s="9"/>
      <c r="N67" s="11"/>
      <c r="P67" s="10"/>
      <c r="Q67" s="9"/>
      <c r="R67" s="9"/>
      <c r="S67" s="9"/>
      <c r="T67" s="9"/>
      <c r="U67" s="9"/>
      <c r="V67" s="9"/>
      <c r="W67" s="11"/>
      <c r="Y67" s="10"/>
      <c r="Z67" s="9"/>
      <c r="AA67" s="9"/>
      <c r="AB67" s="9"/>
      <c r="AC67" s="9"/>
      <c r="AD67" s="11"/>
    </row>
    <row r="68" spans="8:30" x14ac:dyDescent="0.3">
      <c r="H68" s="10"/>
      <c r="I68" s="9"/>
      <c r="J68" s="9"/>
      <c r="K68" s="9"/>
      <c r="L68" s="9"/>
      <c r="M68" s="9"/>
      <c r="N68" s="11"/>
      <c r="P68" s="10"/>
      <c r="Q68" s="9"/>
      <c r="R68" s="9"/>
      <c r="S68" s="9"/>
      <c r="T68" s="9"/>
      <c r="U68" s="9"/>
      <c r="V68" s="9"/>
      <c r="W68" s="11"/>
      <c r="Y68" s="10"/>
      <c r="Z68" s="9"/>
      <c r="AA68" s="9"/>
      <c r="AB68" s="9"/>
      <c r="AC68" s="9"/>
      <c r="AD68" s="11"/>
    </row>
    <row r="69" spans="8:30" x14ac:dyDescent="0.3">
      <c r="H69" s="10"/>
      <c r="I69" s="9"/>
      <c r="J69" s="9"/>
      <c r="K69" s="9"/>
      <c r="L69" s="9"/>
      <c r="M69" s="9"/>
      <c r="N69" s="11"/>
      <c r="P69" s="10"/>
      <c r="Q69" s="9"/>
      <c r="R69" s="9"/>
      <c r="S69" s="9"/>
      <c r="T69" s="9"/>
      <c r="U69" s="9"/>
      <c r="V69" s="9"/>
      <c r="W69" s="11"/>
      <c r="Y69" s="10"/>
      <c r="Z69" s="9"/>
      <c r="AA69" s="9"/>
      <c r="AB69" s="9"/>
      <c r="AC69" s="9"/>
      <c r="AD69" s="11"/>
    </row>
    <row r="70" spans="8:30" x14ac:dyDescent="0.3">
      <c r="H70" s="10"/>
      <c r="I70" s="9"/>
      <c r="J70" s="9"/>
      <c r="K70" s="9"/>
      <c r="L70" s="9"/>
      <c r="M70" s="9"/>
      <c r="N70" s="11"/>
      <c r="P70" s="10"/>
      <c r="Q70" s="9"/>
      <c r="R70" s="9"/>
      <c r="S70" s="9"/>
      <c r="T70" s="9"/>
      <c r="U70" s="9"/>
      <c r="V70" s="9"/>
      <c r="W70" s="11"/>
      <c r="Y70" s="10"/>
      <c r="Z70" s="9"/>
      <c r="AA70" s="9"/>
      <c r="AB70" s="9"/>
      <c r="AC70" s="9"/>
      <c r="AD70" s="11"/>
    </row>
    <row r="71" spans="8:30" x14ac:dyDescent="0.3">
      <c r="H71" s="10"/>
      <c r="I71" s="9"/>
      <c r="J71" s="9"/>
      <c r="K71" s="9"/>
      <c r="L71" s="9"/>
      <c r="M71" s="9"/>
      <c r="N71" s="11"/>
      <c r="P71" s="10"/>
      <c r="Q71" s="9"/>
      <c r="R71" s="9"/>
      <c r="S71" s="9"/>
      <c r="T71" s="9"/>
      <c r="U71" s="9"/>
      <c r="V71" s="9"/>
      <c r="W71" s="11"/>
      <c r="Y71" s="10"/>
      <c r="Z71" s="9"/>
      <c r="AA71" s="9"/>
      <c r="AB71" s="9"/>
      <c r="AC71" s="9"/>
      <c r="AD71" s="11"/>
    </row>
    <row r="72" spans="8:30" x14ac:dyDescent="0.3">
      <c r="H72" s="10"/>
      <c r="I72" s="9"/>
      <c r="J72" s="9"/>
      <c r="K72" s="9"/>
      <c r="L72" s="9"/>
      <c r="M72" s="9"/>
      <c r="N72" s="11"/>
      <c r="P72" s="10"/>
      <c r="Q72" s="9"/>
      <c r="R72" s="9"/>
      <c r="S72" s="9"/>
      <c r="T72" s="9"/>
      <c r="U72" s="9"/>
      <c r="V72" s="9"/>
      <c r="W72" s="11"/>
      <c r="Y72" s="10"/>
      <c r="Z72" s="9"/>
      <c r="AA72" s="9"/>
      <c r="AB72" s="9"/>
      <c r="AC72" s="9"/>
      <c r="AD72" s="11"/>
    </row>
    <row r="73" spans="8:30" x14ac:dyDescent="0.3">
      <c r="H73" s="10"/>
      <c r="I73" s="9"/>
      <c r="J73" s="9"/>
      <c r="K73" s="9"/>
      <c r="L73" s="9"/>
      <c r="M73" s="9"/>
      <c r="N73" s="11"/>
      <c r="P73" s="10"/>
      <c r="Q73" s="9"/>
      <c r="R73" s="9"/>
      <c r="S73" s="9"/>
      <c r="T73" s="9"/>
      <c r="U73" s="9"/>
      <c r="V73" s="9"/>
      <c r="W73" s="11"/>
      <c r="Y73" s="10"/>
      <c r="Z73" s="9"/>
      <c r="AA73" s="9"/>
      <c r="AB73" s="9"/>
      <c r="AC73" s="9"/>
      <c r="AD73" s="11"/>
    </row>
    <row r="74" spans="8:30" x14ac:dyDescent="0.3">
      <c r="H74" s="10"/>
      <c r="I74" s="9"/>
      <c r="J74" s="9"/>
      <c r="K74" s="9"/>
      <c r="L74" s="9"/>
      <c r="M74" s="9"/>
      <c r="N74" s="11"/>
      <c r="P74" s="10"/>
      <c r="Q74" s="9"/>
      <c r="R74" s="9"/>
      <c r="S74" s="9"/>
      <c r="T74" s="9"/>
      <c r="U74" s="9"/>
      <c r="V74" s="9"/>
      <c r="W74" s="11"/>
      <c r="Y74" s="10"/>
      <c r="Z74" s="9"/>
      <c r="AA74" s="9"/>
      <c r="AB74" s="9"/>
      <c r="AC74" s="9"/>
      <c r="AD74" s="11"/>
    </row>
    <row r="75" spans="8:30" x14ac:dyDescent="0.3">
      <c r="H75" s="10"/>
      <c r="I75" s="9"/>
      <c r="J75" s="9"/>
      <c r="K75" s="9"/>
      <c r="L75" s="9"/>
      <c r="M75" s="9"/>
      <c r="N75" s="11"/>
      <c r="P75" s="10"/>
      <c r="Q75" s="9"/>
      <c r="R75" s="9"/>
      <c r="S75" s="9"/>
      <c r="T75" s="9"/>
      <c r="U75" s="9"/>
      <c r="V75" s="9"/>
      <c r="W75" s="11"/>
      <c r="Y75" s="10"/>
      <c r="Z75" s="9"/>
      <c r="AA75" s="9"/>
      <c r="AB75" s="9"/>
      <c r="AC75" s="9"/>
      <c r="AD75" s="11"/>
    </row>
    <row r="76" spans="8:30" x14ac:dyDescent="0.3">
      <c r="H76" s="10"/>
      <c r="I76" s="9"/>
      <c r="J76" s="9"/>
      <c r="K76" s="9"/>
      <c r="L76" s="9"/>
      <c r="M76" s="9"/>
      <c r="N76" s="11"/>
      <c r="P76" s="10"/>
      <c r="Q76" s="9"/>
      <c r="R76" s="9"/>
      <c r="S76" s="9"/>
      <c r="T76" s="9"/>
      <c r="U76" s="9"/>
      <c r="V76" s="9"/>
      <c r="W76" s="11"/>
      <c r="Y76" s="10"/>
      <c r="Z76" s="9"/>
      <c r="AA76" s="9"/>
      <c r="AB76" s="9"/>
      <c r="AC76" s="9"/>
      <c r="AD76" s="11"/>
    </row>
    <row r="77" spans="8:30" x14ac:dyDescent="0.3">
      <c r="H77" s="10"/>
      <c r="I77" s="9"/>
      <c r="J77" s="9"/>
      <c r="K77" s="9"/>
      <c r="L77" s="9"/>
      <c r="M77" s="9"/>
      <c r="N77" s="11"/>
      <c r="P77" s="10"/>
      <c r="Q77" s="9"/>
      <c r="R77" s="9"/>
      <c r="S77" s="9"/>
      <c r="T77" s="9"/>
      <c r="U77" s="9"/>
      <c r="V77" s="9"/>
      <c r="W77" s="11"/>
      <c r="Y77" s="10"/>
      <c r="Z77" s="9"/>
      <c r="AA77" s="9"/>
      <c r="AB77" s="9"/>
      <c r="AC77" s="9"/>
      <c r="AD77" s="11"/>
    </row>
    <row r="78" spans="8:30" x14ac:dyDescent="0.3">
      <c r="H78" s="10"/>
      <c r="I78" s="9"/>
      <c r="J78" s="9"/>
      <c r="K78" s="9"/>
      <c r="L78" s="9"/>
      <c r="M78" s="9"/>
      <c r="N78" s="11"/>
      <c r="P78" s="10"/>
      <c r="Q78" s="9"/>
      <c r="R78" s="9"/>
      <c r="S78" s="9"/>
      <c r="T78" s="9"/>
      <c r="U78" s="9"/>
      <c r="V78" s="9"/>
      <c r="W78" s="11"/>
      <c r="Y78" s="10"/>
      <c r="Z78" s="9"/>
      <c r="AA78" s="9"/>
      <c r="AB78" s="9"/>
      <c r="AC78" s="9"/>
      <c r="AD78" s="11"/>
    </row>
    <row r="79" spans="8:30" x14ac:dyDescent="0.3">
      <c r="H79" s="10"/>
      <c r="I79" s="9"/>
      <c r="J79" s="9"/>
      <c r="K79" s="9"/>
      <c r="L79" s="9"/>
      <c r="M79" s="9"/>
      <c r="N79" s="11"/>
      <c r="P79" s="10"/>
      <c r="Q79" s="9"/>
      <c r="R79" s="9"/>
      <c r="S79" s="9"/>
      <c r="T79" s="9"/>
      <c r="U79" s="9"/>
      <c r="V79" s="9"/>
      <c r="W79" s="11"/>
      <c r="Y79" s="10"/>
      <c r="Z79" s="9"/>
      <c r="AA79" s="9"/>
      <c r="AB79" s="9"/>
      <c r="AC79" s="9"/>
      <c r="AD79" s="11"/>
    </row>
    <row r="80" spans="8:30" x14ac:dyDescent="0.3">
      <c r="H80" s="10"/>
      <c r="I80" s="9"/>
      <c r="J80" s="9"/>
      <c r="K80" s="9"/>
      <c r="L80" s="9"/>
      <c r="M80" s="9"/>
      <c r="N80" s="11"/>
      <c r="P80" s="10"/>
      <c r="Q80" s="9"/>
      <c r="R80" s="9"/>
      <c r="S80" s="9"/>
      <c r="T80" s="9"/>
      <c r="U80" s="9"/>
      <c r="V80" s="9"/>
      <c r="W80" s="11"/>
      <c r="Y80" s="10"/>
      <c r="Z80" s="9"/>
      <c r="AA80" s="9"/>
      <c r="AB80" s="9"/>
      <c r="AC80" s="9"/>
      <c r="AD80" s="11"/>
    </row>
    <row r="81" spans="8:35" x14ac:dyDescent="0.3">
      <c r="H81" s="10"/>
      <c r="I81" s="9"/>
      <c r="J81" s="9"/>
      <c r="K81" s="9"/>
      <c r="L81" s="9"/>
      <c r="M81" s="9"/>
      <c r="N81" s="11"/>
      <c r="P81" s="10"/>
      <c r="Q81" s="9"/>
      <c r="R81" s="9"/>
      <c r="S81" s="9"/>
      <c r="T81" s="9"/>
      <c r="U81" s="9"/>
      <c r="V81" s="9"/>
      <c r="W81" s="11"/>
      <c r="Y81" s="10"/>
      <c r="Z81" s="9"/>
      <c r="AA81" s="9"/>
      <c r="AB81" s="9"/>
      <c r="AC81" s="9"/>
      <c r="AD81" s="11"/>
    </row>
    <row r="82" spans="8:35" x14ac:dyDescent="0.3">
      <c r="H82" s="10"/>
      <c r="I82" s="9"/>
      <c r="J82" s="9"/>
      <c r="K82" s="9"/>
      <c r="L82" s="9"/>
      <c r="M82" s="9"/>
      <c r="N82" s="11"/>
      <c r="P82" s="12"/>
      <c r="Q82" s="13"/>
      <c r="R82" s="13"/>
      <c r="S82" s="13"/>
      <c r="T82" s="13"/>
      <c r="U82" s="13"/>
      <c r="V82" s="13"/>
      <c r="W82" s="14"/>
      <c r="Y82" s="10"/>
      <c r="Z82" s="9"/>
      <c r="AA82" s="9"/>
      <c r="AB82" s="9"/>
      <c r="AC82" s="9"/>
      <c r="AD82" s="11"/>
    </row>
    <row r="83" spans="8:35" x14ac:dyDescent="0.3">
      <c r="H83" s="10"/>
      <c r="I83" s="9"/>
      <c r="J83" s="9"/>
      <c r="K83" s="9"/>
      <c r="L83" s="9"/>
      <c r="M83" s="9"/>
      <c r="N83" s="11"/>
      <c r="Y83" s="10"/>
      <c r="Z83" s="9"/>
      <c r="AA83" s="9"/>
      <c r="AB83" s="9"/>
      <c r="AC83" s="9"/>
      <c r="AD83" s="11"/>
    </row>
    <row r="84" spans="8:35" x14ac:dyDescent="0.3">
      <c r="H84" s="10"/>
      <c r="I84" s="9"/>
      <c r="J84" s="9"/>
      <c r="K84" s="9"/>
      <c r="L84" s="9"/>
      <c r="M84" s="9"/>
      <c r="N84" s="11"/>
      <c r="Y84" s="10"/>
      <c r="Z84" s="9"/>
      <c r="AA84" s="9"/>
      <c r="AB84" s="9"/>
      <c r="AC84" s="9"/>
      <c r="AD84" s="11"/>
    </row>
    <row r="85" spans="8:35" x14ac:dyDescent="0.3">
      <c r="H85" s="10"/>
      <c r="I85" s="9"/>
      <c r="J85" s="9"/>
      <c r="K85" s="9"/>
      <c r="L85" s="9"/>
      <c r="M85" s="9"/>
      <c r="N85" s="11"/>
      <c r="P85" s="15"/>
      <c r="Q85" s="16"/>
      <c r="R85" s="16"/>
      <c r="S85" s="16"/>
      <c r="T85" s="16"/>
      <c r="U85" s="17"/>
      <c r="Y85" s="10"/>
      <c r="Z85" s="9"/>
      <c r="AA85" s="9"/>
      <c r="AB85" s="9"/>
      <c r="AC85" s="9"/>
      <c r="AD85" s="11"/>
    </row>
    <row r="86" spans="8:35" x14ac:dyDescent="0.3">
      <c r="H86" s="10"/>
      <c r="I86" s="9"/>
      <c r="J86" s="9"/>
      <c r="K86" s="9"/>
      <c r="L86" s="9"/>
      <c r="M86" s="9"/>
      <c r="N86" s="11"/>
      <c r="P86" s="10"/>
      <c r="Q86" s="9"/>
      <c r="R86" s="9"/>
      <c r="S86" s="9"/>
      <c r="T86" s="9"/>
      <c r="U86" s="11"/>
      <c r="Y86" s="10"/>
      <c r="Z86" s="9"/>
      <c r="AA86" s="9"/>
      <c r="AB86" s="9"/>
      <c r="AC86" s="9"/>
      <c r="AD86" s="11"/>
    </row>
    <row r="87" spans="8:35" x14ac:dyDescent="0.3">
      <c r="H87" s="10"/>
      <c r="I87" s="9"/>
      <c r="J87" s="9"/>
      <c r="K87" s="9"/>
      <c r="L87" s="9"/>
      <c r="M87" s="9"/>
      <c r="N87" s="11"/>
      <c r="P87" s="10"/>
      <c r="Q87" s="9"/>
      <c r="R87" s="9"/>
      <c r="S87" s="9"/>
      <c r="T87" s="9"/>
      <c r="U87" s="11"/>
      <c r="Y87" s="10"/>
      <c r="Z87" s="9"/>
      <c r="AA87" s="9"/>
      <c r="AB87" s="9"/>
      <c r="AC87" s="9"/>
      <c r="AD87" s="11"/>
    </row>
    <row r="88" spans="8:35" x14ac:dyDescent="0.3">
      <c r="H88" s="10"/>
      <c r="I88" s="9"/>
      <c r="J88" s="9"/>
      <c r="K88" s="9"/>
      <c r="L88" s="9"/>
      <c r="M88" s="9"/>
      <c r="N88" s="11"/>
      <c r="P88" s="10"/>
      <c r="Q88" s="9"/>
      <c r="R88" s="9"/>
      <c r="S88" s="9"/>
      <c r="T88" s="9"/>
      <c r="U88" s="11"/>
      <c r="Y88" s="10"/>
      <c r="Z88" s="9"/>
      <c r="AA88" s="9"/>
      <c r="AB88" s="9"/>
      <c r="AC88" s="9"/>
      <c r="AD88" s="11"/>
    </row>
    <row r="89" spans="8:35" x14ac:dyDescent="0.3">
      <c r="H89" s="10"/>
      <c r="I89" s="9"/>
      <c r="J89" s="9"/>
      <c r="K89" s="9"/>
      <c r="L89" s="9"/>
      <c r="M89" s="9"/>
      <c r="N89" s="11"/>
      <c r="P89" s="10"/>
      <c r="Q89" s="9"/>
      <c r="R89" s="9"/>
      <c r="S89" s="9"/>
      <c r="T89" s="9"/>
      <c r="U89" s="11"/>
      <c r="Y89" s="12"/>
      <c r="Z89" s="13"/>
      <c r="AA89" s="13"/>
      <c r="AB89" s="13"/>
      <c r="AC89" s="13"/>
      <c r="AD89" s="14"/>
    </row>
    <row r="90" spans="8:35" x14ac:dyDescent="0.3">
      <c r="H90" s="10"/>
      <c r="I90" s="9"/>
      <c r="J90" s="9"/>
      <c r="K90" s="9"/>
      <c r="L90" s="9"/>
      <c r="M90" s="9"/>
      <c r="N90" s="11"/>
      <c r="P90" s="10"/>
      <c r="Q90" s="9"/>
      <c r="R90" s="9"/>
      <c r="S90" s="9"/>
      <c r="T90" s="9"/>
      <c r="U90" s="11"/>
    </row>
    <row r="91" spans="8:35" x14ac:dyDescent="0.3">
      <c r="H91" s="10"/>
      <c r="I91" s="9"/>
      <c r="J91" s="9"/>
      <c r="K91" s="9"/>
      <c r="L91" s="9"/>
      <c r="M91" s="9"/>
      <c r="N91" s="11"/>
      <c r="P91" s="10"/>
      <c r="Q91" s="9"/>
      <c r="R91" s="9"/>
      <c r="S91" s="9"/>
      <c r="T91" s="9"/>
      <c r="U91" s="11"/>
    </row>
    <row r="92" spans="8:35" x14ac:dyDescent="0.3">
      <c r="H92" s="10"/>
      <c r="I92" s="9"/>
      <c r="J92" s="9"/>
      <c r="K92" s="9"/>
      <c r="L92" s="9"/>
      <c r="M92" s="9"/>
      <c r="N92" s="11"/>
      <c r="P92" s="10"/>
      <c r="Q92" s="9"/>
      <c r="R92" s="9"/>
      <c r="S92" s="9"/>
      <c r="T92" s="9"/>
      <c r="U92" s="11"/>
      <c r="W92" s="15"/>
      <c r="X92" s="16"/>
      <c r="Y92" s="16"/>
      <c r="Z92" s="16"/>
      <c r="AA92" s="16"/>
      <c r="AB92" s="17"/>
    </row>
    <row r="93" spans="8:35" x14ac:dyDescent="0.3">
      <c r="H93" s="10"/>
      <c r="I93" s="9"/>
      <c r="J93" s="9"/>
      <c r="K93" s="9"/>
      <c r="L93" s="9"/>
      <c r="M93" s="9"/>
      <c r="N93" s="11"/>
      <c r="P93" s="10"/>
      <c r="Q93" s="9"/>
      <c r="R93" s="9"/>
      <c r="S93" s="9"/>
      <c r="T93" s="9"/>
      <c r="U93" s="11"/>
      <c r="W93" s="10"/>
      <c r="X93" s="9"/>
      <c r="Y93" s="9"/>
      <c r="Z93" s="9"/>
      <c r="AA93" s="9"/>
      <c r="AB93" s="11"/>
      <c r="AD93" s="15"/>
      <c r="AE93" s="16"/>
      <c r="AF93" s="16"/>
      <c r="AG93" s="16"/>
      <c r="AH93" s="16"/>
      <c r="AI93" s="17"/>
    </row>
    <row r="94" spans="8:35" x14ac:dyDescent="0.3">
      <c r="H94" s="10"/>
      <c r="I94" s="9"/>
      <c r="J94" s="9"/>
      <c r="K94" s="9"/>
      <c r="L94" s="9"/>
      <c r="M94" s="9"/>
      <c r="N94" s="11"/>
      <c r="P94" s="10"/>
      <c r="Q94" s="9"/>
      <c r="R94" s="9"/>
      <c r="S94" s="9"/>
      <c r="T94" s="9"/>
      <c r="U94" s="11"/>
      <c r="W94" s="10"/>
      <c r="X94" s="9"/>
      <c r="Y94" s="9"/>
      <c r="Z94" s="9"/>
      <c r="AA94" s="9"/>
      <c r="AB94" s="11"/>
      <c r="AD94" s="10"/>
      <c r="AE94" s="9"/>
      <c r="AF94" s="9"/>
      <c r="AG94" s="9"/>
      <c r="AH94" s="9"/>
      <c r="AI94" s="11"/>
    </row>
    <row r="95" spans="8:35" x14ac:dyDescent="0.3">
      <c r="H95" s="10"/>
      <c r="I95" s="9"/>
      <c r="J95" s="9"/>
      <c r="K95" s="9"/>
      <c r="L95" s="9"/>
      <c r="M95" s="9"/>
      <c r="N95" s="11"/>
      <c r="P95" s="10"/>
      <c r="Q95" s="9"/>
      <c r="R95" s="9"/>
      <c r="S95" s="9"/>
      <c r="T95" s="9"/>
      <c r="U95" s="11"/>
      <c r="W95" s="10"/>
      <c r="X95" s="9"/>
      <c r="Y95" s="9"/>
      <c r="Z95" s="9"/>
      <c r="AA95" s="9"/>
      <c r="AB95" s="11"/>
      <c r="AD95" s="10"/>
      <c r="AE95" s="9"/>
      <c r="AF95" s="9"/>
      <c r="AG95" s="9"/>
      <c r="AH95" s="9"/>
      <c r="AI95" s="11"/>
    </row>
    <row r="96" spans="8:35" x14ac:dyDescent="0.3">
      <c r="H96" s="10"/>
      <c r="I96" s="9"/>
      <c r="J96" s="9"/>
      <c r="K96" s="9"/>
      <c r="L96" s="9"/>
      <c r="M96" s="9"/>
      <c r="N96" s="11"/>
      <c r="P96" s="10"/>
      <c r="Q96" s="9"/>
      <c r="R96" s="9"/>
      <c r="S96" s="9"/>
      <c r="T96" s="9"/>
      <c r="U96" s="11"/>
      <c r="W96" s="10"/>
      <c r="X96" s="9"/>
      <c r="Y96" s="9"/>
      <c r="Z96" s="9"/>
      <c r="AA96" s="9"/>
      <c r="AB96" s="11"/>
      <c r="AD96" s="10"/>
      <c r="AE96" s="9"/>
      <c r="AF96" s="9"/>
      <c r="AG96" s="9"/>
      <c r="AH96" s="9"/>
      <c r="AI96" s="11"/>
    </row>
    <row r="97" spans="8:35" x14ac:dyDescent="0.3">
      <c r="H97" s="10"/>
      <c r="I97" s="9"/>
      <c r="J97" s="9"/>
      <c r="K97" s="9"/>
      <c r="L97" s="9"/>
      <c r="M97" s="9"/>
      <c r="N97" s="11"/>
      <c r="P97" s="10"/>
      <c r="Q97" s="9"/>
      <c r="R97" s="9"/>
      <c r="S97" s="9"/>
      <c r="T97" s="9"/>
      <c r="U97" s="11"/>
      <c r="W97" s="10"/>
      <c r="X97" s="9"/>
      <c r="Y97" s="9"/>
      <c r="Z97" s="9"/>
      <c r="AA97" s="9"/>
      <c r="AB97" s="11"/>
      <c r="AD97" s="10"/>
      <c r="AE97" s="9"/>
      <c r="AF97" s="9"/>
      <c r="AG97" s="9"/>
      <c r="AH97" s="9"/>
      <c r="AI97" s="11"/>
    </row>
    <row r="98" spans="8:35" x14ac:dyDescent="0.3">
      <c r="H98" s="10"/>
      <c r="I98" s="9"/>
      <c r="J98" s="9"/>
      <c r="K98" s="9"/>
      <c r="L98" s="9"/>
      <c r="M98" s="9"/>
      <c r="N98" s="11"/>
      <c r="P98" s="10"/>
      <c r="Q98" s="9"/>
      <c r="R98" s="9"/>
      <c r="S98" s="9"/>
      <c r="T98" s="9"/>
      <c r="U98" s="11"/>
      <c r="W98" s="10"/>
      <c r="X98" s="9"/>
      <c r="Y98" s="9"/>
      <c r="Z98" s="9"/>
      <c r="AA98" s="9"/>
      <c r="AB98" s="11"/>
      <c r="AD98" s="10"/>
      <c r="AE98" s="9"/>
      <c r="AF98" s="9"/>
      <c r="AG98" s="9"/>
      <c r="AH98" s="9"/>
      <c r="AI98" s="11"/>
    </row>
    <row r="99" spans="8:35" x14ac:dyDescent="0.3">
      <c r="H99" s="10"/>
      <c r="I99" s="9"/>
      <c r="J99" s="9"/>
      <c r="K99" s="9"/>
      <c r="L99" s="9"/>
      <c r="M99" s="9"/>
      <c r="N99" s="11"/>
      <c r="P99" s="10"/>
      <c r="Q99" s="9"/>
      <c r="R99" s="9"/>
      <c r="S99" s="9"/>
      <c r="T99" s="9"/>
      <c r="U99" s="11"/>
      <c r="W99" s="10"/>
      <c r="X99" s="9"/>
      <c r="Y99" s="9"/>
      <c r="Z99" s="9"/>
      <c r="AA99" s="9"/>
      <c r="AB99" s="11"/>
      <c r="AD99" s="10"/>
      <c r="AE99" s="9"/>
      <c r="AF99" s="9"/>
      <c r="AG99" s="9"/>
      <c r="AH99" s="9"/>
      <c r="AI99" s="11"/>
    </row>
    <row r="100" spans="8:35" x14ac:dyDescent="0.3">
      <c r="H100" s="10"/>
      <c r="I100" s="9"/>
      <c r="J100" s="9"/>
      <c r="K100" s="9"/>
      <c r="L100" s="9"/>
      <c r="M100" s="9"/>
      <c r="N100" s="11"/>
      <c r="P100" s="10"/>
      <c r="Q100" s="9"/>
      <c r="R100" s="9"/>
      <c r="S100" s="9"/>
      <c r="T100" s="9"/>
      <c r="U100" s="11"/>
      <c r="W100" s="10"/>
      <c r="X100" s="9"/>
      <c r="Y100" s="9"/>
      <c r="Z100" s="9"/>
      <c r="AA100" s="9"/>
      <c r="AB100" s="11"/>
      <c r="AD100" s="10"/>
      <c r="AE100" s="9"/>
      <c r="AF100" s="9"/>
      <c r="AG100" s="9"/>
      <c r="AH100" s="9"/>
      <c r="AI100" s="11"/>
    </row>
    <row r="101" spans="8:35" x14ac:dyDescent="0.3">
      <c r="H101" s="10"/>
      <c r="I101" s="9"/>
      <c r="J101" s="9"/>
      <c r="K101" s="9"/>
      <c r="L101" s="9"/>
      <c r="M101" s="9"/>
      <c r="N101" s="11"/>
      <c r="P101" s="10"/>
      <c r="Q101" s="9"/>
      <c r="R101" s="9"/>
      <c r="S101" s="9"/>
      <c r="T101" s="9"/>
      <c r="U101" s="11"/>
      <c r="W101" s="10"/>
      <c r="X101" s="9"/>
      <c r="Y101" s="9"/>
      <c r="Z101" s="9"/>
      <c r="AA101" s="9"/>
      <c r="AB101" s="11"/>
      <c r="AD101" s="10"/>
      <c r="AE101" s="9"/>
      <c r="AF101" s="9"/>
      <c r="AG101" s="9"/>
      <c r="AH101" s="9"/>
      <c r="AI101" s="11"/>
    </row>
    <row r="102" spans="8:35" x14ac:dyDescent="0.3">
      <c r="H102" s="10"/>
      <c r="I102" s="9"/>
      <c r="J102" s="9"/>
      <c r="K102" s="9"/>
      <c r="L102" s="9"/>
      <c r="M102" s="9"/>
      <c r="N102" s="11"/>
      <c r="P102" s="10"/>
      <c r="Q102" s="9"/>
      <c r="R102" s="9"/>
      <c r="S102" s="9"/>
      <c r="T102" s="9"/>
      <c r="U102" s="11"/>
      <c r="W102" s="10"/>
      <c r="X102" s="9"/>
      <c r="Y102" s="9"/>
      <c r="Z102" s="9"/>
      <c r="AA102" s="9"/>
      <c r="AB102" s="11"/>
      <c r="AD102" s="10"/>
      <c r="AE102" s="9"/>
      <c r="AF102" s="9"/>
      <c r="AG102" s="9"/>
      <c r="AH102" s="9"/>
      <c r="AI102" s="11"/>
    </row>
    <row r="103" spans="8:35" x14ac:dyDescent="0.3">
      <c r="H103" s="10"/>
      <c r="I103" s="9"/>
      <c r="J103" s="9"/>
      <c r="K103" s="9"/>
      <c r="L103" s="9"/>
      <c r="M103" s="9"/>
      <c r="N103" s="11"/>
      <c r="P103" s="10"/>
      <c r="Q103" s="9"/>
      <c r="R103" s="9"/>
      <c r="S103" s="9"/>
      <c r="T103" s="9"/>
      <c r="U103" s="11"/>
      <c r="W103" s="10"/>
      <c r="X103" s="9"/>
      <c r="Y103" s="9"/>
      <c r="Z103" s="9"/>
      <c r="AA103" s="9"/>
      <c r="AB103" s="11"/>
      <c r="AD103" s="10"/>
      <c r="AE103" s="9"/>
      <c r="AF103" s="9"/>
      <c r="AG103" s="9"/>
      <c r="AH103" s="9"/>
      <c r="AI103" s="11"/>
    </row>
    <row r="104" spans="8:35" x14ac:dyDescent="0.3">
      <c r="H104" s="10"/>
      <c r="I104" s="9"/>
      <c r="J104" s="9"/>
      <c r="K104" s="9"/>
      <c r="L104" s="9"/>
      <c r="M104" s="9"/>
      <c r="N104" s="11"/>
      <c r="P104" s="10"/>
      <c r="Q104" s="9"/>
      <c r="R104" s="9"/>
      <c r="S104" s="9"/>
      <c r="T104" s="9"/>
      <c r="U104" s="11"/>
      <c r="W104" s="10"/>
      <c r="X104" s="9"/>
      <c r="Y104" s="9"/>
      <c r="Z104" s="9"/>
      <c r="AA104" s="9"/>
      <c r="AB104" s="11"/>
      <c r="AD104" s="10"/>
      <c r="AE104" s="9"/>
      <c r="AF104" s="9"/>
      <c r="AG104" s="9"/>
      <c r="AH104" s="9"/>
      <c r="AI104" s="11"/>
    </row>
    <row r="105" spans="8:35" x14ac:dyDescent="0.3">
      <c r="H105" s="10"/>
      <c r="I105" s="9"/>
      <c r="J105" s="9"/>
      <c r="K105" s="9"/>
      <c r="L105" s="9"/>
      <c r="M105" s="9"/>
      <c r="N105" s="11"/>
      <c r="P105" s="10"/>
      <c r="Q105" s="9"/>
      <c r="R105" s="9"/>
      <c r="S105" s="9"/>
      <c r="T105" s="9"/>
      <c r="U105" s="11"/>
      <c r="W105" s="10"/>
      <c r="X105" s="9"/>
      <c r="Y105" s="9"/>
      <c r="Z105" s="9"/>
      <c r="AA105" s="9"/>
      <c r="AB105" s="11"/>
      <c r="AD105" s="10"/>
      <c r="AE105" s="9"/>
      <c r="AF105" s="9"/>
      <c r="AG105" s="9"/>
      <c r="AH105" s="9"/>
      <c r="AI105" s="11"/>
    </row>
    <row r="106" spans="8:35" x14ac:dyDescent="0.3">
      <c r="H106" s="12"/>
      <c r="I106" s="13"/>
      <c r="J106" s="13"/>
      <c r="K106" s="13"/>
      <c r="L106" s="13"/>
      <c r="M106" s="13"/>
      <c r="N106" s="14"/>
      <c r="P106" s="10"/>
      <c r="Q106" s="9"/>
      <c r="R106" s="9"/>
      <c r="S106" s="9"/>
      <c r="T106" s="9"/>
      <c r="U106" s="11"/>
      <c r="W106" s="10"/>
      <c r="X106" s="9"/>
      <c r="Y106" s="9"/>
      <c r="Z106" s="9"/>
      <c r="AA106" s="9"/>
      <c r="AB106" s="11"/>
      <c r="AD106" s="10"/>
      <c r="AE106" s="9"/>
      <c r="AF106" s="9"/>
      <c r="AG106" s="9"/>
      <c r="AH106" s="9"/>
      <c r="AI106" s="11"/>
    </row>
    <row r="107" spans="8:35" x14ac:dyDescent="0.3">
      <c r="P107" s="10"/>
      <c r="Q107" s="9"/>
      <c r="R107" s="9"/>
      <c r="S107" s="9"/>
      <c r="T107" s="9"/>
      <c r="U107" s="11"/>
      <c r="W107" s="10"/>
      <c r="X107" s="9"/>
      <c r="Y107" s="9"/>
      <c r="Z107" s="9"/>
      <c r="AA107" s="9"/>
      <c r="AB107" s="11"/>
      <c r="AD107" s="10"/>
      <c r="AE107" s="9"/>
      <c r="AF107" s="9"/>
      <c r="AG107" s="9"/>
      <c r="AH107" s="9"/>
      <c r="AI107" s="11"/>
    </row>
    <row r="108" spans="8:35" x14ac:dyDescent="0.3">
      <c r="P108" s="10"/>
      <c r="Q108" s="9"/>
      <c r="R108" s="9"/>
      <c r="S108" s="9"/>
      <c r="T108" s="9"/>
      <c r="U108" s="11"/>
      <c r="W108" s="10"/>
      <c r="X108" s="9"/>
      <c r="Y108" s="9"/>
      <c r="Z108" s="9"/>
      <c r="AA108" s="9"/>
      <c r="AB108" s="11"/>
      <c r="AD108" s="10"/>
      <c r="AE108" s="9"/>
      <c r="AF108" s="9"/>
      <c r="AG108" s="9"/>
      <c r="AH108" s="9"/>
      <c r="AI108" s="11"/>
    </row>
    <row r="109" spans="8:35" x14ac:dyDescent="0.3">
      <c r="P109" s="10"/>
      <c r="Q109" s="9"/>
      <c r="R109" s="9"/>
      <c r="S109" s="9"/>
      <c r="T109" s="9"/>
      <c r="U109" s="11"/>
      <c r="W109" s="10"/>
      <c r="X109" s="9"/>
      <c r="Y109" s="9"/>
      <c r="Z109" s="9"/>
      <c r="AA109" s="9"/>
      <c r="AB109" s="11"/>
      <c r="AD109" s="10"/>
      <c r="AE109" s="9"/>
      <c r="AF109" s="9"/>
      <c r="AG109" s="9"/>
      <c r="AH109" s="9"/>
      <c r="AI109" s="11"/>
    </row>
    <row r="110" spans="8:35" x14ac:dyDescent="0.3">
      <c r="P110" s="10"/>
      <c r="Q110" s="9"/>
      <c r="R110" s="9"/>
      <c r="S110" s="9"/>
      <c r="T110" s="9"/>
      <c r="U110" s="11"/>
      <c r="W110" s="10"/>
      <c r="X110" s="9"/>
      <c r="Y110" s="9"/>
      <c r="Z110" s="9"/>
      <c r="AA110" s="9"/>
      <c r="AB110" s="11"/>
      <c r="AD110" s="10"/>
      <c r="AE110" s="9"/>
      <c r="AF110" s="9"/>
      <c r="AG110" s="9"/>
      <c r="AH110" s="9"/>
      <c r="AI110" s="11"/>
    </row>
    <row r="111" spans="8:35" x14ac:dyDescent="0.3">
      <c r="P111" s="10"/>
      <c r="Q111" s="9"/>
      <c r="R111" s="9"/>
      <c r="S111" s="9"/>
      <c r="T111" s="9"/>
      <c r="U111" s="11"/>
      <c r="W111" s="10"/>
      <c r="X111" s="9"/>
      <c r="Y111" s="9"/>
      <c r="Z111" s="9"/>
      <c r="AA111" s="9"/>
      <c r="AB111" s="11"/>
      <c r="AD111" s="10"/>
      <c r="AE111" s="9"/>
      <c r="AF111" s="9"/>
      <c r="AG111" s="9"/>
      <c r="AH111" s="9"/>
      <c r="AI111" s="11"/>
    </row>
    <row r="112" spans="8:35" x14ac:dyDescent="0.3">
      <c r="P112" s="10"/>
      <c r="Q112" s="9"/>
      <c r="R112" s="9"/>
      <c r="S112" s="9"/>
      <c r="T112" s="9"/>
      <c r="U112" s="11"/>
      <c r="W112" s="10"/>
      <c r="X112" s="9"/>
      <c r="Y112" s="9"/>
      <c r="Z112" s="9"/>
      <c r="AA112" s="9"/>
      <c r="AB112" s="11"/>
      <c r="AD112" s="10"/>
      <c r="AE112" s="9"/>
      <c r="AF112" s="9"/>
      <c r="AG112" s="9"/>
      <c r="AH112" s="9"/>
      <c r="AI112" s="11"/>
    </row>
    <row r="113" spans="16:35" x14ac:dyDescent="0.3">
      <c r="P113" s="10"/>
      <c r="Q113" s="9"/>
      <c r="R113" s="9"/>
      <c r="S113" s="9"/>
      <c r="T113" s="9"/>
      <c r="U113" s="11"/>
      <c r="W113" s="10"/>
      <c r="X113" s="9"/>
      <c r="Y113" s="9"/>
      <c r="Z113" s="9"/>
      <c r="AA113" s="9"/>
      <c r="AB113" s="11"/>
      <c r="AD113" s="10"/>
      <c r="AE113" s="9"/>
      <c r="AF113" s="9"/>
      <c r="AG113" s="9"/>
      <c r="AH113" s="9"/>
      <c r="AI113" s="11"/>
    </row>
    <row r="114" spans="16:35" x14ac:dyDescent="0.3">
      <c r="P114" s="10"/>
      <c r="Q114" s="9"/>
      <c r="R114" s="9"/>
      <c r="S114" s="9"/>
      <c r="T114" s="9"/>
      <c r="U114" s="11"/>
      <c r="W114" s="10"/>
      <c r="X114" s="9"/>
      <c r="Y114" s="9"/>
      <c r="Z114" s="9"/>
      <c r="AA114" s="9"/>
      <c r="AB114" s="11"/>
      <c r="AD114" s="10"/>
      <c r="AE114" s="9"/>
      <c r="AF114" s="9"/>
      <c r="AG114" s="9"/>
      <c r="AH114" s="9"/>
      <c r="AI114" s="11"/>
    </row>
    <row r="115" spans="16:35" x14ac:dyDescent="0.3">
      <c r="P115" s="12"/>
      <c r="Q115" s="13"/>
      <c r="R115" s="13"/>
      <c r="S115" s="13"/>
      <c r="T115" s="13"/>
      <c r="U115" s="14"/>
      <c r="W115" s="10"/>
      <c r="X115" s="9"/>
      <c r="Y115" s="9"/>
      <c r="Z115" s="9"/>
      <c r="AA115" s="9"/>
      <c r="AB115" s="11"/>
      <c r="AD115" s="10"/>
      <c r="AE115" s="9"/>
      <c r="AF115" s="9"/>
      <c r="AG115" s="9"/>
      <c r="AH115" s="9"/>
      <c r="AI115" s="11"/>
    </row>
    <row r="116" spans="16:35" x14ac:dyDescent="0.3">
      <c r="W116" s="10"/>
      <c r="X116" s="9"/>
      <c r="Y116" s="9"/>
      <c r="Z116" s="9"/>
      <c r="AA116" s="9"/>
      <c r="AB116" s="11"/>
      <c r="AD116" s="10"/>
      <c r="AE116" s="9"/>
      <c r="AF116" s="9"/>
      <c r="AG116" s="9"/>
      <c r="AH116" s="9"/>
      <c r="AI116" s="11"/>
    </row>
    <row r="117" spans="16:35" x14ac:dyDescent="0.3">
      <c r="W117" s="10"/>
      <c r="X117" s="9"/>
      <c r="Y117" s="9"/>
      <c r="Z117" s="9"/>
      <c r="AA117" s="9"/>
      <c r="AB117" s="11"/>
      <c r="AD117" s="10"/>
      <c r="AE117" s="9"/>
      <c r="AF117" s="9"/>
      <c r="AG117" s="9"/>
      <c r="AH117" s="9"/>
      <c r="AI117" s="11"/>
    </row>
    <row r="118" spans="16:35" x14ac:dyDescent="0.3">
      <c r="W118" s="10"/>
      <c r="X118" s="9"/>
      <c r="Y118" s="9"/>
      <c r="Z118" s="9"/>
      <c r="AA118" s="9"/>
      <c r="AB118" s="11"/>
      <c r="AD118" s="10"/>
      <c r="AE118" s="9"/>
      <c r="AF118" s="9"/>
      <c r="AG118" s="9"/>
      <c r="AH118" s="9"/>
      <c r="AI118" s="11"/>
    </row>
    <row r="119" spans="16:35" x14ac:dyDescent="0.3">
      <c r="W119" s="12"/>
      <c r="X119" s="13"/>
      <c r="Y119" s="13"/>
      <c r="Z119" s="13"/>
      <c r="AA119" s="13"/>
      <c r="AB119" s="14"/>
      <c r="AD119" s="12"/>
      <c r="AE119" s="13"/>
      <c r="AF119" s="13"/>
      <c r="AG119" s="13"/>
      <c r="AH119" s="13"/>
      <c r="AI119" s="14"/>
    </row>
  </sheetData>
  <mergeCells count="3">
    <mergeCell ref="A1:D1"/>
    <mergeCell ref="I1:K1"/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V3543" zoomScaleNormal="100" workbookViewId="0">
      <selection activeCell="AI16" sqref="AI16"/>
    </sheetView>
  </sheetViews>
  <sheetFormatPr defaultRowHeight="14.4" x14ac:dyDescent="0.3"/>
  <sheetData>
    <row r="1" spans="1:36" x14ac:dyDescent="0.3">
      <c r="A1" t="s">
        <v>247</v>
      </c>
      <c r="B1" t="s">
        <v>4</v>
      </c>
      <c r="C1" t="s">
        <v>10</v>
      </c>
      <c r="D1" t="s">
        <v>248</v>
      </c>
      <c r="E1" t="s">
        <v>249</v>
      </c>
      <c r="F1" t="s">
        <v>250</v>
      </c>
    </row>
    <row r="2" spans="1:36" x14ac:dyDescent="0.3">
      <c r="A2">
        <v>1</v>
      </c>
      <c r="E2" t="s">
        <v>44</v>
      </c>
      <c r="F2" t="s">
        <v>80</v>
      </c>
    </row>
    <row r="3" spans="1:36" x14ac:dyDescent="0.3">
      <c r="A3">
        <v>2</v>
      </c>
      <c r="B3" t="s">
        <v>55</v>
      </c>
      <c r="C3" t="s">
        <v>44</v>
      </c>
      <c r="D3" t="s">
        <v>57</v>
      </c>
      <c r="E3" t="s">
        <v>155</v>
      </c>
      <c r="F3" t="s">
        <v>80</v>
      </c>
    </row>
    <row r="4" spans="1:36" x14ac:dyDescent="0.3">
      <c r="A4">
        <v>3</v>
      </c>
      <c r="B4" t="s">
        <v>55</v>
      </c>
      <c r="C4" t="s">
        <v>70</v>
      </c>
      <c r="D4" t="s">
        <v>57</v>
      </c>
      <c r="E4" t="s">
        <v>155</v>
      </c>
      <c r="F4" t="s">
        <v>97</v>
      </c>
      <c r="N4" s="125">
        <v>1</v>
      </c>
      <c r="O4" s="125">
        <v>52</v>
      </c>
      <c r="P4" s="24" t="s">
        <v>24</v>
      </c>
      <c r="Q4" s="125">
        <v>125</v>
      </c>
      <c r="R4" s="125">
        <v>90</v>
      </c>
      <c r="S4" s="125">
        <v>78</v>
      </c>
      <c r="T4" s="125">
        <v>1.63</v>
      </c>
      <c r="U4" s="125">
        <v>62.7</v>
      </c>
      <c r="V4" s="4">
        <f>U4/(T4*T4)</f>
        <v>23.598931085099178</v>
      </c>
      <c r="W4" s="120" t="s">
        <v>25</v>
      </c>
      <c r="X4" s="125" t="s">
        <v>26</v>
      </c>
      <c r="Y4" s="125" t="s">
        <v>27</v>
      </c>
      <c r="Z4" s="125" t="s">
        <v>28</v>
      </c>
      <c r="AA4" s="125" t="s">
        <v>25</v>
      </c>
      <c r="AB4" s="125" t="s">
        <v>29</v>
      </c>
      <c r="AC4" s="125" t="s">
        <v>30</v>
      </c>
    </row>
    <row r="5" spans="1:36" x14ac:dyDescent="0.3">
      <c r="A5">
        <v>4</v>
      </c>
      <c r="B5" t="s">
        <v>116</v>
      </c>
      <c r="D5" t="s">
        <v>103</v>
      </c>
      <c r="E5" t="s">
        <v>155</v>
      </c>
      <c r="F5" t="s">
        <v>97</v>
      </c>
      <c r="N5" s="169" t="s">
        <v>3</v>
      </c>
      <c r="O5" s="169" t="s">
        <v>4</v>
      </c>
      <c r="P5" s="169" t="s">
        <v>5</v>
      </c>
      <c r="Q5" s="177" t="s">
        <v>6</v>
      </c>
      <c r="R5" s="178"/>
      <c r="S5" s="170" t="s">
        <v>7</v>
      </c>
      <c r="T5" s="169" t="s">
        <v>8</v>
      </c>
      <c r="U5" s="169" t="s">
        <v>9</v>
      </c>
      <c r="V5" s="125" t="s">
        <v>10</v>
      </c>
      <c r="W5" s="169" t="s">
        <v>11</v>
      </c>
      <c r="X5" s="170" t="s">
        <v>12</v>
      </c>
      <c r="Y5" s="169" t="s">
        <v>13</v>
      </c>
      <c r="Z5" s="169" t="s">
        <v>14</v>
      </c>
      <c r="AA5" s="169" t="s">
        <v>15</v>
      </c>
      <c r="AB5" s="175" t="s">
        <v>16</v>
      </c>
      <c r="AC5" s="175" t="s">
        <v>17</v>
      </c>
    </row>
    <row r="6" spans="1:36" x14ac:dyDescent="0.3">
      <c r="A6">
        <v>5</v>
      </c>
      <c r="C6" t="s">
        <v>44</v>
      </c>
      <c r="E6" t="s">
        <v>155</v>
      </c>
      <c r="F6" t="s">
        <v>80</v>
      </c>
      <c r="N6" s="169"/>
      <c r="O6" s="169"/>
      <c r="P6" s="169"/>
      <c r="Q6" s="179"/>
      <c r="R6" s="180"/>
      <c r="S6" s="171"/>
      <c r="T6" s="169"/>
      <c r="U6" s="169"/>
      <c r="V6" s="3" t="s">
        <v>21</v>
      </c>
      <c r="W6" s="169"/>
      <c r="X6" s="171"/>
      <c r="Y6" s="169"/>
      <c r="Z6" s="169"/>
      <c r="AA6" s="169"/>
      <c r="AB6" s="175"/>
      <c r="AC6" s="175"/>
    </row>
    <row r="7" spans="1:36" x14ac:dyDescent="0.3">
      <c r="A7">
        <v>6</v>
      </c>
      <c r="B7" t="s">
        <v>55</v>
      </c>
      <c r="C7" t="s">
        <v>70</v>
      </c>
      <c r="D7" t="s">
        <v>58</v>
      </c>
      <c r="E7" t="s">
        <v>155</v>
      </c>
      <c r="F7" t="s">
        <v>30</v>
      </c>
      <c r="N7">
        <v>1</v>
      </c>
      <c r="Q7" s="119" t="s">
        <v>44</v>
      </c>
      <c r="R7" s="119"/>
      <c r="S7" s="119"/>
      <c r="V7" s="119"/>
      <c r="AC7" s="119" t="s">
        <v>80</v>
      </c>
    </row>
    <row r="8" spans="1:36" x14ac:dyDescent="0.3">
      <c r="A8">
        <v>7</v>
      </c>
      <c r="B8" t="s">
        <v>43</v>
      </c>
      <c r="C8" t="s">
        <v>70</v>
      </c>
      <c r="D8" t="s">
        <v>58</v>
      </c>
      <c r="E8" t="s">
        <v>155</v>
      </c>
      <c r="F8" t="s">
        <v>30</v>
      </c>
      <c r="N8">
        <v>2</v>
      </c>
      <c r="O8" t="s">
        <v>55</v>
      </c>
      <c r="Q8" s="119" t="s">
        <v>155</v>
      </c>
      <c r="R8" s="119"/>
      <c r="S8" s="119" t="s">
        <v>57</v>
      </c>
      <c r="V8" s="119" t="s">
        <v>44</v>
      </c>
      <c r="AC8" s="119" t="s">
        <v>80</v>
      </c>
    </row>
    <row r="9" spans="1:36" x14ac:dyDescent="0.3">
      <c r="A9">
        <v>8</v>
      </c>
      <c r="E9" t="s">
        <v>61</v>
      </c>
      <c r="F9" t="s">
        <v>35</v>
      </c>
      <c r="N9" s="119">
        <v>3</v>
      </c>
      <c r="O9" t="s">
        <v>55</v>
      </c>
      <c r="Q9" s="119" t="s">
        <v>155</v>
      </c>
      <c r="R9" s="119"/>
      <c r="S9" s="119" t="s">
        <v>57</v>
      </c>
      <c r="V9" s="119" t="s">
        <v>70</v>
      </c>
      <c r="AC9" s="119" t="s">
        <v>97</v>
      </c>
    </row>
    <row r="10" spans="1:36" x14ac:dyDescent="0.3">
      <c r="B10">
        <v>52</v>
      </c>
      <c r="C10" s="4">
        <v>23.6</v>
      </c>
      <c r="D10">
        <v>78</v>
      </c>
      <c r="E10">
        <v>215</v>
      </c>
      <c r="F10" t="s">
        <v>251</v>
      </c>
      <c r="H10" t="s">
        <v>252</v>
      </c>
      <c r="N10" s="119">
        <v>4</v>
      </c>
      <c r="O10" t="s">
        <v>43</v>
      </c>
      <c r="Q10" s="119" t="s">
        <v>155</v>
      </c>
      <c r="R10" s="119"/>
      <c r="S10" s="119" t="s">
        <v>103</v>
      </c>
      <c r="V10" s="119"/>
      <c r="AC10" s="119" t="s">
        <v>97</v>
      </c>
    </row>
    <row r="11" spans="1:36" x14ac:dyDescent="0.3">
      <c r="A11">
        <v>1</v>
      </c>
      <c r="B11">
        <v>0</v>
      </c>
      <c r="C11">
        <v>0</v>
      </c>
      <c r="D11">
        <v>0</v>
      </c>
      <c r="E11">
        <v>0</v>
      </c>
      <c r="F11">
        <f>MIN(B11:E11)</f>
        <v>0</v>
      </c>
      <c r="G11">
        <f>25-(3*F11)</f>
        <v>25</v>
      </c>
      <c r="H11">
        <f>(F11*G11)</f>
        <v>0</v>
      </c>
      <c r="N11" s="119">
        <v>5</v>
      </c>
      <c r="Q11" s="119" t="s">
        <v>155</v>
      </c>
      <c r="R11" s="119"/>
      <c r="S11" s="119"/>
      <c r="V11" s="119" t="s">
        <v>44</v>
      </c>
      <c r="AC11" s="119" t="s">
        <v>80</v>
      </c>
    </row>
    <row r="12" spans="1:36" x14ac:dyDescent="0.3">
      <c r="A12">
        <v>2</v>
      </c>
      <c r="B12">
        <v>0.12</v>
      </c>
      <c r="C12">
        <v>0</v>
      </c>
      <c r="D12">
        <v>0.1333</v>
      </c>
      <c r="E12">
        <v>0.875</v>
      </c>
      <c r="F12" s="119">
        <f t="shared" ref="F12:F18" si="0">MIN(B12:E12)</f>
        <v>0</v>
      </c>
      <c r="G12" s="119">
        <f>25-(3*F12)</f>
        <v>25</v>
      </c>
      <c r="H12" s="119">
        <f t="shared" ref="H12:H18" si="1">(F12*G12)</f>
        <v>0</v>
      </c>
      <c r="N12" s="119">
        <v>6</v>
      </c>
      <c r="O12" t="s">
        <v>55</v>
      </c>
      <c r="Q12" s="119" t="s">
        <v>155</v>
      </c>
      <c r="R12" s="119"/>
      <c r="S12" s="119" t="s">
        <v>58</v>
      </c>
      <c r="V12" s="119" t="s">
        <v>70</v>
      </c>
      <c r="AC12" s="119" t="s">
        <v>30</v>
      </c>
    </row>
    <row r="13" spans="1:36" x14ac:dyDescent="0.3">
      <c r="A13">
        <v>3</v>
      </c>
      <c r="B13">
        <v>0.12</v>
      </c>
      <c r="C13">
        <v>1</v>
      </c>
      <c r="D13">
        <v>0.1333</v>
      </c>
      <c r="E13" s="119">
        <v>0.875</v>
      </c>
      <c r="F13" s="119">
        <f t="shared" si="0"/>
        <v>0.12</v>
      </c>
      <c r="G13" s="119">
        <f>55-(3*F13)</f>
        <v>54.64</v>
      </c>
      <c r="H13" s="119">
        <f t="shared" si="1"/>
        <v>6.5568</v>
      </c>
      <c r="N13" s="119">
        <v>7</v>
      </c>
      <c r="O13" t="s">
        <v>43</v>
      </c>
      <c r="Q13" s="119" t="s">
        <v>155</v>
      </c>
      <c r="R13" s="119"/>
      <c r="S13" s="119" t="s">
        <v>58</v>
      </c>
      <c r="V13" s="119" t="s">
        <v>70</v>
      </c>
      <c r="AC13" s="119" t="s">
        <v>30</v>
      </c>
    </row>
    <row r="14" spans="1:36" x14ac:dyDescent="0.3">
      <c r="A14">
        <v>4</v>
      </c>
      <c r="B14">
        <v>0.88</v>
      </c>
      <c r="C14">
        <v>0</v>
      </c>
      <c r="D14">
        <v>0.1333</v>
      </c>
      <c r="E14" s="119">
        <v>0.875</v>
      </c>
      <c r="F14" s="119">
        <f t="shared" si="0"/>
        <v>0</v>
      </c>
      <c r="G14" s="119">
        <f>55-(3*F14)</f>
        <v>55</v>
      </c>
      <c r="H14" s="119">
        <f t="shared" si="1"/>
        <v>0</v>
      </c>
      <c r="N14" s="119">
        <v>8</v>
      </c>
      <c r="Q14" s="119" t="s">
        <v>61</v>
      </c>
      <c r="R14" s="119"/>
      <c r="S14" s="119"/>
      <c r="V14" s="119"/>
      <c r="AC14" s="119" t="s">
        <v>35</v>
      </c>
    </row>
    <row r="15" spans="1:36" x14ac:dyDescent="0.3">
      <c r="A15">
        <v>5</v>
      </c>
      <c r="B15">
        <v>0</v>
      </c>
      <c r="D15">
        <v>0</v>
      </c>
      <c r="E15" s="119">
        <v>0.875</v>
      </c>
      <c r="F15" s="119">
        <f t="shared" si="0"/>
        <v>0</v>
      </c>
      <c r="G15" s="119">
        <f>25-(3*F15)</f>
        <v>25</v>
      </c>
      <c r="H15" s="119">
        <f t="shared" si="1"/>
        <v>0</v>
      </c>
      <c r="AD15" t="s">
        <v>53</v>
      </c>
      <c r="AF15" t="s">
        <v>252</v>
      </c>
      <c r="AI15" s="119" t="s">
        <v>253</v>
      </c>
      <c r="AJ15" t="s">
        <v>252</v>
      </c>
    </row>
    <row r="16" spans="1:36" x14ac:dyDescent="0.3">
      <c r="A16">
        <v>6</v>
      </c>
      <c r="B16">
        <v>0.12</v>
      </c>
      <c r="C16">
        <v>0</v>
      </c>
      <c r="D16">
        <v>0.86667000000000005</v>
      </c>
      <c r="E16" s="119">
        <v>0.875</v>
      </c>
      <c r="F16" s="119">
        <f t="shared" si="0"/>
        <v>0</v>
      </c>
      <c r="G16" s="119">
        <f>55-(3*F16)</f>
        <v>55</v>
      </c>
      <c r="H16" s="119">
        <f t="shared" si="1"/>
        <v>0</v>
      </c>
      <c r="N16">
        <v>1</v>
      </c>
      <c r="O16" t="s">
        <v>221</v>
      </c>
      <c r="Q16">
        <v>0</v>
      </c>
      <c r="S16" t="s">
        <v>221</v>
      </c>
      <c r="V16" s="119" t="s">
        <v>221</v>
      </c>
      <c r="W16" s="119"/>
      <c r="AD16">
        <f>MIN(O16:AB16)</f>
        <v>0</v>
      </c>
      <c r="AE16" s="119">
        <f>25-(3*AD16)</f>
        <v>25</v>
      </c>
      <c r="AF16">
        <f>(AE16*AD16)</f>
        <v>0</v>
      </c>
      <c r="AI16" s="119">
        <f>35-(10*AD16)</f>
        <v>35</v>
      </c>
      <c r="AJ16">
        <f>AD16*AI16</f>
        <v>0</v>
      </c>
    </row>
    <row r="17" spans="1:36" x14ac:dyDescent="0.3">
      <c r="A17">
        <v>7</v>
      </c>
      <c r="B17">
        <v>0.88</v>
      </c>
      <c r="C17">
        <v>1</v>
      </c>
      <c r="D17">
        <v>0.86667000000000005</v>
      </c>
      <c r="E17" s="119">
        <v>0.875</v>
      </c>
      <c r="F17" s="119">
        <f t="shared" si="0"/>
        <v>0.86667000000000005</v>
      </c>
      <c r="G17" s="119">
        <f>55-(3*F17)</f>
        <v>52.399990000000003</v>
      </c>
      <c r="H17" s="119">
        <f t="shared" si="1"/>
        <v>45.413499333300003</v>
      </c>
      <c r="N17">
        <v>2</v>
      </c>
      <c r="O17" s="119">
        <f t="shared" ref="O17:O22" si="2">IF(O8="Muda",0.12,IF(O8="Tua",0.88,0))</f>
        <v>0.12</v>
      </c>
      <c r="P17" s="119"/>
      <c r="Q17" s="119">
        <f t="shared" ref="Q17:Q23" si="3">IF(Q8="Pra H",0.875,IF(Q8="Normal",0,0.125))</f>
        <v>0.875</v>
      </c>
      <c r="S17" s="119">
        <f>IF(S8="Kecil",0.1333,IF(S8="Besar",0.8667,0))</f>
        <v>0.1333</v>
      </c>
      <c r="V17" s="119">
        <f t="shared" ref="V17:V22" si="4">IF(V9="Normal",0,IF(V9="OW",1,0))</f>
        <v>1</v>
      </c>
      <c r="AD17" s="119">
        <f t="shared" ref="AD17:AD23" si="5">MIN(O17:AB17)</f>
        <v>0.12</v>
      </c>
      <c r="AE17" s="119">
        <f>25-(3*AD17)</f>
        <v>24.64</v>
      </c>
      <c r="AF17" s="119">
        <f t="shared" ref="AF17:AF23" si="6">(AE17*AD17)</f>
        <v>2.9567999999999999</v>
      </c>
      <c r="AI17" s="119">
        <f>35-(10*AD17)</f>
        <v>33.799999999999997</v>
      </c>
      <c r="AJ17" s="119">
        <f t="shared" ref="AJ17:AJ23" si="7">AD17*AI17</f>
        <v>4.0559999999999992</v>
      </c>
    </row>
    <row r="18" spans="1:36" x14ac:dyDescent="0.3">
      <c r="A18">
        <v>8</v>
      </c>
      <c r="B18">
        <v>0</v>
      </c>
      <c r="C18">
        <v>1</v>
      </c>
      <c r="D18">
        <v>0</v>
      </c>
      <c r="E18">
        <v>0.125</v>
      </c>
      <c r="F18" s="119">
        <f t="shared" si="0"/>
        <v>0</v>
      </c>
      <c r="G18" s="119">
        <f>60-(3*F18)</f>
        <v>60</v>
      </c>
      <c r="H18" s="119">
        <f t="shared" si="1"/>
        <v>0</v>
      </c>
      <c r="N18" s="119">
        <v>3</v>
      </c>
      <c r="O18" s="119">
        <f t="shared" si="2"/>
        <v>0.12</v>
      </c>
      <c r="P18" s="119"/>
      <c r="Q18" s="119">
        <f t="shared" si="3"/>
        <v>0.875</v>
      </c>
      <c r="S18" s="119">
        <f>IF(S9="Kecil",0.1333,IF(S9="Besar",0.8667,0))</f>
        <v>0.1333</v>
      </c>
      <c r="V18" s="119">
        <f t="shared" si="4"/>
        <v>0</v>
      </c>
      <c r="AD18" s="119">
        <f t="shared" si="5"/>
        <v>0</v>
      </c>
      <c r="AE18" s="119">
        <f>55-(3*AD18)</f>
        <v>55</v>
      </c>
      <c r="AF18" s="119">
        <f t="shared" si="6"/>
        <v>0</v>
      </c>
      <c r="AI18" s="119">
        <f>35+(20*AD18)</f>
        <v>35</v>
      </c>
      <c r="AJ18" s="119">
        <f t="shared" si="7"/>
        <v>0</v>
      </c>
    </row>
    <row r="19" spans="1:36" x14ac:dyDescent="0.3">
      <c r="F19">
        <f>SUM(F11:F18)</f>
        <v>0.98667000000000005</v>
      </c>
      <c r="H19">
        <f>SUM(H11:H18)</f>
        <v>51.970299333300005</v>
      </c>
      <c r="N19" s="119">
        <v>4</v>
      </c>
      <c r="O19" s="119">
        <f t="shared" si="2"/>
        <v>0.88</v>
      </c>
      <c r="P19" s="119"/>
      <c r="Q19" s="119">
        <f t="shared" si="3"/>
        <v>0.875</v>
      </c>
      <c r="S19" s="119">
        <f>IF(S10="Kecil",0.1333,IF(S10="Besar",0.8667,0))</f>
        <v>0.1333</v>
      </c>
      <c r="V19" s="119" t="s">
        <v>221</v>
      </c>
      <c r="AD19" s="119">
        <f t="shared" si="5"/>
        <v>0.1333</v>
      </c>
      <c r="AE19" s="119">
        <f>55-(3*AD19)</f>
        <v>54.600099999999998</v>
      </c>
      <c r="AF19" s="119">
        <f t="shared" si="6"/>
        <v>7.2781933299999997</v>
      </c>
      <c r="AI19" s="119">
        <f>35+(20*AD19)</f>
        <v>37.665999999999997</v>
      </c>
      <c r="AJ19" s="119">
        <f t="shared" si="7"/>
        <v>5.0208778000000001</v>
      </c>
    </row>
    <row r="20" spans="1:36" x14ac:dyDescent="0.3">
      <c r="B20">
        <v>66</v>
      </c>
      <c r="C20">
        <v>27.17</v>
      </c>
      <c r="D20">
        <v>98</v>
      </c>
      <c r="E20">
        <v>308</v>
      </c>
      <c r="H20">
        <f>(H19/F19)</f>
        <v>52.672422728267811</v>
      </c>
      <c r="N20" s="119">
        <v>5</v>
      </c>
      <c r="O20" s="119" t="s">
        <v>221</v>
      </c>
      <c r="P20" s="119"/>
      <c r="Q20" s="119">
        <f t="shared" si="3"/>
        <v>0.875</v>
      </c>
      <c r="S20" s="119" t="s">
        <v>221</v>
      </c>
      <c r="V20" s="119">
        <f t="shared" si="4"/>
        <v>1</v>
      </c>
      <c r="AD20" s="119">
        <f t="shared" si="5"/>
        <v>0.875</v>
      </c>
      <c r="AE20" s="119">
        <f>25-(3*AD20)</f>
        <v>22.375</v>
      </c>
      <c r="AF20" s="119">
        <f t="shared" si="6"/>
        <v>19.578125</v>
      </c>
      <c r="AI20" s="119">
        <f>35-(10*AD20)</f>
        <v>26.25</v>
      </c>
      <c r="AJ20" s="119">
        <f t="shared" si="7"/>
        <v>22.96875</v>
      </c>
    </row>
    <row r="21" spans="1:36" x14ac:dyDescent="0.3">
      <c r="A21">
        <v>1</v>
      </c>
      <c r="B21">
        <v>0</v>
      </c>
      <c r="C21">
        <v>0</v>
      </c>
      <c r="D21">
        <v>0</v>
      </c>
      <c r="E21">
        <v>0</v>
      </c>
      <c r="F21">
        <f>MIN(B21:E21)</f>
        <v>0</v>
      </c>
      <c r="G21" s="119">
        <f>25-(3*F21)</f>
        <v>25</v>
      </c>
      <c r="H21" s="119">
        <f>(F21*G21)</f>
        <v>0</v>
      </c>
      <c r="N21" s="119">
        <v>6</v>
      </c>
      <c r="O21" s="119">
        <f t="shared" si="2"/>
        <v>0.12</v>
      </c>
      <c r="P21" s="119"/>
      <c r="Q21" s="119">
        <f t="shared" si="3"/>
        <v>0.875</v>
      </c>
      <c r="S21" s="119">
        <f>IF(S12="Kecil",0.1333,IF(S12="Besar",0.8667,0))</f>
        <v>0.86670000000000003</v>
      </c>
      <c r="V21" s="119">
        <f t="shared" si="4"/>
        <v>1</v>
      </c>
      <c r="AD21" s="119">
        <f t="shared" si="5"/>
        <v>0.12</v>
      </c>
      <c r="AE21" s="119">
        <f>55-(3*AD21)</f>
        <v>54.64</v>
      </c>
      <c r="AF21" s="119">
        <f t="shared" si="6"/>
        <v>6.5568</v>
      </c>
      <c r="AI21" s="119">
        <f>35+(20*AD21)</f>
        <v>37.4</v>
      </c>
      <c r="AJ21" s="119">
        <f t="shared" si="7"/>
        <v>4.4879999999999995</v>
      </c>
    </row>
    <row r="22" spans="1:36" x14ac:dyDescent="0.3">
      <c r="A22">
        <v>2</v>
      </c>
      <c r="B22">
        <v>0</v>
      </c>
      <c r="C22">
        <v>0</v>
      </c>
      <c r="D22">
        <v>0</v>
      </c>
      <c r="E22">
        <v>0</v>
      </c>
      <c r="F22" s="119">
        <f t="shared" ref="F22:F28" si="8">MIN(B22:E22)</f>
        <v>0</v>
      </c>
      <c r="G22" s="119">
        <f>25-(3*F22)</f>
        <v>25</v>
      </c>
      <c r="H22" s="119">
        <f t="shared" ref="H22:H28" si="9">(F22*G22)</f>
        <v>0</v>
      </c>
      <c r="N22" s="119">
        <v>7</v>
      </c>
      <c r="O22" s="119">
        <f t="shared" si="2"/>
        <v>0.88</v>
      </c>
      <c r="P22" s="119"/>
      <c r="Q22" s="119">
        <f t="shared" si="3"/>
        <v>0.875</v>
      </c>
      <c r="S22" s="119">
        <f>IF(S13="Kecil",0.1333,IF(S13="Besar",0.8667,0))</f>
        <v>0.86670000000000003</v>
      </c>
      <c r="V22" s="119">
        <f t="shared" si="4"/>
        <v>0</v>
      </c>
      <c r="AD22" s="119">
        <f t="shared" si="5"/>
        <v>0</v>
      </c>
      <c r="AE22" s="119">
        <f>55-(3*AD22)</f>
        <v>55</v>
      </c>
      <c r="AF22" s="119">
        <f t="shared" si="6"/>
        <v>0</v>
      </c>
      <c r="AI22" s="119">
        <f>35+(20*AD22)</f>
        <v>35</v>
      </c>
      <c r="AJ22" s="119">
        <f t="shared" si="7"/>
        <v>0</v>
      </c>
    </row>
    <row r="23" spans="1:36" x14ac:dyDescent="0.3">
      <c r="A23">
        <v>3</v>
      </c>
      <c r="B23">
        <v>0</v>
      </c>
      <c r="C23">
        <v>1</v>
      </c>
      <c r="D23">
        <v>0</v>
      </c>
      <c r="E23">
        <v>0</v>
      </c>
      <c r="F23" s="119">
        <f t="shared" si="8"/>
        <v>0</v>
      </c>
      <c r="G23" s="119">
        <f>55-(3*F23)</f>
        <v>55</v>
      </c>
      <c r="H23" s="119">
        <f t="shared" si="9"/>
        <v>0</v>
      </c>
      <c r="N23" s="119">
        <v>8</v>
      </c>
      <c r="O23" s="119" t="s">
        <v>221</v>
      </c>
      <c r="P23" s="119"/>
      <c r="Q23" s="119">
        <f t="shared" si="3"/>
        <v>0.125</v>
      </c>
      <c r="S23" s="119" t="s">
        <v>221</v>
      </c>
      <c r="V23" s="119" t="s">
        <v>221</v>
      </c>
      <c r="AD23" s="119">
        <f t="shared" si="5"/>
        <v>0.125</v>
      </c>
      <c r="AE23" s="119">
        <f>60-(3*AD23)</f>
        <v>59.625</v>
      </c>
      <c r="AF23" s="119">
        <f t="shared" si="6"/>
        <v>7.453125</v>
      </c>
      <c r="AI23" s="119">
        <f>55-(5*AD23)</f>
        <v>54.375</v>
      </c>
      <c r="AJ23" s="119">
        <f t="shared" si="7"/>
        <v>6.796875</v>
      </c>
    </row>
    <row r="24" spans="1:36" x14ac:dyDescent="0.3">
      <c r="A24" s="119">
        <v>4</v>
      </c>
      <c r="B24">
        <v>1</v>
      </c>
      <c r="C24">
        <v>0</v>
      </c>
      <c r="D24">
        <v>0</v>
      </c>
      <c r="E24">
        <v>0</v>
      </c>
      <c r="F24" s="119">
        <f t="shared" si="8"/>
        <v>0</v>
      </c>
      <c r="G24" s="119">
        <f>55-(3*F24)</f>
        <v>55</v>
      </c>
      <c r="H24" s="119">
        <f t="shared" si="9"/>
        <v>0</v>
      </c>
      <c r="AC24" t="s">
        <v>64</v>
      </c>
      <c r="AD24">
        <f>SUM(AD16:AD23)</f>
        <v>1.3733</v>
      </c>
      <c r="AF24">
        <f>SUM(AF16:AF23)</f>
        <v>43.823043330000004</v>
      </c>
      <c r="AI24" s="119"/>
      <c r="AJ24">
        <f>SUM(AJ16:AJ23)</f>
        <v>43.330502799999998</v>
      </c>
    </row>
    <row r="25" spans="1:36" x14ac:dyDescent="0.3">
      <c r="A25" s="119">
        <v>5</v>
      </c>
      <c r="B25">
        <v>0</v>
      </c>
      <c r="C25">
        <v>0</v>
      </c>
      <c r="D25">
        <v>0</v>
      </c>
      <c r="E25">
        <v>0</v>
      </c>
      <c r="F25" s="119">
        <f t="shared" si="8"/>
        <v>0</v>
      </c>
      <c r="G25" s="119">
        <f>25-(3*F25)</f>
        <v>25</v>
      </c>
      <c r="H25" s="119">
        <f t="shared" si="9"/>
        <v>0</v>
      </c>
      <c r="AF25">
        <f>(AF24/AD24)</f>
        <v>31.910757540231565</v>
      </c>
      <c r="AJ25">
        <f>(AJ24/AD24)</f>
        <v>31.552102818029564</v>
      </c>
    </row>
    <row r="26" spans="1:36" x14ac:dyDescent="0.3">
      <c r="A26" s="119">
        <v>6</v>
      </c>
      <c r="B26">
        <v>0</v>
      </c>
      <c r="C26">
        <v>1</v>
      </c>
      <c r="D26">
        <v>0</v>
      </c>
      <c r="E26">
        <v>0</v>
      </c>
      <c r="F26" s="119">
        <f t="shared" si="8"/>
        <v>0</v>
      </c>
      <c r="G26" s="119">
        <f>55-(3*F26)</f>
        <v>55</v>
      </c>
      <c r="H26" s="119">
        <f t="shared" si="9"/>
        <v>0</v>
      </c>
    </row>
    <row r="27" spans="1:36" x14ac:dyDescent="0.3">
      <c r="A27" s="119">
        <v>7</v>
      </c>
      <c r="B27">
        <v>1</v>
      </c>
      <c r="C27">
        <v>1</v>
      </c>
      <c r="D27">
        <v>1</v>
      </c>
      <c r="E27">
        <v>0</v>
      </c>
      <c r="F27" s="119">
        <f t="shared" si="8"/>
        <v>0</v>
      </c>
      <c r="G27" s="119">
        <f>55-(3*F27)</f>
        <v>55</v>
      </c>
      <c r="H27" s="119">
        <f t="shared" si="9"/>
        <v>0</v>
      </c>
    </row>
    <row r="28" spans="1:36" x14ac:dyDescent="0.3">
      <c r="A28" s="119">
        <v>8</v>
      </c>
      <c r="B28">
        <v>0</v>
      </c>
      <c r="C28">
        <v>0</v>
      </c>
      <c r="D28">
        <v>1</v>
      </c>
      <c r="E28">
        <v>1</v>
      </c>
      <c r="F28" s="119">
        <f t="shared" si="8"/>
        <v>0</v>
      </c>
      <c r="G28" s="119">
        <f>60-(3*F28)</f>
        <v>60</v>
      </c>
      <c r="H28" s="119">
        <f t="shared" si="9"/>
        <v>0</v>
      </c>
      <c r="N28" s="125">
        <v>2</v>
      </c>
      <c r="O28" s="125">
        <v>66</v>
      </c>
      <c r="P28" s="24" t="s">
        <v>24</v>
      </c>
      <c r="Q28" s="125">
        <v>194</v>
      </c>
      <c r="R28" s="125">
        <v>114</v>
      </c>
      <c r="S28" s="125">
        <v>98</v>
      </c>
      <c r="T28" s="125">
        <v>1.63</v>
      </c>
      <c r="U28" s="125">
        <v>72.2</v>
      </c>
      <c r="V28" s="4">
        <f>U28/(T28*T28)</f>
        <v>27.174526704053598</v>
      </c>
      <c r="W28" s="120" t="s">
        <v>31</v>
      </c>
      <c r="X28" s="125" t="s">
        <v>26</v>
      </c>
      <c r="Y28" s="125" t="s">
        <v>32</v>
      </c>
      <c r="Z28" s="125" t="s">
        <v>33</v>
      </c>
      <c r="AA28" s="125" t="s">
        <v>25</v>
      </c>
      <c r="AB28" s="125" t="s">
        <v>34</v>
      </c>
      <c r="AC28" s="125" t="s">
        <v>35</v>
      </c>
      <c r="AD28" s="119" t="s">
        <v>53</v>
      </c>
      <c r="AE28" s="119" t="s">
        <v>253</v>
      </c>
      <c r="AF28" s="119" t="s">
        <v>252</v>
      </c>
    </row>
    <row r="29" spans="1:36" x14ac:dyDescent="0.3">
      <c r="G29" s="119"/>
      <c r="H29" s="119">
        <f>SUM(H21:H28)</f>
        <v>0</v>
      </c>
      <c r="N29" s="119">
        <v>1</v>
      </c>
      <c r="O29" s="119" t="str">
        <f>IF(O7="Muda",0,IF(O7="Tua",1,"-"))</f>
        <v>-</v>
      </c>
      <c r="Q29" s="119">
        <f>IF(Q7="Pra H",0,IF(Q7="Normal",0,"-"))</f>
        <v>0</v>
      </c>
      <c r="R29" s="119"/>
      <c r="S29" s="119" t="str">
        <f>IF(S7="Kecil",0,IF(S7="Besar",1,"-"))</f>
        <v>-</v>
      </c>
      <c r="T29" s="119"/>
      <c r="U29" s="119"/>
      <c r="V29" s="119" t="str">
        <f>IF(V7="Normal",0,IF(V7="OW",1,"-"))</f>
        <v>-</v>
      </c>
      <c r="AC29" s="119" t="s">
        <v>80</v>
      </c>
      <c r="AD29" s="119">
        <f>MIN(O29:AB29)</f>
        <v>0</v>
      </c>
      <c r="AE29" s="119">
        <f>35-(10*AD29)</f>
        <v>35</v>
      </c>
      <c r="AF29" s="119">
        <f>AD29*AE29</f>
        <v>0</v>
      </c>
    </row>
    <row r="30" spans="1:36" x14ac:dyDescent="0.3">
      <c r="N30" s="119">
        <v>2</v>
      </c>
      <c r="O30" s="119">
        <f t="shared" ref="O30:O36" si="10">IF(O8="Muda",0,IF(O8="Tua",1,"-"))</f>
        <v>0</v>
      </c>
      <c r="Q30" s="119">
        <f t="shared" ref="Q30:Q36" si="11">IF(Q8="Pra H",0,IF(Q8="Normal",0,1))</f>
        <v>0</v>
      </c>
      <c r="R30" s="119"/>
      <c r="S30" s="119">
        <f t="shared" ref="S30:S36" si="12">IF(S8="Kecil",0,IF(S8="Besar",1,"-"))</f>
        <v>0</v>
      </c>
      <c r="T30" s="119"/>
      <c r="U30" s="119"/>
      <c r="V30" s="119">
        <f t="shared" ref="V30:V36" si="13">IF(V8="Normal",0,IF(V8="OW",1,"-"))</f>
        <v>0</v>
      </c>
      <c r="AC30" s="119" t="s">
        <v>80</v>
      </c>
      <c r="AD30" s="119">
        <f t="shared" ref="AD30:AD36" si="14">MIN(O30:AB30)</f>
        <v>0</v>
      </c>
      <c r="AE30" s="119">
        <f>35-(10*AD30)</f>
        <v>35</v>
      </c>
      <c r="AF30" s="119">
        <f t="shared" ref="AF30:AF36" si="15">AD30*AE30</f>
        <v>0</v>
      </c>
    </row>
    <row r="31" spans="1:36" x14ac:dyDescent="0.3">
      <c r="B31">
        <v>56</v>
      </c>
      <c r="C31">
        <v>26.84</v>
      </c>
      <c r="D31">
        <v>98</v>
      </c>
      <c r="E31">
        <v>209</v>
      </c>
      <c r="N31" s="119">
        <v>3</v>
      </c>
      <c r="O31" s="119">
        <f t="shared" si="10"/>
        <v>0</v>
      </c>
      <c r="Q31" s="119">
        <f t="shared" si="11"/>
        <v>0</v>
      </c>
      <c r="R31" s="119"/>
      <c r="S31" s="119">
        <f t="shared" si="12"/>
        <v>0</v>
      </c>
      <c r="T31" s="119"/>
      <c r="U31" s="119"/>
      <c r="V31" s="119">
        <f t="shared" si="13"/>
        <v>1</v>
      </c>
      <c r="AC31" s="119" t="s">
        <v>97</v>
      </c>
      <c r="AD31" s="119">
        <f t="shared" si="14"/>
        <v>0</v>
      </c>
      <c r="AE31" s="119">
        <f>35+(20*AD31)</f>
        <v>35</v>
      </c>
      <c r="AF31" s="119">
        <f t="shared" si="15"/>
        <v>0</v>
      </c>
    </row>
    <row r="32" spans="1:36" x14ac:dyDescent="0.3">
      <c r="A32" s="119">
        <v>1</v>
      </c>
      <c r="B32" s="119">
        <v>0</v>
      </c>
      <c r="C32" s="119">
        <v>0</v>
      </c>
      <c r="D32" s="119">
        <v>0</v>
      </c>
      <c r="E32" s="119">
        <v>0.05</v>
      </c>
      <c r="F32" s="119">
        <f>MIN(B32:E32)</f>
        <v>0</v>
      </c>
      <c r="G32" s="119">
        <f>25-(3*F32)</f>
        <v>25</v>
      </c>
      <c r="H32" s="119">
        <f>(F32*G32)</f>
        <v>0</v>
      </c>
      <c r="N32" s="119">
        <v>4</v>
      </c>
      <c r="O32" s="119">
        <f t="shared" si="10"/>
        <v>1</v>
      </c>
      <c r="Q32" s="119">
        <f t="shared" si="11"/>
        <v>0</v>
      </c>
      <c r="R32" s="119"/>
      <c r="S32" s="119">
        <f t="shared" si="12"/>
        <v>0</v>
      </c>
      <c r="T32" s="119"/>
      <c r="U32" s="119"/>
      <c r="V32" s="119" t="str">
        <f t="shared" si="13"/>
        <v>-</v>
      </c>
      <c r="AC32" s="119" t="s">
        <v>97</v>
      </c>
      <c r="AD32" s="119">
        <f t="shared" si="14"/>
        <v>0</v>
      </c>
      <c r="AE32" s="119">
        <f>35+(20*AD32)</f>
        <v>35</v>
      </c>
      <c r="AF32" s="119">
        <f t="shared" si="15"/>
        <v>0</v>
      </c>
    </row>
    <row r="33" spans="1:32" x14ac:dyDescent="0.3">
      <c r="A33" s="119">
        <v>2</v>
      </c>
      <c r="B33" s="119">
        <v>0</v>
      </c>
      <c r="C33" s="119">
        <v>0</v>
      </c>
      <c r="D33" s="119">
        <v>0</v>
      </c>
      <c r="E33" s="119">
        <v>0.95</v>
      </c>
      <c r="F33" s="119">
        <f t="shared" ref="F33:F39" si="16">MIN(B33:E33)</f>
        <v>0</v>
      </c>
      <c r="G33" s="119">
        <f>25-(3*F33)</f>
        <v>25</v>
      </c>
      <c r="H33" s="119">
        <f t="shared" ref="H33:H39" si="17">(F33*G33)</f>
        <v>0</v>
      </c>
      <c r="N33" s="119">
        <v>5</v>
      </c>
      <c r="O33" s="119" t="str">
        <f t="shared" si="10"/>
        <v>-</v>
      </c>
      <c r="Q33" s="119">
        <f t="shared" si="11"/>
        <v>0</v>
      </c>
      <c r="R33" s="119"/>
      <c r="S33" s="119" t="str">
        <f t="shared" si="12"/>
        <v>-</v>
      </c>
      <c r="T33" s="119"/>
      <c r="U33" s="119"/>
      <c r="V33" s="119">
        <f t="shared" si="13"/>
        <v>0</v>
      </c>
      <c r="AC33" s="119" t="s">
        <v>80</v>
      </c>
      <c r="AD33" s="119">
        <f t="shared" si="14"/>
        <v>0</v>
      </c>
      <c r="AE33" s="119">
        <f>35-(10*Z33)</f>
        <v>35</v>
      </c>
      <c r="AF33" s="119">
        <f t="shared" si="15"/>
        <v>0</v>
      </c>
    </row>
    <row r="34" spans="1:32" x14ac:dyDescent="0.3">
      <c r="A34" s="119">
        <v>3</v>
      </c>
      <c r="B34" s="119">
        <v>0</v>
      </c>
      <c r="C34" s="119">
        <v>1</v>
      </c>
      <c r="D34" s="119">
        <v>0</v>
      </c>
      <c r="E34" s="119">
        <v>0.95</v>
      </c>
      <c r="F34" s="119">
        <f t="shared" si="16"/>
        <v>0</v>
      </c>
      <c r="G34" s="119">
        <f>55-(3*F34)</f>
        <v>55</v>
      </c>
      <c r="H34" s="119">
        <f t="shared" si="17"/>
        <v>0</v>
      </c>
      <c r="N34" s="119">
        <v>6</v>
      </c>
      <c r="O34" s="119">
        <f t="shared" si="10"/>
        <v>0</v>
      </c>
      <c r="Q34" s="119">
        <f t="shared" si="11"/>
        <v>0</v>
      </c>
      <c r="R34" s="119"/>
      <c r="S34" s="119">
        <f t="shared" si="12"/>
        <v>1</v>
      </c>
      <c r="T34" s="119"/>
      <c r="U34" s="119"/>
      <c r="V34" s="119">
        <f t="shared" si="13"/>
        <v>1</v>
      </c>
      <c r="AC34" s="119" t="s">
        <v>30</v>
      </c>
      <c r="AD34" s="119">
        <f t="shared" si="14"/>
        <v>0</v>
      </c>
      <c r="AE34" s="119">
        <f>35+(20*AD34)</f>
        <v>35</v>
      </c>
      <c r="AF34" s="119">
        <f t="shared" si="15"/>
        <v>0</v>
      </c>
    </row>
    <row r="35" spans="1:32" x14ac:dyDescent="0.3">
      <c r="A35" s="119">
        <v>4</v>
      </c>
      <c r="B35" s="119">
        <v>1</v>
      </c>
      <c r="C35" s="119">
        <v>0</v>
      </c>
      <c r="D35" s="119">
        <v>0</v>
      </c>
      <c r="E35" s="119">
        <v>0.95</v>
      </c>
      <c r="F35" s="119">
        <f t="shared" si="16"/>
        <v>0</v>
      </c>
      <c r="G35" s="119">
        <f>55-(3*F35)</f>
        <v>55</v>
      </c>
      <c r="H35" s="119">
        <f t="shared" si="17"/>
        <v>0</v>
      </c>
      <c r="N35" s="119">
        <v>7</v>
      </c>
      <c r="O35" s="119">
        <f t="shared" si="10"/>
        <v>1</v>
      </c>
      <c r="Q35" s="119">
        <f t="shared" si="11"/>
        <v>0</v>
      </c>
      <c r="R35" s="119"/>
      <c r="S35" s="119">
        <f t="shared" si="12"/>
        <v>1</v>
      </c>
      <c r="T35" s="119"/>
      <c r="U35" s="119"/>
      <c r="V35" s="119">
        <f t="shared" si="13"/>
        <v>1</v>
      </c>
      <c r="AC35" s="119" t="s">
        <v>30</v>
      </c>
      <c r="AD35" s="119">
        <f t="shared" si="14"/>
        <v>0</v>
      </c>
      <c r="AE35" s="119">
        <f>35+(20*AD35)</f>
        <v>35</v>
      </c>
      <c r="AF35" s="119">
        <f t="shared" si="15"/>
        <v>0</v>
      </c>
    </row>
    <row r="36" spans="1:32" x14ac:dyDescent="0.3">
      <c r="A36" s="119">
        <v>5</v>
      </c>
      <c r="B36" s="119">
        <v>0</v>
      </c>
      <c r="C36" s="119">
        <v>0</v>
      </c>
      <c r="D36" s="119">
        <v>0</v>
      </c>
      <c r="E36" s="119">
        <v>0.95</v>
      </c>
      <c r="F36" s="119">
        <f t="shared" si="16"/>
        <v>0</v>
      </c>
      <c r="G36" s="119">
        <f>25-(3*F36)</f>
        <v>25</v>
      </c>
      <c r="H36" s="119">
        <f t="shared" si="17"/>
        <v>0</v>
      </c>
      <c r="N36" s="119">
        <v>8</v>
      </c>
      <c r="O36" s="119" t="str">
        <f t="shared" si="10"/>
        <v>-</v>
      </c>
      <c r="Q36" s="119">
        <f t="shared" si="11"/>
        <v>1</v>
      </c>
      <c r="R36" s="119"/>
      <c r="S36" s="119" t="str">
        <f t="shared" si="12"/>
        <v>-</v>
      </c>
      <c r="T36" s="119"/>
      <c r="U36" s="119"/>
      <c r="V36" s="119" t="str">
        <f t="shared" si="13"/>
        <v>-</v>
      </c>
      <c r="AC36" s="119" t="s">
        <v>35</v>
      </c>
      <c r="AD36" s="119">
        <f t="shared" si="14"/>
        <v>1</v>
      </c>
      <c r="AE36" s="119">
        <f>55-(5*AD36)</f>
        <v>50</v>
      </c>
      <c r="AF36" s="119">
        <f t="shared" si="15"/>
        <v>50</v>
      </c>
    </row>
    <row r="37" spans="1:32" x14ac:dyDescent="0.3">
      <c r="A37" s="119">
        <v>6</v>
      </c>
      <c r="B37" s="119">
        <v>0</v>
      </c>
      <c r="C37" s="119">
        <v>1</v>
      </c>
      <c r="D37" s="119">
        <v>0</v>
      </c>
      <c r="E37" s="119">
        <v>0.95</v>
      </c>
      <c r="F37" s="119">
        <f t="shared" si="16"/>
        <v>0</v>
      </c>
      <c r="G37" s="119">
        <f>55-(3*F37)</f>
        <v>55</v>
      </c>
      <c r="H37" s="119">
        <f t="shared" si="17"/>
        <v>0</v>
      </c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 t="s">
        <v>64</v>
      </c>
      <c r="AD37" s="119">
        <f>SUM(AD29:AD36)</f>
        <v>1</v>
      </c>
      <c r="AE37" s="119"/>
      <c r="AF37" s="119">
        <f>SUM(AF29:AF36)</f>
        <v>50</v>
      </c>
    </row>
    <row r="38" spans="1:32" x14ac:dyDescent="0.3">
      <c r="A38" s="119">
        <v>7</v>
      </c>
      <c r="B38" s="119">
        <v>1</v>
      </c>
      <c r="C38" s="119">
        <v>1</v>
      </c>
      <c r="D38" s="119">
        <v>1</v>
      </c>
      <c r="E38" s="119">
        <v>0.95</v>
      </c>
      <c r="F38" s="119">
        <f t="shared" si="16"/>
        <v>0.95</v>
      </c>
      <c r="G38" s="119">
        <f>55-(3*F38)</f>
        <v>52.15</v>
      </c>
      <c r="H38" s="119">
        <f t="shared" si="17"/>
        <v>49.542499999999997</v>
      </c>
      <c r="AE38" s="119"/>
      <c r="AF38" s="119"/>
    </row>
    <row r="39" spans="1:32" x14ac:dyDescent="0.3">
      <c r="A39" s="119">
        <v>8</v>
      </c>
      <c r="B39" s="119">
        <v>0</v>
      </c>
      <c r="C39" s="119">
        <v>0</v>
      </c>
      <c r="D39" s="119">
        <v>1</v>
      </c>
      <c r="E39" s="119">
        <v>0</v>
      </c>
      <c r="F39" s="119">
        <f t="shared" si="16"/>
        <v>0</v>
      </c>
      <c r="G39" s="119">
        <f>60-(3*F39)</f>
        <v>60</v>
      </c>
      <c r="H39" s="119">
        <f t="shared" si="17"/>
        <v>0</v>
      </c>
    </row>
    <row r="40" spans="1:32" x14ac:dyDescent="0.3">
      <c r="F40">
        <f>SUM(F32:F39)</f>
        <v>0.95</v>
      </c>
      <c r="H40">
        <f>SUM(H32:H39)</f>
        <v>49.542499999999997</v>
      </c>
      <c r="I40">
        <f>(H40/F40)</f>
        <v>52.15</v>
      </c>
    </row>
    <row r="42" spans="1:32" x14ac:dyDescent="0.3">
      <c r="M42" s="119">
        <v>1</v>
      </c>
      <c r="N42" s="119">
        <v>0</v>
      </c>
      <c r="O42" s="119">
        <v>0</v>
      </c>
      <c r="P42" s="119">
        <v>1</v>
      </c>
      <c r="Q42" s="119">
        <v>1</v>
      </c>
      <c r="R42" s="119">
        <v>1</v>
      </c>
      <c r="S42" s="119">
        <v>0</v>
      </c>
    </row>
    <row r="43" spans="1:32" x14ac:dyDescent="0.3">
      <c r="M43" s="119">
        <v>1</v>
      </c>
      <c r="N43" s="119">
        <v>0</v>
      </c>
      <c r="O43" s="119">
        <v>0</v>
      </c>
      <c r="P43" s="119">
        <v>1</v>
      </c>
      <c r="Q43" s="119">
        <v>1</v>
      </c>
      <c r="R43" s="119">
        <v>1</v>
      </c>
      <c r="S43" s="119">
        <v>0</v>
      </c>
    </row>
    <row r="44" spans="1:32" x14ac:dyDescent="0.3">
      <c r="M44" s="119">
        <v>1</v>
      </c>
      <c r="N44" s="119">
        <v>0</v>
      </c>
      <c r="O44" s="119">
        <v>0</v>
      </c>
      <c r="P44" s="119">
        <v>1</v>
      </c>
      <c r="Q44" s="119">
        <v>1</v>
      </c>
      <c r="R44" s="119">
        <v>1</v>
      </c>
      <c r="S44" s="119">
        <v>0</v>
      </c>
    </row>
    <row r="45" spans="1:32" x14ac:dyDescent="0.3">
      <c r="M45" s="119">
        <v>1</v>
      </c>
      <c r="N45" s="119">
        <v>0</v>
      </c>
      <c r="O45" s="119">
        <v>0</v>
      </c>
      <c r="P45" s="119">
        <v>1</v>
      </c>
      <c r="Q45" s="119">
        <v>1</v>
      </c>
      <c r="R45" s="119">
        <v>1</v>
      </c>
      <c r="S45" s="119">
        <v>0</v>
      </c>
    </row>
    <row r="46" spans="1:32" x14ac:dyDescent="0.3">
      <c r="M46" s="119">
        <v>1</v>
      </c>
      <c r="N46" s="119">
        <v>0</v>
      </c>
      <c r="O46" s="119">
        <v>0</v>
      </c>
      <c r="P46" s="119">
        <v>1</v>
      </c>
      <c r="Q46" s="119">
        <v>1</v>
      </c>
      <c r="R46" s="119">
        <v>1</v>
      </c>
      <c r="S46" s="119">
        <v>0</v>
      </c>
    </row>
    <row r="47" spans="1:32" x14ac:dyDescent="0.3">
      <c r="M47" s="119">
        <v>1</v>
      </c>
      <c r="N47" s="119">
        <v>0</v>
      </c>
      <c r="O47" s="119">
        <v>0</v>
      </c>
      <c r="P47" s="119">
        <v>1</v>
      </c>
      <c r="Q47" s="119">
        <v>1</v>
      </c>
      <c r="R47" s="119">
        <v>1</v>
      </c>
      <c r="S47" s="119">
        <v>0</v>
      </c>
    </row>
    <row r="48" spans="1:32" x14ac:dyDescent="0.3">
      <c r="M48" s="119">
        <v>1</v>
      </c>
      <c r="N48" s="119">
        <v>0</v>
      </c>
      <c r="O48" s="119">
        <v>0</v>
      </c>
      <c r="P48" s="119">
        <v>1</v>
      </c>
      <c r="Q48" s="119">
        <v>1</v>
      </c>
      <c r="R48" s="119">
        <v>1</v>
      </c>
      <c r="S48" s="119">
        <v>0</v>
      </c>
    </row>
    <row r="49" spans="13:19" x14ac:dyDescent="0.3">
      <c r="M49" s="119">
        <v>1</v>
      </c>
      <c r="N49" s="119">
        <v>0</v>
      </c>
      <c r="O49" s="119">
        <v>0</v>
      </c>
      <c r="P49" s="119">
        <v>1</v>
      </c>
      <c r="Q49" s="119">
        <v>1</v>
      </c>
      <c r="R49" s="119">
        <v>1</v>
      </c>
      <c r="S49" s="119">
        <v>0</v>
      </c>
    </row>
  </sheetData>
  <mergeCells count="14">
    <mergeCell ref="AB5:AB6"/>
    <mergeCell ref="AC5:AC6"/>
    <mergeCell ref="Q5:R6"/>
    <mergeCell ref="U5:U6"/>
    <mergeCell ref="W5:W6"/>
    <mergeCell ref="X5:X6"/>
    <mergeCell ref="Y5:Y6"/>
    <mergeCell ref="Z5:Z6"/>
    <mergeCell ref="AA5:AA6"/>
    <mergeCell ref="N5:N6"/>
    <mergeCell ref="O5:O6"/>
    <mergeCell ref="P5:P6"/>
    <mergeCell ref="S5:S6"/>
    <mergeCell ref="T5:T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zoomScale="70" zoomScaleNormal="70" workbookViewId="0">
      <selection activeCell="AB27" sqref="AB27"/>
    </sheetView>
  </sheetViews>
  <sheetFormatPr defaultRowHeight="14.4" x14ac:dyDescent="0.3"/>
  <sheetData>
    <row r="1" spans="1:18" x14ac:dyDescent="0.3">
      <c r="A1" s="7" t="s">
        <v>135</v>
      </c>
      <c r="B1" s="7">
        <v>3</v>
      </c>
      <c r="E1" s="77" t="s">
        <v>151</v>
      </c>
      <c r="F1" s="184" t="s">
        <v>4</v>
      </c>
      <c r="G1" s="185"/>
      <c r="H1" s="189" t="s">
        <v>7</v>
      </c>
      <c r="I1" s="189"/>
      <c r="J1" s="189" t="s">
        <v>10</v>
      </c>
      <c r="K1" s="189"/>
      <c r="L1" s="189" t="s">
        <v>59</v>
      </c>
      <c r="M1" s="189"/>
      <c r="N1" s="189"/>
      <c r="O1" s="181" t="s">
        <v>66</v>
      </c>
      <c r="P1" s="182"/>
      <c r="Q1" s="182"/>
      <c r="R1" s="183"/>
    </row>
    <row r="2" spans="1:18" x14ac:dyDescent="0.3">
      <c r="A2" s="7" t="s">
        <v>136</v>
      </c>
      <c r="B2" s="76">
        <v>0.2</v>
      </c>
      <c r="E2" s="77" t="s">
        <v>152</v>
      </c>
      <c r="F2" s="77" t="s">
        <v>55</v>
      </c>
      <c r="G2" s="77" t="s">
        <v>43</v>
      </c>
      <c r="H2" s="77" t="s">
        <v>57</v>
      </c>
      <c r="I2" s="77" t="s">
        <v>58</v>
      </c>
      <c r="J2" s="79" t="s">
        <v>44</v>
      </c>
      <c r="K2" s="79" t="s">
        <v>47</v>
      </c>
      <c r="L2" s="77" t="s">
        <v>44</v>
      </c>
      <c r="M2" s="77" t="s">
        <v>155</v>
      </c>
      <c r="N2" s="77" t="s">
        <v>61</v>
      </c>
      <c r="O2" s="120" t="s">
        <v>36</v>
      </c>
      <c r="P2" s="120" t="s">
        <v>30</v>
      </c>
      <c r="Q2" s="184" t="s">
        <v>35</v>
      </c>
      <c r="R2" s="185"/>
    </row>
    <row r="3" spans="1:18" x14ac:dyDescent="0.3">
      <c r="A3" s="7" t="s">
        <v>137</v>
      </c>
      <c r="B3" s="7">
        <v>0.2</v>
      </c>
      <c r="E3" s="77" t="s">
        <v>153</v>
      </c>
      <c r="F3" s="77" t="s">
        <v>140</v>
      </c>
      <c r="G3" s="77" t="s">
        <v>141</v>
      </c>
      <c r="H3" s="77" t="s">
        <v>142</v>
      </c>
      <c r="I3" s="77" t="s">
        <v>143</v>
      </c>
      <c r="J3" s="79" t="s">
        <v>145</v>
      </c>
      <c r="K3" s="79" t="s">
        <v>144</v>
      </c>
      <c r="L3" s="78" t="s">
        <v>146</v>
      </c>
      <c r="M3" s="78" t="s">
        <v>147</v>
      </c>
      <c r="N3" s="78" t="s">
        <v>154</v>
      </c>
      <c r="O3" s="121" t="s">
        <v>216</v>
      </c>
      <c r="P3" s="121" t="s">
        <v>217</v>
      </c>
      <c r="Q3" s="121" t="s">
        <v>218</v>
      </c>
      <c r="R3" s="123" t="s">
        <v>219</v>
      </c>
    </row>
    <row r="4" spans="1:18" x14ac:dyDescent="0.3">
      <c r="A4" s="37" t="s">
        <v>138</v>
      </c>
      <c r="B4" s="7">
        <v>1</v>
      </c>
      <c r="F4">
        <v>35</v>
      </c>
      <c r="G4">
        <v>45</v>
      </c>
      <c r="H4">
        <v>70</v>
      </c>
      <c r="I4">
        <v>90</v>
      </c>
      <c r="J4">
        <v>18.5</v>
      </c>
      <c r="K4">
        <v>25</v>
      </c>
      <c r="L4">
        <v>200</v>
      </c>
      <c r="M4">
        <v>230</v>
      </c>
      <c r="N4">
        <v>270</v>
      </c>
    </row>
    <row r="7" spans="1:18" x14ac:dyDescent="0.3">
      <c r="B7" s="186" t="s">
        <v>156</v>
      </c>
      <c r="C7" s="186"/>
      <c r="D7" s="186"/>
      <c r="E7" s="186"/>
      <c r="F7" s="186"/>
      <c r="G7" s="186"/>
      <c r="H7" s="186"/>
      <c r="I7" s="186"/>
      <c r="J7" s="187"/>
    </row>
    <row r="8" spans="1:18" x14ac:dyDescent="0.3">
      <c r="A8" s="78" t="s">
        <v>139</v>
      </c>
      <c r="B8" s="78" t="s">
        <v>140</v>
      </c>
      <c r="C8" s="78" t="s">
        <v>141</v>
      </c>
      <c r="D8" s="78" t="s">
        <v>142</v>
      </c>
      <c r="E8" s="78" t="s">
        <v>143</v>
      </c>
      <c r="F8" s="78" t="s">
        <v>145</v>
      </c>
      <c r="G8" s="78" t="s">
        <v>144</v>
      </c>
      <c r="H8" s="78" t="s">
        <v>146</v>
      </c>
      <c r="I8" s="78" t="s">
        <v>147</v>
      </c>
      <c r="J8" s="121" t="s">
        <v>154</v>
      </c>
      <c r="K8" s="123" t="s">
        <v>216</v>
      </c>
      <c r="L8" s="123" t="s">
        <v>217</v>
      </c>
      <c r="M8" s="123" t="s">
        <v>218</v>
      </c>
      <c r="N8" s="123" t="s">
        <v>219</v>
      </c>
    </row>
    <row r="9" spans="1:18" x14ac:dyDescent="0.3">
      <c r="A9" s="78" t="s">
        <v>148</v>
      </c>
      <c r="B9" s="78">
        <v>30</v>
      </c>
      <c r="C9" s="78">
        <v>55</v>
      </c>
      <c r="D9" s="78">
        <v>65</v>
      </c>
      <c r="E9" s="78">
        <v>80</v>
      </c>
      <c r="F9" s="78">
        <v>15</v>
      </c>
      <c r="G9" s="78">
        <v>20</v>
      </c>
      <c r="H9" s="78">
        <v>190</v>
      </c>
      <c r="I9" s="78">
        <v>210</v>
      </c>
      <c r="J9" s="121">
        <v>250</v>
      </c>
      <c r="K9" s="121">
        <v>25</v>
      </c>
      <c r="L9" s="121">
        <v>35</v>
      </c>
      <c r="M9" s="121">
        <v>55</v>
      </c>
      <c r="N9" s="121">
        <v>60</v>
      </c>
    </row>
    <row r="10" spans="1:18" x14ac:dyDescent="0.3">
      <c r="A10" s="78" t="s">
        <v>149</v>
      </c>
      <c r="B10" s="78">
        <v>42</v>
      </c>
      <c r="C10" s="78">
        <v>50</v>
      </c>
      <c r="D10" s="78">
        <v>70</v>
      </c>
      <c r="E10" s="78">
        <v>82</v>
      </c>
      <c r="F10" s="78">
        <v>17</v>
      </c>
      <c r="G10" s="78">
        <v>27</v>
      </c>
      <c r="H10" s="78">
        <v>185</v>
      </c>
      <c r="I10" s="78">
        <v>200</v>
      </c>
      <c r="J10" s="121">
        <v>260</v>
      </c>
      <c r="K10" s="121">
        <v>30</v>
      </c>
      <c r="L10" s="121">
        <v>35</v>
      </c>
      <c r="M10" s="121">
        <v>50</v>
      </c>
      <c r="N10" s="121">
        <v>55</v>
      </c>
    </row>
    <row r="11" spans="1:18" x14ac:dyDescent="0.3">
      <c r="A11" s="22" t="s">
        <v>150</v>
      </c>
      <c r="B11" s="22">
        <v>25</v>
      </c>
      <c r="C11" s="22">
        <v>52</v>
      </c>
      <c r="D11" s="22">
        <v>69</v>
      </c>
      <c r="E11" s="22">
        <v>89</v>
      </c>
      <c r="F11" s="22">
        <v>22</v>
      </c>
      <c r="G11" s="22">
        <v>30</v>
      </c>
      <c r="H11" s="22">
        <v>195</v>
      </c>
      <c r="I11" s="22">
        <v>205</v>
      </c>
      <c r="J11" s="121">
        <v>240</v>
      </c>
      <c r="K11" s="121">
        <v>20</v>
      </c>
      <c r="L11" s="121">
        <v>30</v>
      </c>
      <c r="M11" s="121">
        <v>40</v>
      </c>
      <c r="N11" s="121">
        <v>50</v>
      </c>
    </row>
    <row r="12" spans="1:18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24"/>
    </row>
    <row r="13" spans="1:18" x14ac:dyDescent="0.3">
      <c r="A13" s="80"/>
      <c r="B13" s="80"/>
      <c r="C13" s="80"/>
      <c r="D13" s="80"/>
      <c r="E13" s="80"/>
      <c r="F13" s="80"/>
      <c r="G13" s="80"/>
      <c r="H13" s="80"/>
      <c r="I13" s="80"/>
      <c r="J13" s="80"/>
    </row>
    <row r="18" spans="1:32" x14ac:dyDescent="0.3">
      <c r="A18" s="83" t="s">
        <v>157</v>
      </c>
      <c r="B18" s="81"/>
      <c r="C18" s="81"/>
      <c r="S18" s="92" t="s">
        <v>160</v>
      </c>
      <c r="T18" s="84"/>
      <c r="U18" s="84"/>
    </row>
    <row r="19" spans="1:32" x14ac:dyDescent="0.3">
      <c r="A19" s="81" t="s">
        <v>158</v>
      </c>
      <c r="B19" s="81"/>
      <c r="C19" s="81" t="s">
        <v>197</v>
      </c>
      <c r="S19" s="84" t="s">
        <v>161</v>
      </c>
      <c r="T19" s="84"/>
      <c r="U19" s="84">
        <v>2</v>
      </c>
    </row>
    <row r="20" spans="1:32" x14ac:dyDescent="0.3">
      <c r="A20" s="81" t="s">
        <v>159</v>
      </c>
      <c r="B20" s="81"/>
      <c r="C20" s="81">
        <v>5</v>
      </c>
      <c r="S20" s="84" t="s">
        <v>162</v>
      </c>
      <c r="T20" s="84"/>
      <c r="U20" s="84">
        <v>1</v>
      </c>
    </row>
    <row r="22" spans="1:32" x14ac:dyDescent="0.3">
      <c r="A22" s="86" t="s">
        <v>149</v>
      </c>
      <c r="B22" s="93">
        <v>42</v>
      </c>
      <c r="C22" s="93">
        <v>50</v>
      </c>
      <c r="D22" s="93">
        <v>70</v>
      </c>
      <c r="E22" s="93">
        <v>82</v>
      </c>
      <c r="F22" s="93">
        <v>17</v>
      </c>
      <c r="G22" s="86">
        <v>27</v>
      </c>
      <c r="H22" s="86">
        <v>185</v>
      </c>
      <c r="I22" s="86">
        <v>200</v>
      </c>
      <c r="J22" s="86">
        <v>260</v>
      </c>
      <c r="K22" s="121">
        <v>25</v>
      </c>
      <c r="L22" s="121">
        <v>35</v>
      </c>
      <c r="M22" s="121">
        <v>55</v>
      </c>
      <c r="N22" s="121">
        <v>60</v>
      </c>
      <c r="S22" s="86" t="s">
        <v>149</v>
      </c>
      <c r="T22" s="93">
        <v>42</v>
      </c>
      <c r="U22" s="86">
        <v>50</v>
      </c>
      <c r="V22" s="86">
        <v>70</v>
      </c>
      <c r="W22" s="86">
        <v>82</v>
      </c>
      <c r="X22" s="93">
        <v>17</v>
      </c>
      <c r="Y22" s="86">
        <v>27</v>
      </c>
      <c r="Z22" s="86">
        <v>185</v>
      </c>
      <c r="AA22" s="86">
        <v>200</v>
      </c>
      <c r="AB22" s="86">
        <v>260</v>
      </c>
      <c r="AC22" s="121">
        <v>30</v>
      </c>
      <c r="AD22" s="121">
        <v>35</v>
      </c>
      <c r="AE22" s="121">
        <v>50</v>
      </c>
      <c r="AF22" s="121">
        <v>55</v>
      </c>
    </row>
    <row r="23" spans="1:32" x14ac:dyDescent="0.3">
      <c r="A23" s="86" t="s">
        <v>150</v>
      </c>
      <c r="B23" s="86">
        <v>25</v>
      </c>
      <c r="C23" s="86">
        <v>52</v>
      </c>
      <c r="D23" s="86">
        <v>69</v>
      </c>
      <c r="E23" s="86">
        <v>89</v>
      </c>
      <c r="F23" s="86">
        <v>22</v>
      </c>
      <c r="G23" s="93">
        <v>30</v>
      </c>
      <c r="H23" s="93">
        <v>195</v>
      </c>
      <c r="I23" s="93">
        <v>205</v>
      </c>
      <c r="J23" s="93">
        <v>240</v>
      </c>
      <c r="K23" s="93">
        <v>30</v>
      </c>
      <c r="L23" s="93">
        <v>35</v>
      </c>
      <c r="M23" s="93">
        <v>50</v>
      </c>
      <c r="N23" s="93">
        <v>55</v>
      </c>
      <c r="S23" s="88" t="s">
        <v>83</v>
      </c>
      <c r="T23" s="88">
        <v>17</v>
      </c>
      <c r="U23" s="88">
        <v>50</v>
      </c>
      <c r="V23" s="88">
        <v>70</v>
      </c>
      <c r="W23" s="88">
        <v>82</v>
      </c>
      <c r="X23" s="88">
        <v>17</v>
      </c>
      <c r="Y23" s="86">
        <v>27</v>
      </c>
      <c r="Z23" s="86">
        <v>185</v>
      </c>
      <c r="AA23" s="86">
        <v>200</v>
      </c>
      <c r="AB23" s="86">
        <v>260</v>
      </c>
      <c r="AC23" s="121">
        <v>30</v>
      </c>
      <c r="AD23" s="121">
        <v>35</v>
      </c>
      <c r="AE23" s="121">
        <v>50</v>
      </c>
      <c r="AF23" s="121">
        <v>55</v>
      </c>
    </row>
    <row r="24" spans="1:32" x14ac:dyDescent="0.3">
      <c r="A24" s="82" t="s">
        <v>82</v>
      </c>
      <c r="B24" s="86">
        <v>42</v>
      </c>
      <c r="C24" s="86">
        <v>50</v>
      </c>
      <c r="D24" s="86">
        <v>70</v>
      </c>
      <c r="E24" s="86">
        <v>82</v>
      </c>
      <c r="F24" s="86">
        <v>17</v>
      </c>
      <c r="G24" s="86">
        <v>30</v>
      </c>
      <c r="H24" s="86">
        <v>195</v>
      </c>
      <c r="I24" s="86">
        <v>205</v>
      </c>
      <c r="J24" s="86">
        <v>240</v>
      </c>
      <c r="K24" s="121">
        <v>30</v>
      </c>
      <c r="L24" s="121">
        <v>35</v>
      </c>
      <c r="M24" s="121">
        <v>50</v>
      </c>
      <c r="N24" s="121">
        <v>55</v>
      </c>
    </row>
    <row r="26" spans="1:32" x14ac:dyDescent="0.3">
      <c r="A26" s="102" t="s">
        <v>158</v>
      </c>
      <c r="B26" s="102"/>
      <c r="C26" s="102" t="s">
        <v>198</v>
      </c>
      <c r="D26" s="102"/>
      <c r="E26" s="102"/>
      <c r="F26" s="102"/>
      <c r="G26" s="102"/>
      <c r="H26" s="102"/>
      <c r="I26" s="102"/>
      <c r="J26" s="102"/>
      <c r="S26" s="102" t="s">
        <v>161</v>
      </c>
      <c r="T26" s="102"/>
      <c r="U26" s="102">
        <v>3</v>
      </c>
      <c r="V26" s="102"/>
      <c r="W26" s="102"/>
      <c r="X26" s="102"/>
      <c r="Y26" s="102"/>
      <c r="Z26" s="102"/>
      <c r="AA26" s="102"/>
      <c r="AB26" s="102"/>
    </row>
    <row r="27" spans="1:32" x14ac:dyDescent="0.3">
      <c r="A27" s="102" t="s">
        <v>159</v>
      </c>
      <c r="B27" s="102"/>
      <c r="C27" s="102">
        <v>3</v>
      </c>
      <c r="D27" s="102"/>
      <c r="E27" s="102"/>
      <c r="F27" s="102"/>
      <c r="G27" s="102"/>
      <c r="H27" s="102"/>
      <c r="I27" s="102"/>
      <c r="J27" s="102"/>
      <c r="S27" s="102" t="s">
        <v>162</v>
      </c>
      <c r="T27" s="102"/>
      <c r="U27" s="102">
        <v>1</v>
      </c>
      <c r="V27" s="102"/>
      <c r="W27" s="102"/>
      <c r="X27" s="102"/>
      <c r="Y27" s="102"/>
      <c r="Z27" s="102"/>
      <c r="AA27" s="102"/>
      <c r="AB27" s="102"/>
    </row>
    <row r="28" spans="1:32" x14ac:dyDescent="0.3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 spans="1:32" x14ac:dyDescent="0.3">
      <c r="A29" s="105" t="s">
        <v>148</v>
      </c>
      <c r="B29" s="105">
        <v>30</v>
      </c>
      <c r="C29" s="105">
        <v>55</v>
      </c>
      <c r="D29" s="105">
        <v>65</v>
      </c>
      <c r="E29" s="105">
        <v>80</v>
      </c>
      <c r="F29" s="105">
        <v>15</v>
      </c>
      <c r="G29" s="105">
        <v>20</v>
      </c>
      <c r="H29" s="105">
        <v>190</v>
      </c>
      <c r="I29" s="105">
        <v>210</v>
      </c>
      <c r="J29" s="105">
        <v>250</v>
      </c>
      <c r="S29" s="105" t="s">
        <v>150</v>
      </c>
      <c r="T29" s="105">
        <v>25</v>
      </c>
      <c r="U29" s="105">
        <v>52</v>
      </c>
      <c r="V29" s="105">
        <v>69</v>
      </c>
      <c r="W29" s="105">
        <v>89</v>
      </c>
      <c r="X29" s="105">
        <v>22</v>
      </c>
      <c r="Y29" s="105">
        <v>30</v>
      </c>
      <c r="Z29" s="105">
        <v>195</v>
      </c>
      <c r="AA29" s="105">
        <v>205</v>
      </c>
      <c r="AB29" s="105">
        <v>240</v>
      </c>
    </row>
    <row r="30" spans="1:32" x14ac:dyDescent="0.3">
      <c r="A30" s="105" t="s">
        <v>149</v>
      </c>
      <c r="B30" s="105">
        <v>42</v>
      </c>
      <c r="C30" s="105">
        <v>50</v>
      </c>
      <c r="D30" s="105">
        <v>70</v>
      </c>
      <c r="E30" s="105">
        <v>82</v>
      </c>
      <c r="F30" s="105">
        <v>17</v>
      </c>
      <c r="G30" s="105">
        <v>27</v>
      </c>
      <c r="H30" s="105">
        <v>185</v>
      </c>
      <c r="I30" s="105">
        <v>200</v>
      </c>
      <c r="J30" s="105">
        <v>260</v>
      </c>
      <c r="S30" s="105" t="s">
        <v>163</v>
      </c>
      <c r="T30" s="105">
        <v>25</v>
      </c>
      <c r="U30" s="105">
        <v>69</v>
      </c>
      <c r="V30" s="105">
        <v>52</v>
      </c>
      <c r="W30" s="105">
        <v>89</v>
      </c>
      <c r="X30" s="105">
        <v>22</v>
      </c>
      <c r="Y30" s="105">
        <v>30</v>
      </c>
      <c r="Z30" s="105">
        <v>195</v>
      </c>
      <c r="AA30" s="105">
        <v>205</v>
      </c>
      <c r="AB30" s="105">
        <v>240</v>
      </c>
    </row>
    <row r="31" spans="1:32" x14ac:dyDescent="0.3">
      <c r="A31" s="105" t="s">
        <v>83</v>
      </c>
      <c r="B31" s="105">
        <v>30</v>
      </c>
      <c r="C31" s="105">
        <v>55</v>
      </c>
      <c r="D31" s="105">
        <v>65</v>
      </c>
      <c r="E31" s="105">
        <v>82</v>
      </c>
      <c r="F31" s="105">
        <v>17</v>
      </c>
      <c r="G31" s="105">
        <v>27</v>
      </c>
      <c r="H31" s="105">
        <v>185</v>
      </c>
      <c r="I31" s="105">
        <v>200</v>
      </c>
      <c r="J31" s="105">
        <v>260</v>
      </c>
    </row>
    <row r="34" spans="1:14" x14ac:dyDescent="0.3">
      <c r="A34" s="188" t="s">
        <v>164</v>
      </c>
      <c r="B34" s="188"/>
    </row>
    <row r="35" spans="1:14" x14ac:dyDescent="0.3">
      <c r="A35" s="84"/>
      <c r="B35" s="186" t="s">
        <v>156</v>
      </c>
      <c r="C35" s="186"/>
      <c r="D35" s="186"/>
      <c r="E35" s="186"/>
      <c r="F35" s="186"/>
      <c r="G35" s="186"/>
      <c r="H35" s="186"/>
      <c r="I35" s="186"/>
      <c r="J35" s="186"/>
    </row>
    <row r="36" spans="1:14" x14ac:dyDescent="0.3">
      <c r="A36" s="86" t="s">
        <v>139</v>
      </c>
      <c r="B36" s="86" t="s">
        <v>140</v>
      </c>
      <c r="C36" s="86" t="s">
        <v>141</v>
      </c>
      <c r="D36" s="86" t="s">
        <v>142</v>
      </c>
      <c r="E36" s="86" t="s">
        <v>143</v>
      </c>
      <c r="F36" s="86" t="s">
        <v>145</v>
      </c>
      <c r="G36" s="86" t="s">
        <v>144</v>
      </c>
      <c r="H36" s="86" t="s">
        <v>146</v>
      </c>
      <c r="I36" s="86" t="s">
        <v>147</v>
      </c>
      <c r="J36" s="86" t="s">
        <v>154</v>
      </c>
      <c r="K36" s="123" t="s">
        <v>216</v>
      </c>
      <c r="L36" s="123" t="s">
        <v>217</v>
      </c>
      <c r="M36" s="123" t="s">
        <v>218</v>
      </c>
      <c r="N36" s="123" t="s">
        <v>219</v>
      </c>
    </row>
    <row r="37" spans="1:14" x14ac:dyDescent="0.3">
      <c r="A37" s="86" t="s">
        <v>148</v>
      </c>
      <c r="B37" s="86">
        <v>30</v>
      </c>
      <c r="C37" s="86">
        <v>55</v>
      </c>
      <c r="D37" s="86">
        <v>65</v>
      </c>
      <c r="E37" s="86">
        <v>80</v>
      </c>
      <c r="F37" s="86">
        <v>15</v>
      </c>
      <c r="G37" s="86">
        <v>20</v>
      </c>
      <c r="H37" s="86">
        <v>190</v>
      </c>
      <c r="I37" s="86">
        <v>210</v>
      </c>
      <c r="J37" s="86">
        <v>250</v>
      </c>
      <c r="K37" s="121">
        <v>25</v>
      </c>
      <c r="L37" s="121">
        <v>35</v>
      </c>
      <c r="M37" s="121">
        <v>55</v>
      </c>
      <c r="N37" s="121">
        <v>60</v>
      </c>
    </row>
    <row r="38" spans="1:14" x14ac:dyDescent="0.3">
      <c r="A38" s="86" t="s">
        <v>149</v>
      </c>
      <c r="B38" s="86">
        <v>42</v>
      </c>
      <c r="C38" s="86">
        <v>50</v>
      </c>
      <c r="D38" s="86">
        <v>70</v>
      </c>
      <c r="E38" s="86">
        <v>82</v>
      </c>
      <c r="F38" s="86">
        <v>17</v>
      </c>
      <c r="G38" s="86">
        <v>27</v>
      </c>
      <c r="H38" s="86">
        <v>185</v>
      </c>
      <c r="I38" s="86">
        <v>200</v>
      </c>
      <c r="J38" s="86">
        <v>260</v>
      </c>
      <c r="K38" s="121">
        <v>30</v>
      </c>
      <c r="L38" s="121">
        <v>35</v>
      </c>
      <c r="M38" s="121">
        <v>50</v>
      </c>
      <c r="N38" s="121">
        <v>55</v>
      </c>
    </row>
    <row r="39" spans="1:14" x14ac:dyDescent="0.3">
      <c r="A39" s="86" t="s">
        <v>150</v>
      </c>
      <c r="B39" s="86">
        <v>25</v>
      </c>
      <c r="C39" s="86">
        <v>52</v>
      </c>
      <c r="D39" s="86">
        <v>69</v>
      </c>
      <c r="E39" s="86">
        <v>89</v>
      </c>
      <c r="F39" s="86">
        <v>22</v>
      </c>
      <c r="G39" s="86">
        <v>30</v>
      </c>
      <c r="H39" s="86">
        <v>195</v>
      </c>
      <c r="I39" s="86">
        <v>205</v>
      </c>
      <c r="J39" s="86">
        <v>240</v>
      </c>
      <c r="K39" s="121">
        <v>20</v>
      </c>
      <c r="L39" s="121">
        <v>30</v>
      </c>
      <c r="M39" s="121">
        <v>40</v>
      </c>
      <c r="N39" s="121">
        <v>50</v>
      </c>
    </row>
    <row r="40" spans="1:14" x14ac:dyDescent="0.3">
      <c r="A40" s="88" t="s">
        <v>82</v>
      </c>
      <c r="B40" s="86">
        <v>42</v>
      </c>
      <c r="C40" s="86">
        <v>50</v>
      </c>
      <c r="D40" s="86">
        <v>70</v>
      </c>
      <c r="E40" s="86">
        <v>82</v>
      </c>
      <c r="F40" s="86">
        <v>17</v>
      </c>
      <c r="G40" s="86">
        <v>30</v>
      </c>
      <c r="H40" s="86">
        <v>195</v>
      </c>
      <c r="I40" s="86">
        <v>205</v>
      </c>
      <c r="J40" s="86">
        <v>240</v>
      </c>
      <c r="K40" s="121">
        <v>30</v>
      </c>
      <c r="L40" s="121">
        <v>35</v>
      </c>
      <c r="M40" s="121">
        <v>50</v>
      </c>
      <c r="N40" s="121">
        <v>55</v>
      </c>
    </row>
    <row r="41" spans="1:14" x14ac:dyDescent="0.3">
      <c r="A41" s="88" t="s">
        <v>83</v>
      </c>
      <c r="B41" s="88">
        <v>17</v>
      </c>
      <c r="C41" s="88">
        <v>50</v>
      </c>
      <c r="D41" s="88">
        <v>70</v>
      </c>
      <c r="E41" s="88">
        <v>82</v>
      </c>
      <c r="F41" s="88">
        <v>17</v>
      </c>
      <c r="G41" s="86">
        <v>27</v>
      </c>
      <c r="H41" s="86">
        <v>185</v>
      </c>
      <c r="I41" s="86">
        <v>200</v>
      </c>
      <c r="J41" s="86">
        <v>260</v>
      </c>
      <c r="K41" s="121">
        <v>30</v>
      </c>
      <c r="L41" s="121">
        <v>35</v>
      </c>
      <c r="M41" s="121">
        <v>50</v>
      </c>
      <c r="N41" s="121">
        <v>55</v>
      </c>
    </row>
    <row r="43" spans="1:14" x14ac:dyDescent="0.3">
      <c r="A43" s="44"/>
      <c r="B43" s="80"/>
      <c r="C43" s="44"/>
      <c r="D43" s="44"/>
      <c r="E43" s="80"/>
      <c r="F43" s="80"/>
      <c r="G43" s="80"/>
      <c r="H43" s="80"/>
      <c r="I43" s="80"/>
      <c r="J43" s="80"/>
    </row>
  </sheetData>
  <mergeCells count="9">
    <mergeCell ref="O1:R1"/>
    <mergeCell ref="Q2:R2"/>
    <mergeCell ref="B7:J7"/>
    <mergeCell ref="A34:B34"/>
    <mergeCell ref="B35:J35"/>
    <mergeCell ref="J1:K1"/>
    <mergeCell ref="H1:I1"/>
    <mergeCell ref="F1:G1"/>
    <mergeCell ref="L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0"/>
  <sheetViews>
    <sheetView topLeftCell="AW1" zoomScale="70" zoomScaleNormal="70" workbookViewId="0">
      <selection activeCell="F78" sqref="F78"/>
    </sheetView>
  </sheetViews>
  <sheetFormatPr defaultRowHeight="14.4" x14ac:dyDescent="0.3"/>
  <cols>
    <col min="13" max="13" width="8.21875" customWidth="1"/>
    <col min="14" max="14" width="7.6640625" customWidth="1"/>
    <col min="15" max="15" width="11.6640625" customWidth="1"/>
    <col min="16" max="16" width="7.6640625" customWidth="1"/>
    <col min="38" max="38" width="11.77734375" customWidth="1"/>
    <col min="39" max="39" width="20.44140625" customWidth="1"/>
  </cols>
  <sheetData>
    <row r="1" spans="1:68" x14ac:dyDescent="0.3">
      <c r="A1" s="187" t="s">
        <v>156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V1" t="s">
        <v>53</v>
      </c>
      <c r="W1" t="s">
        <v>54</v>
      </c>
    </row>
    <row r="2" spans="1:68" x14ac:dyDescent="0.3">
      <c r="A2" s="86" t="s">
        <v>139</v>
      </c>
      <c r="B2" s="86" t="s">
        <v>140</v>
      </c>
      <c r="C2" s="86" t="s">
        <v>141</v>
      </c>
      <c r="D2" s="86" t="s">
        <v>142</v>
      </c>
      <c r="E2" s="86" t="s">
        <v>143</v>
      </c>
      <c r="F2" s="86" t="s">
        <v>145</v>
      </c>
      <c r="G2" s="86" t="s">
        <v>144</v>
      </c>
      <c r="H2" s="86" t="s">
        <v>146</v>
      </c>
      <c r="I2" s="86" t="s">
        <v>147</v>
      </c>
      <c r="J2" s="86" t="s">
        <v>154</v>
      </c>
      <c r="K2" s="127" t="s">
        <v>216</v>
      </c>
      <c r="L2" s="127" t="s">
        <v>217</v>
      </c>
      <c r="M2" s="127" t="s">
        <v>218</v>
      </c>
      <c r="N2" s="127" t="s">
        <v>219</v>
      </c>
      <c r="U2" t="s">
        <v>4</v>
      </c>
      <c r="V2">
        <v>30</v>
      </c>
      <c r="W2">
        <v>55</v>
      </c>
      <c r="Z2" t="s">
        <v>25</v>
      </c>
      <c r="AA2">
        <v>1</v>
      </c>
      <c r="AB2">
        <v>0</v>
      </c>
      <c r="AE2" s="20" t="s">
        <v>28</v>
      </c>
      <c r="AF2" s="9">
        <v>1</v>
      </c>
      <c r="AG2" s="9">
        <v>0</v>
      </c>
    </row>
    <row r="3" spans="1:68" x14ac:dyDescent="0.3">
      <c r="A3" s="86" t="s">
        <v>148</v>
      </c>
      <c r="B3" s="86">
        <v>30</v>
      </c>
      <c r="C3" s="86">
        <v>55</v>
      </c>
      <c r="D3" s="86">
        <v>65</v>
      </c>
      <c r="E3" s="86">
        <v>80</v>
      </c>
      <c r="F3" s="86">
        <v>15</v>
      </c>
      <c r="G3" s="86">
        <v>20</v>
      </c>
      <c r="H3" s="86">
        <v>190</v>
      </c>
      <c r="I3" s="86">
        <v>210</v>
      </c>
      <c r="J3" s="86">
        <v>250</v>
      </c>
      <c r="K3" s="121">
        <v>25</v>
      </c>
      <c r="L3" s="121">
        <v>35</v>
      </c>
      <c r="M3" s="121">
        <v>55</v>
      </c>
      <c r="N3" s="121">
        <v>60</v>
      </c>
      <c r="Z3" t="s">
        <v>34</v>
      </c>
      <c r="AA3">
        <v>0</v>
      </c>
      <c r="AB3">
        <v>1</v>
      </c>
      <c r="AE3" s="20" t="s">
        <v>33</v>
      </c>
      <c r="AF3" s="9">
        <v>0</v>
      </c>
      <c r="AG3" s="9">
        <v>1</v>
      </c>
    </row>
    <row r="4" spans="1:68" x14ac:dyDescent="0.3">
      <c r="A4" s="85" t="s">
        <v>152</v>
      </c>
      <c r="B4" s="85" t="s">
        <v>55</v>
      </c>
      <c r="C4" s="85" t="s">
        <v>43</v>
      </c>
      <c r="D4" s="85" t="s">
        <v>57</v>
      </c>
      <c r="E4" s="85" t="s">
        <v>58</v>
      </c>
      <c r="F4" s="87" t="s">
        <v>44</v>
      </c>
      <c r="G4" s="87" t="s">
        <v>47</v>
      </c>
      <c r="H4" s="85" t="s">
        <v>44</v>
      </c>
      <c r="I4" s="85" t="s">
        <v>155</v>
      </c>
      <c r="J4" s="85" t="s">
        <v>61</v>
      </c>
      <c r="K4" s="129" t="s">
        <v>36</v>
      </c>
      <c r="L4" s="129" t="s">
        <v>30</v>
      </c>
      <c r="M4" s="129" t="s">
        <v>30</v>
      </c>
      <c r="N4" s="129" t="s">
        <v>35</v>
      </c>
      <c r="S4" s="5" t="s">
        <v>46</v>
      </c>
      <c r="T4" s="7" t="s">
        <v>66</v>
      </c>
      <c r="U4" s="7" t="s">
        <v>42</v>
      </c>
      <c r="V4" s="7" t="s">
        <v>55</v>
      </c>
      <c r="W4" s="7" t="s">
        <v>43</v>
      </c>
      <c r="Y4" s="7" t="s">
        <v>46</v>
      </c>
      <c r="Z4" s="7" t="s">
        <v>11</v>
      </c>
      <c r="AA4" s="7" t="s">
        <v>25</v>
      </c>
      <c r="AB4" s="7" t="s">
        <v>34</v>
      </c>
      <c r="AD4" s="7" t="s">
        <v>46</v>
      </c>
      <c r="AE4" s="7" t="s">
        <v>52</v>
      </c>
      <c r="AF4" s="21" t="s">
        <v>28</v>
      </c>
      <c r="AG4" s="21" t="s">
        <v>33</v>
      </c>
    </row>
    <row r="5" spans="1:68" x14ac:dyDescent="0.3">
      <c r="A5" s="168" t="s">
        <v>0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S5" s="7">
        <v>1</v>
      </c>
      <c r="T5" s="18" t="s">
        <v>30</v>
      </c>
      <c r="U5" s="18">
        <v>52</v>
      </c>
      <c r="V5" s="7">
        <f>IF(U5&lt;=$V$2,1,IF(AND($V$2&lt;U5,U5&lt;$W$2),($W$2-U5)/($W$2-$V$2),IF(U5&gt;=$W$2,0)))</f>
        <v>0.12</v>
      </c>
      <c r="W5" s="7">
        <f>IF(U5&lt;=$V$2,0,IF(AND($V$2&lt;U5,U5&lt;$W$2),(U5-$V$2)/($W$2-$V$2),IF(U5&gt;=$W$2,1)))</f>
        <v>0.88</v>
      </c>
      <c r="Y5" s="7">
        <v>1</v>
      </c>
      <c r="Z5" s="5">
        <v>1</v>
      </c>
      <c r="AA5" s="7">
        <f>($AB$2-Z5)/($AB$2-$AA$2)</f>
        <v>1</v>
      </c>
      <c r="AB5" s="7">
        <f>(Z5-$AA$3)/($AB$3-$AA$3)</f>
        <v>1</v>
      </c>
      <c r="AD5" s="7">
        <v>1</v>
      </c>
      <c r="AE5" s="18">
        <v>1</v>
      </c>
      <c r="AF5" s="7">
        <f>($AG$2-AE5)/(AG$2-$AF$2)</f>
        <v>1</v>
      </c>
      <c r="AG5" s="7">
        <f>(AE5-$AF$3)/($AG$3-$AF$3)</f>
        <v>1</v>
      </c>
    </row>
    <row r="6" spans="1:68" x14ac:dyDescent="0.3">
      <c r="A6" s="169" t="s">
        <v>3</v>
      </c>
      <c r="B6" s="169" t="s">
        <v>4</v>
      </c>
      <c r="C6" s="169" t="s">
        <v>5</v>
      </c>
      <c r="D6" s="169" t="s">
        <v>6</v>
      </c>
      <c r="E6" s="169"/>
      <c r="F6" s="170" t="s">
        <v>7</v>
      </c>
      <c r="G6" s="169" t="s">
        <v>8</v>
      </c>
      <c r="H6" s="169" t="s">
        <v>9</v>
      </c>
      <c r="I6" s="18" t="s">
        <v>10</v>
      </c>
      <c r="J6" s="169" t="s">
        <v>11</v>
      </c>
      <c r="K6" s="170" t="s">
        <v>12</v>
      </c>
      <c r="L6" s="169" t="s">
        <v>13</v>
      </c>
      <c r="M6" s="169" t="s">
        <v>14</v>
      </c>
      <c r="N6" s="169" t="s">
        <v>15</v>
      </c>
      <c r="O6" s="175" t="s">
        <v>16</v>
      </c>
      <c r="P6" s="175" t="s">
        <v>17</v>
      </c>
      <c r="S6" s="7">
        <v>2</v>
      </c>
      <c r="T6" s="18" t="s">
        <v>35</v>
      </c>
      <c r="U6" s="18">
        <v>66</v>
      </c>
      <c r="V6" s="7">
        <f t="shared" ref="V6:V19" si="0">IF(U6&lt;=$V$2,1,IF(AND($V$2&lt;U6,U6&lt;$W$2),($W$2-U6)/($W$2-$V$2),IF(U6&gt;=$W$2,0)))</f>
        <v>0</v>
      </c>
      <c r="W6" s="7">
        <f t="shared" ref="W6:W19" si="1">IF(U6&lt;=$V$2,0,IF(AND($V$2&lt;U6,U6&lt;$W$2),(U6-$V$2)/($W$2-$V$2),IF(U6&gt;=$W$2,1)))</f>
        <v>1</v>
      </c>
      <c r="Y6" s="7">
        <v>2</v>
      </c>
      <c r="Z6" s="5">
        <v>0</v>
      </c>
      <c r="AA6" s="7">
        <f t="shared" ref="AA6:AA19" si="2">($AB$2-Z6)/($AB$2-$AA$2)</f>
        <v>0</v>
      </c>
      <c r="AB6" s="7">
        <f t="shared" ref="AB6:AB19" si="3">(Z6-$AA$3)/($AB$3-$AA$3)</f>
        <v>0</v>
      </c>
      <c r="AD6" s="7">
        <v>2</v>
      </c>
      <c r="AE6" s="18">
        <v>0</v>
      </c>
      <c r="AF6" s="7">
        <f t="shared" ref="AF6:AF19" si="4">($AG$2-AE6)/(AG$2-$AF$2)</f>
        <v>0</v>
      </c>
      <c r="AG6" s="7">
        <f t="shared" ref="AG6:AG19" si="5">(AE6-$AF$3)/($AG$3-$AF$3)</f>
        <v>0</v>
      </c>
    </row>
    <row r="7" spans="1:68" x14ac:dyDescent="0.3">
      <c r="A7" s="169"/>
      <c r="B7" s="169"/>
      <c r="C7" s="169"/>
      <c r="D7" s="18" t="s">
        <v>19</v>
      </c>
      <c r="E7" s="18" t="s">
        <v>20</v>
      </c>
      <c r="F7" s="171"/>
      <c r="G7" s="169"/>
      <c r="H7" s="169"/>
      <c r="I7" s="3" t="s">
        <v>21</v>
      </c>
      <c r="J7" s="169"/>
      <c r="K7" s="171"/>
      <c r="L7" s="169"/>
      <c r="M7" s="169"/>
      <c r="N7" s="169"/>
      <c r="O7" s="175"/>
      <c r="P7" s="175"/>
      <c r="S7" s="7">
        <v>3</v>
      </c>
      <c r="T7" s="18" t="s">
        <v>36</v>
      </c>
      <c r="U7" s="18">
        <v>56</v>
      </c>
      <c r="V7" s="7">
        <f t="shared" si="0"/>
        <v>0</v>
      </c>
      <c r="W7" s="7">
        <f t="shared" si="1"/>
        <v>1</v>
      </c>
      <c r="Y7" s="7">
        <v>3</v>
      </c>
      <c r="Z7" s="5">
        <v>1</v>
      </c>
      <c r="AA7" s="7">
        <f t="shared" si="2"/>
        <v>1</v>
      </c>
      <c r="AB7" s="7">
        <f t="shared" si="3"/>
        <v>1</v>
      </c>
      <c r="AD7" s="7">
        <v>3</v>
      </c>
      <c r="AE7" s="18">
        <v>1</v>
      </c>
      <c r="AF7" s="7">
        <f t="shared" si="4"/>
        <v>1</v>
      </c>
      <c r="AG7" s="7">
        <f t="shared" si="5"/>
        <v>1</v>
      </c>
    </row>
    <row r="8" spans="1:68" x14ac:dyDescent="0.3">
      <c r="A8" s="18">
        <v>1</v>
      </c>
      <c r="B8" s="18">
        <v>52</v>
      </c>
      <c r="C8" s="24" t="s">
        <v>24</v>
      </c>
      <c r="D8" s="18">
        <v>125</v>
      </c>
      <c r="E8" s="18">
        <v>90</v>
      </c>
      <c r="F8" s="18">
        <v>78</v>
      </c>
      <c r="G8" s="18">
        <v>1.63</v>
      </c>
      <c r="H8" s="18">
        <v>62.7</v>
      </c>
      <c r="I8" s="4">
        <f>H8/(G8*G8)</f>
        <v>23.598931085099178</v>
      </c>
      <c r="J8" s="5" t="s">
        <v>25</v>
      </c>
      <c r="K8" s="18" t="s">
        <v>26</v>
      </c>
      <c r="L8" s="18" t="s">
        <v>27</v>
      </c>
      <c r="M8" s="18" t="s">
        <v>28</v>
      </c>
      <c r="N8" s="18" t="s">
        <v>25</v>
      </c>
      <c r="O8" s="18" t="s">
        <v>29</v>
      </c>
      <c r="P8" s="18" t="s">
        <v>30</v>
      </c>
      <c r="S8" s="7">
        <v>4</v>
      </c>
      <c r="T8" s="18" t="s">
        <v>36</v>
      </c>
      <c r="U8" s="18">
        <v>38</v>
      </c>
      <c r="V8" s="7">
        <f t="shared" si="0"/>
        <v>0.68</v>
      </c>
      <c r="W8" s="7">
        <f t="shared" si="1"/>
        <v>0.32</v>
      </c>
      <c r="Y8" s="7">
        <v>4</v>
      </c>
      <c r="Z8" s="5">
        <v>0</v>
      </c>
      <c r="AA8" s="7">
        <f t="shared" si="2"/>
        <v>0</v>
      </c>
      <c r="AB8" s="7">
        <f t="shared" si="3"/>
        <v>0</v>
      </c>
      <c r="AD8" s="7">
        <v>4</v>
      </c>
      <c r="AE8" s="18">
        <v>0</v>
      </c>
      <c r="AF8" s="7">
        <f t="shared" si="4"/>
        <v>0</v>
      </c>
      <c r="AG8" s="7">
        <f t="shared" si="5"/>
        <v>0</v>
      </c>
    </row>
    <row r="9" spans="1:68" x14ac:dyDescent="0.3">
      <c r="A9" s="18">
        <v>2</v>
      </c>
      <c r="B9" s="18">
        <v>66</v>
      </c>
      <c r="C9" s="24" t="s">
        <v>24</v>
      </c>
      <c r="D9" s="18">
        <v>194</v>
      </c>
      <c r="E9" s="18">
        <v>114</v>
      </c>
      <c r="F9" s="18">
        <v>98</v>
      </c>
      <c r="G9" s="18">
        <v>1.63</v>
      </c>
      <c r="H9" s="18">
        <v>72.2</v>
      </c>
      <c r="I9" s="4">
        <f t="shared" ref="I9:I22" si="6">H9/(G9*G9)</f>
        <v>27.174526704053598</v>
      </c>
      <c r="J9" s="5" t="s">
        <v>31</v>
      </c>
      <c r="K9" s="18" t="s">
        <v>26</v>
      </c>
      <c r="L9" s="18" t="s">
        <v>32</v>
      </c>
      <c r="M9" s="18" t="s">
        <v>33</v>
      </c>
      <c r="N9" s="18" t="s">
        <v>25</v>
      </c>
      <c r="O9" s="18" t="s">
        <v>34</v>
      </c>
      <c r="P9" s="18" t="s">
        <v>35</v>
      </c>
      <c r="S9" s="7">
        <v>5</v>
      </c>
      <c r="T9" s="18" t="s">
        <v>36</v>
      </c>
      <c r="U9" s="18">
        <v>36</v>
      </c>
      <c r="V9" s="7">
        <f t="shared" si="0"/>
        <v>0.76</v>
      </c>
      <c r="W9" s="7">
        <f t="shared" si="1"/>
        <v>0.24</v>
      </c>
      <c r="Y9" s="7">
        <v>5</v>
      </c>
      <c r="Z9" s="5">
        <v>0</v>
      </c>
      <c r="AA9" s="7">
        <f t="shared" si="2"/>
        <v>0</v>
      </c>
      <c r="AB9" s="7">
        <f t="shared" si="3"/>
        <v>0</v>
      </c>
      <c r="AD9" s="7">
        <v>5</v>
      </c>
      <c r="AE9" s="18">
        <v>1</v>
      </c>
      <c r="AF9" s="7">
        <f t="shared" si="4"/>
        <v>1</v>
      </c>
      <c r="AG9" s="7">
        <f t="shared" si="5"/>
        <v>1</v>
      </c>
    </row>
    <row r="10" spans="1:68" x14ac:dyDescent="0.3">
      <c r="A10" s="18">
        <v>3</v>
      </c>
      <c r="B10" s="18">
        <v>56</v>
      </c>
      <c r="C10" s="24" t="s">
        <v>24</v>
      </c>
      <c r="D10" s="18">
        <v>129</v>
      </c>
      <c r="E10" s="18">
        <v>80</v>
      </c>
      <c r="F10" s="18">
        <v>98</v>
      </c>
      <c r="G10" s="18">
        <v>1.51</v>
      </c>
      <c r="H10" s="18">
        <v>61.2</v>
      </c>
      <c r="I10" s="4">
        <f t="shared" si="6"/>
        <v>26.840928029472394</v>
      </c>
      <c r="J10" s="5" t="s">
        <v>25</v>
      </c>
      <c r="K10" s="18" t="s">
        <v>26</v>
      </c>
      <c r="L10" s="18" t="s">
        <v>27</v>
      </c>
      <c r="M10" s="18" t="s">
        <v>28</v>
      </c>
      <c r="N10" s="18" t="s">
        <v>25</v>
      </c>
      <c r="O10" s="18" t="s">
        <v>34</v>
      </c>
      <c r="P10" s="18" t="s">
        <v>36</v>
      </c>
      <c r="S10" s="7">
        <v>6</v>
      </c>
      <c r="T10" s="18" t="s">
        <v>30</v>
      </c>
      <c r="U10" s="18">
        <v>31</v>
      </c>
      <c r="V10" s="7">
        <f t="shared" si="0"/>
        <v>0.96</v>
      </c>
      <c r="W10" s="7">
        <f t="shared" si="1"/>
        <v>0.04</v>
      </c>
      <c r="Y10" s="7">
        <v>6</v>
      </c>
      <c r="Z10" s="18">
        <v>0</v>
      </c>
      <c r="AA10" s="7">
        <f t="shared" si="2"/>
        <v>0</v>
      </c>
      <c r="AB10" s="7">
        <f t="shared" si="3"/>
        <v>0</v>
      </c>
      <c r="AD10" s="7">
        <v>6</v>
      </c>
      <c r="AE10" s="18">
        <v>1</v>
      </c>
      <c r="AF10" s="7">
        <f t="shared" si="4"/>
        <v>1</v>
      </c>
      <c r="AG10" s="7">
        <f t="shared" si="5"/>
        <v>1</v>
      </c>
    </row>
    <row r="11" spans="1:68" ht="15.6" x14ac:dyDescent="0.3">
      <c r="A11" s="18">
        <v>32</v>
      </c>
      <c r="B11" s="18">
        <v>38</v>
      </c>
      <c r="C11" s="25" t="s">
        <v>37</v>
      </c>
      <c r="D11" s="18">
        <v>116</v>
      </c>
      <c r="E11" s="18">
        <v>87</v>
      </c>
      <c r="F11" s="18">
        <v>99</v>
      </c>
      <c r="G11" s="18">
        <v>1.512</v>
      </c>
      <c r="H11" s="18">
        <v>74.2</v>
      </c>
      <c r="I11" s="4">
        <f t="shared" si="6"/>
        <v>32.456398197138938</v>
      </c>
      <c r="J11" s="5" t="s">
        <v>31</v>
      </c>
      <c r="K11" s="18" t="s">
        <v>39</v>
      </c>
      <c r="L11" s="18" t="s">
        <v>32</v>
      </c>
      <c r="M11" s="18" t="s">
        <v>33</v>
      </c>
      <c r="N11" s="18" t="s">
        <v>25</v>
      </c>
      <c r="O11" s="18" t="s">
        <v>34</v>
      </c>
      <c r="P11" s="18" t="s">
        <v>36</v>
      </c>
      <c r="S11" s="7">
        <v>7</v>
      </c>
      <c r="T11" s="18" t="s">
        <v>35</v>
      </c>
      <c r="U11" s="18">
        <v>43</v>
      </c>
      <c r="V11" s="7">
        <f t="shared" si="0"/>
        <v>0.48</v>
      </c>
      <c r="W11" s="7">
        <f t="shared" si="1"/>
        <v>0.52</v>
      </c>
      <c r="Y11" s="7">
        <v>7</v>
      </c>
      <c r="Z11" s="18">
        <v>0</v>
      </c>
      <c r="AA11" s="7">
        <f t="shared" si="2"/>
        <v>0</v>
      </c>
      <c r="AB11" s="7">
        <f t="shared" si="3"/>
        <v>0</v>
      </c>
      <c r="AD11" s="7">
        <v>7</v>
      </c>
      <c r="AE11" s="18">
        <v>0</v>
      </c>
      <c r="AF11" s="7">
        <f t="shared" si="4"/>
        <v>0</v>
      </c>
      <c r="AG11" s="7">
        <f t="shared" si="5"/>
        <v>0</v>
      </c>
    </row>
    <row r="12" spans="1:68" ht="15.6" x14ac:dyDescent="0.3">
      <c r="A12" s="18">
        <v>34</v>
      </c>
      <c r="B12" s="18">
        <v>36</v>
      </c>
      <c r="C12" s="25" t="s">
        <v>37</v>
      </c>
      <c r="D12" s="18">
        <v>115</v>
      </c>
      <c r="E12" s="18">
        <v>83</v>
      </c>
      <c r="F12" s="18">
        <v>88</v>
      </c>
      <c r="G12" s="18">
        <v>1.46</v>
      </c>
      <c r="H12" s="18">
        <v>50.3</v>
      </c>
      <c r="I12" s="4">
        <f t="shared" si="6"/>
        <v>23.59729780446613</v>
      </c>
      <c r="J12" s="5" t="s">
        <v>31</v>
      </c>
      <c r="K12" s="18" t="s">
        <v>39</v>
      </c>
      <c r="L12" s="18" t="s">
        <v>27</v>
      </c>
      <c r="M12" s="18" t="s">
        <v>28</v>
      </c>
      <c r="N12" s="18" t="s">
        <v>25</v>
      </c>
      <c r="O12" s="18" t="s">
        <v>34</v>
      </c>
      <c r="P12" s="18" t="s">
        <v>36</v>
      </c>
      <c r="S12" s="7">
        <v>8</v>
      </c>
      <c r="T12" s="18" t="s">
        <v>35</v>
      </c>
      <c r="U12" s="18">
        <v>49</v>
      </c>
      <c r="V12" s="7">
        <f t="shared" si="0"/>
        <v>0.24</v>
      </c>
      <c r="W12" s="7">
        <f t="shared" si="1"/>
        <v>0.76</v>
      </c>
      <c r="Y12" s="7">
        <v>8</v>
      </c>
      <c r="Z12" s="18">
        <v>1</v>
      </c>
      <c r="AA12" s="7">
        <f t="shared" si="2"/>
        <v>1</v>
      </c>
      <c r="AB12" s="7">
        <f t="shared" si="3"/>
        <v>1</v>
      </c>
      <c r="AD12" s="7">
        <v>8</v>
      </c>
      <c r="AE12" s="18">
        <v>0</v>
      </c>
      <c r="AF12" s="7">
        <f t="shared" si="4"/>
        <v>0</v>
      </c>
      <c r="AG12" s="7">
        <f t="shared" si="5"/>
        <v>0</v>
      </c>
    </row>
    <row r="13" spans="1:68" ht="15.6" x14ac:dyDescent="0.3">
      <c r="A13" s="18">
        <v>38</v>
      </c>
      <c r="B13" s="18">
        <v>31</v>
      </c>
      <c r="C13" s="25" t="s">
        <v>37</v>
      </c>
      <c r="D13" s="18">
        <v>122</v>
      </c>
      <c r="E13" s="18">
        <v>83</v>
      </c>
      <c r="F13" s="18">
        <v>89</v>
      </c>
      <c r="G13" s="18">
        <v>1.4750000000000001</v>
      </c>
      <c r="H13" s="18">
        <v>68.099999999999994</v>
      </c>
      <c r="I13" s="4">
        <f t="shared" si="6"/>
        <v>31.301350186727948</v>
      </c>
      <c r="J13" s="18" t="s">
        <v>31</v>
      </c>
      <c r="K13" s="18" t="s">
        <v>39</v>
      </c>
      <c r="L13" s="18" t="s">
        <v>32</v>
      </c>
      <c r="M13" s="18" t="s">
        <v>28</v>
      </c>
      <c r="N13" s="18" t="s">
        <v>31</v>
      </c>
      <c r="O13" s="18" t="s">
        <v>29</v>
      </c>
      <c r="P13" s="18" t="s">
        <v>30</v>
      </c>
      <c r="S13" s="7">
        <v>9</v>
      </c>
      <c r="T13" s="18" t="s">
        <v>35</v>
      </c>
      <c r="U13" s="18">
        <v>27</v>
      </c>
      <c r="V13" s="7">
        <f t="shared" si="0"/>
        <v>1</v>
      </c>
      <c r="W13" s="7">
        <f t="shared" si="1"/>
        <v>0</v>
      </c>
      <c r="Y13" s="7">
        <v>9</v>
      </c>
      <c r="Z13" s="18">
        <v>1</v>
      </c>
      <c r="AA13" s="7">
        <f t="shared" si="2"/>
        <v>1</v>
      </c>
      <c r="AB13" s="7">
        <f t="shared" si="3"/>
        <v>1</v>
      </c>
      <c r="AD13" s="7">
        <v>9</v>
      </c>
      <c r="AE13" s="18">
        <v>0</v>
      </c>
      <c r="AF13" s="7">
        <f t="shared" si="4"/>
        <v>0</v>
      </c>
      <c r="AG13" s="7">
        <f t="shared" si="5"/>
        <v>0</v>
      </c>
    </row>
    <row r="14" spans="1:68" ht="15.6" x14ac:dyDescent="0.3">
      <c r="A14" s="18">
        <v>71</v>
      </c>
      <c r="B14" s="18">
        <v>43</v>
      </c>
      <c r="C14" s="26" t="s">
        <v>24</v>
      </c>
      <c r="D14" s="18">
        <v>130</v>
      </c>
      <c r="E14" s="18">
        <v>77</v>
      </c>
      <c r="F14" s="18">
        <v>89</v>
      </c>
      <c r="G14" s="18">
        <v>1.56</v>
      </c>
      <c r="H14" s="18">
        <v>63.6</v>
      </c>
      <c r="I14" s="4">
        <f t="shared" si="6"/>
        <v>26.134122287968442</v>
      </c>
      <c r="J14" s="18" t="s">
        <v>31</v>
      </c>
      <c r="K14" s="18" t="s">
        <v>39</v>
      </c>
      <c r="L14" s="18" t="s">
        <v>27</v>
      </c>
      <c r="M14" s="18" t="s">
        <v>33</v>
      </c>
      <c r="N14" s="18" t="s">
        <v>31</v>
      </c>
      <c r="O14" s="18" t="s">
        <v>38</v>
      </c>
      <c r="P14" s="18" t="s">
        <v>35</v>
      </c>
      <c r="S14" s="7">
        <v>10</v>
      </c>
      <c r="T14" s="18" t="s">
        <v>30</v>
      </c>
      <c r="U14" s="18">
        <v>80</v>
      </c>
      <c r="V14" s="7">
        <f t="shared" si="0"/>
        <v>0</v>
      </c>
      <c r="W14" s="7">
        <f t="shared" si="1"/>
        <v>1</v>
      </c>
      <c r="Y14" s="7">
        <v>10</v>
      </c>
      <c r="Z14" s="18">
        <v>0</v>
      </c>
      <c r="AA14" s="7">
        <f t="shared" si="2"/>
        <v>0</v>
      </c>
      <c r="AB14" s="7">
        <f t="shared" si="3"/>
        <v>0</v>
      </c>
      <c r="AD14" s="7">
        <v>10</v>
      </c>
      <c r="AE14" s="18">
        <v>1</v>
      </c>
      <c r="AF14" s="7">
        <f t="shared" si="4"/>
        <v>1</v>
      </c>
      <c r="AG14" s="7">
        <f t="shared" si="5"/>
        <v>1</v>
      </c>
      <c r="BH14" s="84"/>
      <c r="BK14" s="44"/>
      <c r="BL14" s="190"/>
      <c r="BM14" s="190"/>
      <c r="BN14" s="44"/>
      <c r="BO14" s="44"/>
      <c r="BP14" s="44"/>
    </row>
    <row r="15" spans="1:68" ht="15.6" x14ac:dyDescent="0.3">
      <c r="A15" s="18">
        <v>74</v>
      </c>
      <c r="B15" s="18">
        <v>49</v>
      </c>
      <c r="C15" s="26" t="s">
        <v>24</v>
      </c>
      <c r="D15" s="18">
        <v>176</v>
      </c>
      <c r="E15" s="18">
        <v>114</v>
      </c>
      <c r="F15" s="18">
        <v>91</v>
      </c>
      <c r="G15" s="18">
        <v>1.536</v>
      </c>
      <c r="H15" s="18">
        <v>62.3</v>
      </c>
      <c r="I15" s="4">
        <f t="shared" si="6"/>
        <v>26.406182183159721</v>
      </c>
      <c r="J15" s="18" t="s">
        <v>25</v>
      </c>
      <c r="K15" s="18" t="s">
        <v>39</v>
      </c>
      <c r="L15" s="18" t="s">
        <v>27</v>
      </c>
      <c r="M15" s="18" t="s">
        <v>33</v>
      </c>
      <c r="N15" s="18" t="s">
        <v>25</v>
      </c>
      <c r="O15" s="18" t="s">
        <v>38</v>
      </c>
      <c r="P15" s="18" t="s">
        <v>35</v>
      </c>
      <c r="S15" s="7">
        <v>11</v>
      </c>
      <c r="T15" s="18" t="s">
        <v>30</v>
      </c>
      <c r="U15" s="18">
        <v>35</v>
      </c>
      <c r="V15" s="7">
        <f t="shared" si="0"/>
        <v>0.8</v>
      </c>
      <c r="W15" s="7">
        <f t="shared" si="1"/>
        <v>0.2</v>
      </c>
      <c r="Y15" s="7">
        <v>11</v>
      </c>
      <c r="Z15" s="18">
        <v>1</v>
      </c>
      <c r="AA15" s="7">
        <f t="shared" si="2"/>
        <v>1</v>
      </c>
      <c r="AB15" s="7">
        <f t="shared" si="3"/>
        <v>1</v>
      </c>
      <c r="AD15" s="7">
        <v>11</v>
      </c>
      <c r="AE15" s="18">
        <v>1</v>
      </c>
      <c r="AF15" s="7">
        <f t="shared" si="4"/>
        <v>1</v>
      </c>
      <c r="AG15" s="7">
        <f t="shared" si="5"/>
        <v>1</v>
      </c>
      <c r="AL15" s="126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K15" s="44"/>
      <c r="BL15" s="190"/>
      <c r="BM15" s="190"/>
      <c r="BN15" s="44"/>
      <c r="BO15" s="190"/>
      <c r="BP15" s="190"/>
    </row>
    <row r="16" spans="1:68" ht="15.6" x14ac:dyDescent="0.3">
      <c r="A16" s="18">
        <v>62</v>
      </c>
      <c r="B16" s="18">
        <v>27</v>
      </c>
      <c r="C16" s="25" t="s">
        <v>37</v>
      </c>
      <c r="D16" s="18">
        <v>143</v>
      </c>
      <c r="E16" s="18">
        <v>107</v>
      </c>
      <c r="F16" s="18">
        <v>106</v>
      </c>
      <c r="G16" s="18">
        <v>1.44</v>
      </c>
      <c r="H16" s="18">
        <v>76.5</v>
      </c>
      <c r="I16" s="4">
        <f t="shared" si="6"/>
        <v>36.892361111111114</v>
      </c>
      <c r="J16" s="18" t="s">
        <v>25</v>
      </c>
      <c r="K16" s="18" t="s">
        <v>26</v>
      </c>
      <c r="L16" s="18" t="s">
        <v>32</v>
      </c>
      <c r="M16" s="18" t="s">
        <v>33</v>
      </c>
      <c r="N16" s="18" t="s">
        <v>31</v>
      </c>
      <c r="O16" s="18" t="s">
        <v>34</v>
      </c>
      <c r="P16" s="18" t="s">
        <v>35</v>
      </c>
      <c r="S16" s="7">
        <v>12</v>
      </c>
      <c r="T16" s="18" t="s">
        <v>30</v>
      </c>
      <c r="U16" s="18">
        <v>36</v>
      </c>
      <c r="V16" s="7">
        <f t="shared" si="0"/>
        <v>0.76</v>
      </c>
      <c r="W16" s="7">
        <f t="shared" si="1"/>
        <v>0.24</v>
      </c>
      <c r="Y16" s="7">
        <v>12</v>
      </c>
      <c r="Z16" s="18">
        <v>0</v>
      </c>
      <c r="AA16" s="7">
        <f t="shared" si="2"/>
        <v>0</v>
      </c>
      <c r="AB16" s="7">
        <f t="shared" si="3"/>
        <v>0</v>
      </c>
      <c r="AD16" s="7">
        <v>12</v>
      </c>
      <c r="AE16" s="18">
        <v>1</v>
      </c>
      <c r="AF16" s="7">
        <f t="shared" si="4"/>
        <v>1</v>
      </c>
      <c r="AG16" s="7">
        <f t="shared" si="5"/>
        <v>1</v>
      </c>
      <c r="AL16" s="44"/>
      <c r="AM16" s="126"/>
      <c r="AN16" s="126"/>
      <c r="AO16" s="44"/>
      <c r="AP16" s="44"/>
      <c r="AQ16" s="44"/>
      <c r="AR16" s="44"/>
      <c r="AS16" s="126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94"/>
      <c r="BE16" s="44"/>
      <c r="BF16" s="44"/>
      <c r="BK16" s="44"/>
      <c r="BL16" s="190"/>
      <c r="BM16" s="190"/>
      <c r="BN16" s="44"/>
      <c r="BO16" s="44"/>
      <c r="BP16" s="44"/>
    </row>
    <row r="17" spans="1:73" ht="15.6" x14ac:dyDescent="0.3">
      <c r="A17" s="18">
        <v>54</v>
      </c>
      <c r="B17" s="18">
        <v>80</v>
      </c>
      <c r="C17" s="26" t="s">
        <v>24</v>
      </c>
      <c r="D17" s="18">
        <v>167</v>
      </c>
      <c r="E17" s="18">
        <v>89</v>
      </c>
      <c r="F17" s="18">
        <v>78</v>
      </c>
      <c r="G17" s="18">
        <v>1.55</v>
      </c>
      <c r="H17" s="18">
        <v>50.2</v>
      </c>
      <c r="I17" s="4">
        <f t="shared" si="6"/>
        <v>20.894901144640997</v>
      </c>
      <c r="J17" s="18" t="s">
        <v>31</v>
      </c>
      <c r="K17" s="18" t="s">
        <v>26</v>
      </c>
      <c r="L17" s="18" t="s">
        <v>27</v>
      </c>
      <c r="M17" s="18" t="s">
        <v>28</v>
      </c>
      <c r="N17" s="18" t="s">
        <v>31</v>
      </c>
      <c r="O17" s="18" t="s">
        <v>29</v>
      </c>
      <c r="P17" s="18" t="s">
        <v>30</v>
      </c>
      <c r="S17" s="7">
        <v>13</v>
      </c>
      <c r="T17" s="18" t="s">
        <v>35</v>
      </c>
      <c r="U17" s="18">
        <v>66</v>
      </c>
      <c r="V17" s="7">
        <f t="shared" si="0"/>
        <v>0</v>
      </c>
      <c r="W17" s="7">
        <f t="shared" si="1"/>
        <v>1</v>
      </c>
      <c r="Y17" s="7">
        <v>13</v>
      </c>
      <c r="Z17" s="5">
        <v>0</v>
      </c>
      <c r="AA17" s="7">
        <f t="shared" si="2"/>
        <v>0</v>
      </c>
      <c r="AB17" s="7">
        <f t="shared" si="3"/>
        <v>0</v>
      </c>
      <c r="AD17" s="7">
        <v>13</v>
      </c>
      <c r="AE17" s="18">
        <v>1</v>
      </c>
      <c r="AF17" s="7">
        <f t="shared" si="4"/>
        <v>1</v>
      </c>
      <c r="AG17" s="7">
        <f t="shared" si="5"/>
        <v>1</v>
      </c>
      <c r="BK17" s="44"/>
      <c r="BL17" s="190"/>
      <c r="BM17" s="190"/>
      <c r="BN17" s="44"/>
      <c r="BO17" s="44"/>
      <c r="BP17" s="44"/>
    </row>
    <row r="18" spans="1:73" ht="15.6" x14ac:dyDescent="0.3">
      <c r="A18" s="18">
        <v>41</v>
      </c>
      <c r="B18" s="18">
        <v>35</v>
      </c>
      <c r="C18" s="26" t="s">
        <v>24</v>
      </c>
      <c r="D18" s="18">
        <v>123</v>
      </c>
      <c r="E18" s="18">
        <v>86</v>
      </c>
      <c r="F18" s="18">
        <v>71</v>
      </c>
      <c r="G18" s="18">
        <v>1.615</v>
      </c>
      <c r="H18" s="18">
        <v>50.7</v>
      </c>
      <c r="I18" s="4">
        <f t="shared" si="6"/>
        <v>19.438507030643446</v>
      </c>
      <c r="J18" s="18" t="s">
        <v>25</v>
      </c>
      <c r="K18" s="18" t="s">
        <v>39</v>
      </c>
      <c r="L18" s="18" t="s">
        <v>27</v>
      </c>
      <c r="M18" s="18" t="s">
        <v>28</v>
      </c>
      <c r="N18" s="18" t="s">
        <v>25</v>
      </c>
      <c r="O18" s="18" t="s">
        <v>34</v>
      </c>
      <c r="P18" s="18" t="s">
        <v>30</v>
      </c>
      <c r="S18" s="7">
        <v>14</v>
      </c>
      <c r="T18" s="18" t="s">
        <v>36</v>
      </c>
      <c r="U18" s="18">
        <v>54</v>
      </c>
      <c r="V18" s="7">
        <f t="shared" si="0"/>
        <v>0.04</v>
      </c>
      <c r="W18" s="7">
        <f t="shared" si="1"/>
        <v>0.96</v>
      </c>
      <c r="Y18" s="7">
        <v>14</v>
      </c>
      <c r="Z18" s="5">
        <v>0</v>
      </c>
      <c r="AA18" s="7">
        <f t="shared" si="2"/>
        <v>0</v>
      </c>
      <c r="AB18" s="7">
        <f t="shared" si="3"/>
        <v>0</v>
      </c>
      <c r="AD18" s="7">
        <v>14</v>
      </c>
      <c r="AE18" s="18">
        <v>1</v>
      </c>
      <c r="AF18" s="7">
        <f t="shared" si="4"/>
        <v>1</v>
      </c>
      <c r="AG18" s="7">
        <f t="shared" si="5"/>
        <v>1</v>
      </c>
      <c r="BK18" s="44"/>
      <c r="BL18" s="190"/>
      <c r="BM18" s="190"/>
      <c r="BN18" s="44"/>
      <c r="BO18" s="44"/>
      <c r="BP18" s="44"/>
    </row>
    <row r="19" spans="1:73" ht="15.6" x14ac:dyDescent="0.3">
      <c r="A19" s="18">
        <v>42</v>
      </c>
      <c r="B19" s="18">
        <v>36</v>
      </c>
      <c r="C19" s="25" t="s">
        <v>37</v>
      </c>
      <c r="D19" s="18">
        <v>127</v>
      </c>
      <c r="E19" s="18">
        <v>98</v>
      </c>
      <c r="F19" s="18">
        <v>101</v>
      </c>
      <c r="G19" s="18">
        <v>1.6</v>
      </c>
      <c r="H19" s="18">
        <v>75.400000000000006</v>
      </c>
      <c r="I19" s="4">
        <f t="shared" si="6"/>
        <v>29.453124999999996</v>
      </c>
      <c r="J19" s="18" t="s">
        <v>31</v>
      </c>
      <c r="K19" s="18" t="s">
        <v>39</v>
      </c>
      <c r="L19" s="18" t="s">
        <v>27</v>
      </c>
      <c r="M19" s="18" t="s">
        <v>28</v>
      </c>
      <c r="N19" s="18" t="s">
        <v>31</v>
      </c>
      <c r="O19" s="18" t="s">
        <v>34</v>
      </c>
      <c r="P19" s="18" t="s">
        <v>30</v>
      </c>
      <c r="S19" s="7">
        <v>15</v>
      </c>
      <c r="T19" s="18" t="s">
        <v>36</v>
      </c>
      <c r="U19" s="19">
        <v>22</v>
      </c>
      <c r="V19" s="22">
        <f t="shared" si="0"/>
        <v>1</v>
      </c>
      <c r="W19" s="7">
        <f t="shared" si="1"/>
        <v>0</v>
      </c>
      <c r="Y19" s="22">
        <v>15</v>
      </c>
      <c r="Z19" s="18">
        <v>0</v>
      </c>
      <c r="AA19" s="22">
        <f t="shared" si="2"/>
        <v>0</v>
      </c>
      <c r="AB19" s="22">
        <f t="shared" si="3"/>
        <v>0</v>
      </c>
      <c r="AD19" s="22">
        <v>15</v>
      </c>
      <c r="AE19" s="19">
        <v>1</v>
      </c>
      <c r="AF19" s="22">
        <f t="shared" si="4"/>
        <v>1</v>
      </c>
      <c r="AG19" s="22">
        <f t="shared" si="5"/>
        <v>1</v>
      </c>
      <c r="BA19" t="s">
        <v>224</v>
      </c>
      <c r="BK19" s="44"/>
      <c r="BL19" s="190"/>
      <c r="BM19" s="190"/>
      <c r="BN19" s="44"/>
      <c r="BO19" s="44"/>
      <c r="BP19" s="44"/>
    </row>
    <row r="20" spans="1:73" x14ac:dyDescent="0.3">
      <c r="A20" s="18">
        <v>16</v>
      </c>
      <c r="B20" s="18">
        <v>66</v>
      </c>
      <c r="C20" s="18" t="s">
        <v>37</v>
      </c>
      <c r="D20" s="18">
        <v>187</v>
      </c>
      <c r="E20" s="18">
        <v>108</v>
      </c>
      <c r="F20" s="18">
        <v>88</v>
      </c>
      <c r="G20" s="18">
        <v>1.47</v>
      </c>
      <c r="H20" s="18">
        <v>43.6</v>
      </c>
      <c r="I20" s="4">
        <f t="shared" si="6"/>
        <v>20.176778194270909</v>
      </c>
      <c r="J20" s="5" t="s">
        <v>31</v>
      </c>
      <c r="K20" s="18" t="s">
        <v>26</v>
      </c>
      <c r="L20" s="18" t="s">
        <v>27</v>
      </c>
      <c r="M20" s="18" t="s">
        <v>28</v>
      </c>
      <c r="N20" s="18" t="s">
        <v>25</v>
      </c>
      <c r="O20" s="18" t="s">
        <v>38</v>
      </c>
      <c r="P20" s="18" t="s">
        <v>35</v>
      </c>
      <c r="T20" s="9"/>
      <c r="U20" s="18" t="s">
        <v>64</v>
      </c>
      <c r="V20" s="7">
        <f>SUM(V5:V19)</f>
        <v>6.84</v>
      </c>
      <c r="W20" s="7">
        <f>SUM(W5:W19)</f>
        <v>8.16</v>
      </c>
      <c r="Y20" s="16"/>
      <c r="Z20" s="16"/>
      <c r="AA20" s="16">
        <f>SUM(AA5:AA19)</f>
        <v>5</v>
      </c>
      <c r="AB20" s="16">
        <f>SUM(AB5:AB19)</f>
        <v>5</v>
      </c>
      <c r="AD20" s="16"/>
      <c r="AE20" s="23"/>
      <c r="AF20" s="16"/>
      <c r="AG20" s="16"/>
      <c r="AK20" s="45" t="s">
        <v>46</v>
      </c>
      <c r="AL20" s="191" t="s">
        <v>4</v>
      </c>
      <c r="AM20" s="191"/>
      <c r="AN20" s="191" t="s">
        <v>10</v>
      </c>
      <c r="AO20" s="191"/>
      <c r="AP20" s="191" t="s">
        <v>214</v>
      </c>
      <c r="AQ20" s="191"/>
      <c r="AR20" s="191" t="s">
        <v>215</v>
      </c>
      <c r="AS20" s="191"/>
      <c r="AT20" s="191"/>
      <c r="AU20" s="182" t="s">
        <v>66</v>
      </c>
      <c r="AV20" s="182"/>
      <c r="AW20" s="182"/>
      <c r="AX20" s="183"/>
      <c r="BA20" s="121" t="s">
        <v>220</v>
      </c>
      <c r="BB20" s="121" t="s">
        <v>215</v>
      </c>
      <c r="BC20" s="121" t="s">
        <v>214</v>
      </c>
      <c r="BD20" s="121" t="s">
        <v>4</v>
      </c>
      <c r="BE20" s="121" t="s">
        <v>10</v>
      </c>
      <c r="BF20" s="121" t="s">
        <v>66</v>
      </c>
      <c r="BG20" s="45" t="s">
        <v>222</v>
      </c>
      <c r="BI20" s="189" t="s">
        <v>225</v>
      </c>
      <c r="BJ20" s="189"/>
      <c r="BK20" s="44"/>
      <c r="BL20" s="119" t="s">
        <v>238</v>
      </c>
      <c r="BM20" s="119"/>
      <c r="BN20" s="119"/>
      <c r="BO20" s="119"/>
      <c r="BP20" s="119"/>
      <c r="BQ20" s="119"/>
      <c r="BR20" s="119"/>
    </row>
    <row r="21" spans="1:73" ht="14.4" customHeight="1" x14ac:dyDescent="0.3">
      <c r="A21" s="18">
        <v>22</v>
      </c>
      <c r="B21" s="18">
        <v>54</v>
      </c>
      <c r="C21" s="24" t="s">
        <v>24</v>
      </c>
      <c r="D21" s="18">
        <v>105</v>
      </c>
      <c r="E21" s="18">
        <v>67</v>
      </c>
      <c r="F21" s="18">
        <v>79</v>
      </c>
      <c r="G21" s="18">
        <v>1.58</v>
      </c>
      <c r="H21" s="18">
        <v>58.6</v>
      </c>
      <c r="I21" s="4">
        <f t="shared" si="6"/>
        <v>23.473802275276395</v>
      </c>
      <c r="J21" s="5" t="s">
        <v>31</v>
      </c>
      <c r="K21" s="18" t="s">
        <v>26</v>
      </c>
      <c r="L21" s="18" t="s">
        <v>27</v>
      </c>
      <c r="M21" s="18" t="s">
        <v>28</v>
      </c>
      <c r="N21" s="18" t="s">
        <v>25</v>
      </c>
      <c r="O21" s="18" t="s">
        <v>29</v>
      </c>
      <c r="P21" s="18" t="s">
        <v>36</v>
      </c>
      <c r="T21" s="9"/>
      <c r="U21" s="20"/>
      <c r="V21" s="9"/>
      <c r="W21" s="9"/>
      <c r="Y21" s="9"/>
      <c r="Z21" s="9"/>
      <c r="AA21" s="9"/>
      <c r="AB21" s="9"/>
      <c r="AD21" s="9"/>
      <c r="AE21" s="20"/>
      <c r="AF21" s="9"/>
      <c r="AG21" s="9"/>
      <c r="AK21" s="45">
        <v>1</v>
      </c>
      <c r="AL21" s="45">
        <v>0.12</v>
      </c>
      <c r="AM21" s="45">
        <v>0.88</v>
      </c>
      <c r="AN21" s="45">
        <v>0</v>
      </c>
      <c r="AO21" s="45">
        <v>1</v>
      </c>
      <c r="AP21" s="45">
        <v>0.13333333333333333</v>
      </c>
      <c r="AQ21" s="45">
        <v>0.8666666666666667</v>
      </c>
      <c r="AR21" s="45">
        <v>0</v>
      </c>
      <c r="AS21" s="45">
        <v>0.875</v>
      </c>
      <c r="AT21" s="45">
        <v>0.125</v>
      </c>
      <c r="AU21" s="17">
        <v>25</v>
      </c>
      <c r="AV21" s="22">
        <v>35</v>
      </c>
      <c r="AW21" s="22">
        <v>55</v>
      </c>
      <c r="AX21" s="22">
        <v>60</v>
      </c>
      <c r="BA21" s="122">
        <v>1</v>
      </c>
      <c r="BB21" s="122">
        <v>0</v>
      </c>
      <c r="BC21" s="122" t="s">
        <v>221</v>
      </c>
      <c r="BD21" s="122" t="s">
        <v>221</v>
      </c>
      <c r="BE21" s="122" t="s">
        <v>221</v>
      </c>
      <c r="BF21" s="122">
        <v>1</v>
      </c>
      <c r="BG21" s="122">
        <f>MIN(BB21:BF21)</f>
        <v>0</v>
      </c>
      <c r="BI21" s="121" t="s">
        <v>226</v>
      </c>
      <c r="BJ21" s="121">
        <f>(35-25)*(0.875)+25</f>
        <v>33.75</v>
      </c>
      <c r="BK21" s="44"/>
      <c r="BL21" s="121" t="s">
        <v>220</v>
      </c>
      <c r="BM21" s="121" t="s">
        <v>215</v>
      </c>
      <c r="BN21" s="121" t="s">
        <v>214</v>
      </c>
      <c r="BO21" s="121" t="s">
        <v>4</v>
      </c>
      <c r="BP21" s="121" t="s">
        <v>10</v>
      </c>
      <c r="BQ21" s="121" t="s">
        <v>66</v>
      </c>
      <c r="BR21" s="45" t="s">
        <v>222</v>
      </c>
      <c r="BT21" s="189" t="s">
        <v>225</v>
      </c>
      <c r="BU21" s="189"/>
    </row>
    <row r="22" spans="1:73" ht="15.6" x14ac:dyDescent="0.3">
      <c r="A22" s="18">
        <v>57</v>
      </c>
      <c r="B22" s="18">
        <v>22</v>
      </c>
      <c r="C22" s="25" t="s">
        <v>37</v>
      </c>
      <c r="D22" s="18">
        <v>133</v>
      </c>
      <c r="E22" s="18">
        <v>89</v>
      </c>
      <c r="F22" s="18">
        <v>70</v>
      </c>
      <c r="G22" s="18">
        <v>1.49</v>
      </c>
      <c r="H22" s="18">
        <v>41.6</v>
      </c>
      <c r="I22" s="4">
        <f t="shared" si="6"/>
        <v>18.737894689428405</v>
      </c>
      <c r="J22" s="18" t="s">
        <v>31</v>
      </c>
      <c r="K22" s="18" t="s">
        <v>26</v>
      </c>
      <c r="L22" s="18" t="s">
        <v>27</v>
      </c>
      <c r="M22" s="18" t="s">
        <v>28</v>
      </c>
      <c r="N22" s="18" t="s">
        <v>25</v>
      </c>
      <c r="O22" s="18" t="s">
        <v>34</v>
      </c>
      <c r="P22" s="18" t="s">
        <v>36</v>
      </c>
      <c r="T22" s="9"/>
      <c r="U22" s="20"/>
      <c r="V22" s="9"/>
      <c r="W22" s="9"/>
      <c r="Y22" s="9"/>
      <c r="Z22" s="9"/>
      <c r="AA22" s="9"/>
      <c r="AB22" s="9"/>
      <c r="AD22" s="9"/>
      <c r="AE22" s="20"/>
      <c r="AF22" s="9"/>
      <c r="AG22" s="9"/>
      <c r="AK22" s="45">
        <v>2</v>
      </c>
      <c r="AL22" s="45">
        <v>0</v>
      </c>
      <c r="AM22" s="45">
        <v>1</v>
      </c>
      <c r="AN22" s="45">
        <v>0</v>
      </c>
      <c r="AO22" s="45">
        <v>1</v>
      </c>
      <c r="AP22" s="45">
        <v>0</v>
      </c>
      <c r="AQ22" s="45">
        <v>1</v>
      </c>
      <c r="AR22" s="45">
        <v>0</v>
      </c>
      <c r="AS22" s="45">
        <v>0</v>
      </c>
      <c r="AT22" s="45">
        <v>1</v>
      </c>
      <c r="AU22" s="124"/>
      <c r="AV22" s="124"/>
      <c r="AW22" s="124"/>
      <c r="AX22" s="124"/>
      <c r="BA22" s="122">
        <v>2</v>
      </c>
      <c r="BB22" s="122">
        <v>0.875</v>
      </c>
      <c r="BC22" s="122">
        <v>0.13333333333333333</v>
      </c>
      <c r="BD22" s="122">
        <v>0.12</v>
      </c>
      <c r="BE22" s="122">
        <v>0</v>
      </c>
      <c r="BF22" s="45">
        <v>1</v>
      </c>
      <c r="BG22" s="122">
        <f t="shared" ref="BG22:BG28" si="7">MIN(BB22:BF22)</f>
        <v>0</v>
      </c>
      <c r="BI22" s="121" t="s">
        <v>227</v>
      </c>
      <c r="BJ22" s="121">
        <v>55</v>
      </c>
      <c r="BK22" s="44"/>
      <c r="BL22" s="122">
        <v>1</v>
      </c>
      <c r="BM22" s="122">
        <v>0</v>
      </c>
      <c r="BN22" s="122" t="s">
        <v>221</v>
      </c>
      <c r="BO22" s="122" t="s">
        <v>221</v>
      </c>
      <c r="BP22" s="122" t="s">
        <v>221</v>
      </c>
      <c r="BQ22" s="122">
        <v>1</v>
      </c>
      <c r="BR22" s="122">
        <f>MIN(BM22:BQ22)</f>
        <v>0</v>
      </c>
      <c r="BT22" s="121" t="s">
        <v>226</v>
      </c>
      <c r="BU22" s="121">
        <f>(35-25)*(BR30)+25</f>
        <v>35</v>
      </c>
    </row>
    <row r="23" spans="1:73" x14ac:dyDescent="0.3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T23" s="9"/>
      <c r="U23" s="20"/>
      <c r="V23" s="9"/>
      <c r="W23" s="9"/>
      <c r="Y23" s="9"/>
      <c r="Z23" s="9"/>
      <c r="AA23" s="9"/>
      <c r="AB23" s="9"/>
      <c r="AD23" s="9"/>
      <c r="AE23" s="20"/>
      <c r="AF23" s="9"/>
      <c r="AG23" s="9"/>
      <c r="AK23" s="45">
        <v>3</v>
      </c>
      <c r="AL23" s="45">
        <v>0</v>
      </c>
      <c r="AM23" s="45">
        <v>1</v>
      </c>
      <c r="AN23" s="45">
        <v>0</v>
      </c>
      <c r="AO23" s="45">
        <v>1</v>
      </c>
      <c r="AP23" s="45">
        <v>0</v>
      </c>
      <c r="AQ23" s="45">
        <v>1</v>
      </c>
      <c r="AR23" s="45">
        <v>0.05</v>
      </c>
      <c r="AS23" s="45">
        <v>0.95</v>
      </c>
      <c r="AT23" s="45">
        <v>0</v>
      </c>
      <c r="AU23" s="124"/>
      <c r="AV23" s="124"/>
      <c r="AW23" s="124"/>
      <c r="AX23" s="124"/>
      <c r="BA23" s="122">
        <v>3</v>
      </c>
      <c r="BB23" s="122">
        <v>0.875</v>
      </c>
      <c r="BC23" s="122">
        <v>0.13333333333333333</v>
      </c>
      <c r="BD23" s="122">
        <v>0.12</v>
      </c>
      <c r="BE23" s="45">
        <v>1</v>
      </c>
      <c r="BF23" s="45">
        <v>2</v>
      </c>
      <c r="BG23" s="122">
        <f t="shared" si="7"/>
        <v>0.12</v>
      </c>
      <c r="BK23" s="44"/>
      <c r="BL23" s="122">
        <v>2</v>
      </c>
      <c r="BM23" s="122">
        <v>0</v>
      </c>
      <c r="BN23" s="122">
        <v>0</v>
      </c>
      <c r="BO23" s="122">
        <v>1</v>
      </c>
      <c r="BP23" s="122">
        <v>0</v>
      </c>
      <c r="BQ23" s="45">
        <v>1</v>
      </c>
      <c r="BR23" s="122">
        <f>MIN(BM23:BQ23)</f>
        <v>0</v>
      </c>
      <c r="BT23" s="121" t="s">
        <v>227</v>
      </c>
      <c r="BU23" s="121">
        <v>55</v>
      </c>
    </row>
    <row r="24" spans="1:73" x14ac:dyDescent="0.3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T24" s="9"/>
      <c r="U24" s="20"/>
      <c r="V24" s="9"/>
      <c r="W24" s="9"/>
      <c r="Y24" s="9"/>
      <c r="Z24" s="9"/>
      <c r="AA24" s="9"/>
      <c r="AB24" s="9"/>
      <c r="AD24" s="9"/>
      <c r="AE24" s="20"/>
      <c r="AF24" s="9"/>
      <c r="AG24" s="9"/>
      <c r="AK24" s="45">
        <v>4</v>
      </c>
      <c r="AL24" s="45">
        <v>0.68</v>
      </c>
      <c r="AM24" s="45">
        <v>0.32</v>
      </c>
      <c r="AN24" s="45">
        <v>0</v>
      </c>
      <c r="AO24" s="45">
        <v>1</v>
      </c>
      <c r="AP24" s="45">
        <v>0</v>
      </c>
      <c r="AQ24" s="45">
        <v>1</v>
      </c>
      <c r="AR24" s="45">
        <v>0.35</v>
      </c>
      <c r="AS24" s="45">
        <v>0.65</v>
      </c>
      <c r="AT24" s="45">
        <v>0</v>
      </c>
      <c r="AU24" s="124"/>
      <c r="AV24" s="124"/>
      <c r="AW24" s="124"/>
      <c r="AX24" s="124"/>
      <c r="BA24" s="122">
        <v>4</v>
      </c>
      <c r="BB24" s="122">
        <v>0.875</v>
      </c>
      <c r="BC24" s="122">
        <v>0.13333333333333333</v>
      </c>
      <c r="BD24" s="122">
        <v>0.88</v>
      </c>
      <c r="BE24" s="122" t="s">
        <v>221</v>
      </c>
      <c r="BF24" s="45">
        <v>2</v>
      </c>
      <c r="BG24" s="122">
        <f t="shared" si="7"/>
        <v>0.13333333333333333</v>
      </c>
      <c r="BI24" s="181" t="s">
        <v>228</v>
      </c>
      <c r="BJ24" s="183"/>
      <c r="BK24" s="44"/>
      <c r="BL24" s="122">
        <v>3</v>
      </c>
      <c r="BM24" s="122">
        <v>0</v>
      </c>
      <c r="BN24" s="122">
        <v>0</v>
      </c>
      <c r="BO24" s="122">
        <v>1</v>
      </c>
      <c r="BP24" s="45">
        <v>1</v>
      </c>
      <c r="BQ24" s="45">
        <v>2</v>
      </c>
      <c r="BR24" s="122">
        <f t="shared" ref="BR24:BR29" si="8">MIN(BM24:BQ24)</f>
        <v>0</v>
      </c>
      <c r="BT24" s="119"/>
      <c r="BU24" s="119"/>
    </row>
    <row r="25" spans="1:73" x14ac:dyDescent="0.3">
      <c r="AK25" s="45">
        <v>5</v>
      </c>
      <c r="AL25" s="45">
        <v>0.76</v>
      </c>
      <c r="AM25" s="45">
        <v>0.24</v>
      </c>
      <c r="AN25" s="45">
        <v>0</v>
      </c>
      <c r="AO25" s="45">
        <v>1</v>
      </c>
      <c r="AP25" s="45">
        <v>0</v>
      </c>
      <c r="AQ25" s="45">
        <v>1</v>
      </c>
      <c r="AR25" s="45">
        <v>0.6</v>
      </c>
      <c r="AS25" s="45">
        <v>0.4</v>
      </c>
      <c r="AT25" s="45">
        <v>0</v>
      </c>
      <c r="AU25" s="124"/>
      <c r="AV25" s="124"/>
      <c r="AW25" s="124"/>
      <c r="AX25" s="124"/>
      <c r="BA25" s="122">
        <v>5</v>
      </c>
      <c r="BB25" s="122">
        <v>0.875</v>
      </c>
      <c r="BC25" s="122" t="s">
        <v>221</v>
      </c>
      <c r="BD25" s="122" t="s">
        <v>221</v>
      </c>
      <c r="BE25" s="122">
        <v>0</v>
      </c>
      <c r="BF25" s="45">
        <v>1</v>
      </c>
      <c r="BG25" s="122">
        <f t="shared" si="7"/>
        <v>0</v>
      </c>
      <c r="BI25" s="181">
        <f>(33.75 + 55)*(0.875)/(2*0.875)</f>
        <v>44.375</v>
      </c>
      <c r="BJ25" s="183"/>
      <c r="BK25" s="44"/>
      <c r="BL25" s="122">
        <v>4</v>
      </c>
      <c r="BM25" s="122">
        <v>0</v>
      </c>
      <c r="BN25" s="122">
        <v>0</v>
      </c>
      <c r="BO25" s="122">
        <v>0</v>
      </c>
      <c r="BP25" s="122" t="s">
        <v>221</v>
      </c>
      <c r="BQ25" s="45">
        <v>2</v>
      </c>
      <c r="BR25" s="122">
        <f t="shared" si="8"/>
        <v>0</v>
      </c>
      <c r="BT25" s="181" t="s">
        <v>228</v>
      </c>
      <c r="BU25" s="183"/>
    </row>
    <row r="26" spans="1:73" x14ac:dyDescent="0.3">
      <c r="A26" s="84"/>
      <c r="B26" s="84" t="s">
        <v>68</v>
      </c>
      <c r="C26" s="84"/>
      <c r="D26" s="84"/>
      <c r="E26" s="181" t="s">
        <v>63</v>
      </c>
      <c r="F26" s="182"/>
      <c r="G26" s="183"/>
      <c r="H26" s="181">
        <f>-((5/15)*LOG((5/15),2))-((5/15)*LOG((5/15),2))-((5/15)*LOG((5/15),2))</f>
        <v>1.5849625007211561</v>
      </c>
      <c r="I26" s="182"/>
      <c r="J26" s="183"/>
      <c r="K26" s="84"/>
      <c r="L26" s="84"/>
      <c r="M26" s="84"/>
      <c r="N26" s="84"/>
      <c r="O26" s="84" t="s">
        <v>44</v>
      </c>
      <c r="P26" s="84" t="s">
        <v>60</v>
      </c>
      <c r="Q26" t="s">
        <v>61</v>
      </c>
      <c r="AK26" s="45">
        <v>6</v>
      </c>
      <c r="AL26" s="45">
        <v>0.96</v>
      </c>
      <c r="AM26" s="45">
        <v>0.04</v>
      </c>
      <c r="AN26" s="45">
        <v>0</v>
      </c>
      <c r="AO26" s="45">
        <v>1</v>
      </c>
      <c r="AP26" s="45">
        <v>0</v>
      </c>
      <c r="AQ26" s="45">
        <v>1</v>
      </c>
      <c r="AR26" s="45">
        <v>0.25</v>
      </c>
      <c r="AS26" s="45">
        <v>0.75</v>
      </c>
      <c r="AT26" s="45">
        <v>0</v>
      </c>
      <c r="AU26" s="124"/>
      <c r="AV26" s="124"/>
      <c r="AW26" s="124"/>
      <c r="AX26" s="124"/>
      <c r="BA26" s="122">
        <v>6</v>
      </c>
      <c r="BB26" s="122">
        <v>0.875</v>
      </c>
      <c r="BC26" s="122" t="s">
        <v>221</v>
      </c>
      <c r="BD26" s="122">
        <v>0.12</v>
      </c>
      <c r="BE26" s="122">
        <v>1</v>
      </c>
      <c r="BF26" s="45">
        <v>2</v>
      </c>
      <c r="BG26" s="122">
        <f t="shared" si="7"/>
        <v>0.12</v>
      </c>
      <c r="BK26" s="44"/>
      <c r="BL26" s="122">
        <v>5</v>
      </c>
      <c r="BM26" s="122">
        <v>0</v>
      </c>
      <c r="BN26" s="122" t="s">
        <v>221</v>
      </c>
      <c r="BO26" s="122" t="s">
        <v>221</v>
      </c>
      <c r="BP26" s="122">
        <v>0</v>
      </c>
      <c r="BQ26" s="45">
        <v>1</v>
      </c>
      <c r="BR26" s="122">
        <f t="shared" si="8"/>
        <v>0</v>
      </c>
      <c r="BT26" s="130">
        <f>(BU22 + 55)*(BR30)/(2*BR30)</f>
        <v>45</v>
      </c>
      <c r="BU26" s="131"/>
    </row>
    <row r="27" spans="1:73" x14ac:dyDescent="0.3">
      <c r="A27" s="84"/>
      <c r="B27" s="84" t="s">
        <v>55</v>
      </c>
      <c r="C27" s="84">
        <f>-((V7+V8+V9+V18+V19)/(V20)*LOG((V7+V8+V9+V18+V19)/(V20),2))-((V5+V10+V14+V15+V16)/(V20)*LOG((V5+V10+V14+V15+V16)/(V20),2))-((V6+V11+V12+V13+V17)/(V20)*LOG((V6+V11+V12+V13+V17)/(V20),2))</f>
        <v>1.5615977337523637</v>
      </c>
      <c r="D27" s="84"/>
      <c r="E27" s="181" t="s">
        <v>65</v>
      </c>
      <c r="F27" s="182"/>
      <c r="G27" s="183"/>
      <c r="H27" s="181">
        <f>(H26)-((V20/15)*C27)-((W20/15)*C28)</f>
        <v>0.10663634251188192</v>
      </c>
      <c r="I27" s="182"/>
      <c r="J27" s="183"/>
      <c r="K27" s="84"/>
      <c r="L27" s="84"/>
      <c r="M27" s="84"/>
      <c r="N27" s="84" t="s">
        <v>59</v>
      </c>
      <c r="O27" s="84">
        <v>190</v>
      </c>
      <c r="P27" s="84">
        <v>210</v>
      </c>
      <c r="Q27">
        <v>250</v>
      </c>
      <c r="V27" t="s">
        <v>53</v>
      </c>
      <c r="W27" t="s">
        <v>54</v>
      </c>
      <c r="AK27" s="45">
        <v>7</v>
      </c>
      <c r="AL27" s="45">
        <v>0.48</v>
      </c>
      <c r="AM27" s="45">
        <v>0.52</v>
      </c>
      <c r="AN27" s="45">
        <v>0</v>
      </c>
      <c r="AO27" s="45">
        <v>1</v>
      </c>
      <c r="AP27" s="45">
        <v>0</v>
      </c>
      <c r="AQ27" s="45">
        <v>1</v>
      </c>
      <c r="AR27" s="45">
        <v>0.15</v>
      </c>
      <c r="AS27" s="45">
        <v>0.85</v>
      </c>
      <c r="AT27" s="45">
        <v>0</v>
      </c>
      <c r="AU27" s="124"/>
      <c r="AV27" s="124"/>
      <c r="AW27" s="124"/>
      <c r="AX27" s="124"/>
      <c r="BA27" s="122">
        <v>7</v>
      </c>
      <c r="BB27" s="122">
        <v>0.875</v>
      </c>
      <c r="BC27" s="122">
        <v>0.86670000000000003</v>
      </c>
      <c r="BD27" s="122">
        <v>0.88</v>
      </c>
      <c r="BE27" s="45">
        <v>1</v>
      </c>
      <c r="BF27" s="45">
        <v>2</v>
      </c>
      <c r="BG27" s="122">
        <f t="shared" si="7"/>
        <v>0.86670000000000003</v>
      </c>
      <c r="BK27" s="44"/>
      <c r="BL27" s="122">
        <v>6</v>
      </c>
      <c r="BM27" s="122">
        <v>0</v>
      </c>
      <c r="BN27" s="122">
        <v>1</v>
      </c>
      <c r="BO27" s="122">
        <v>1</v>
      </c>
      <c r="BP27" s="122">
        <v>1</v>
      </c>
      <c r="BQ27" s="45">
        <v>2</v>
      </c>
      <c r="BR27" s="122">
        <f t="shared" si="8"/>
        <v>0</v>
      </c>
    </row>
    <row r="28" spans="1:73" x14ac:dyDescent="0.3">
      <c r="A28" s="84"/>
      <c r="B28" s="84" t="s">
        <v>43</v>
      </c>
      <c r="C28" s="84">
        <f>-((W7+W8+W9+W18+W19)/(W20)*LOG((W7+W8+W9+W18+W19)/(W20),2))-((W5+W10+W14+W15+W16)/(W20)*LOG((W5+W10+W14+W15+W16)/(W20),2))-((WW6+W11+W12+W13+W17)/(W20)*LOG((W6+W11+W12+W13+W17)/(W20),2))</f>
        <v>1.4085249845922725</v>
      </c>
      <c r="D28" s="84"/>
      <c r="E28" s="181" t="s">
        <v>67</v>
      </c>
      <c r="F28" s="182"/>
      <c r="G28" s="183"/>
      <c r="H28" s="181">
        <f>(H26)-((V71/15)*C31)-((W71/15)*C32)</f>
        <v>1.7195449530563733E-2</v>
      </c>
      <c r="I28" s="182"/>
      <c r="J28" s="183"/>
      <c r="K28" s="84"/>
      <c r="L28" s="84"/>
      <c r="M28" s="84"/>
      <c r="N28" s="84"/>
      <c r="O28" s="84"/>
      <c r="P28" s="84"/>
      <c r="T28" t="s">
        <v>56</v>
      </c>
      <c r="U28" s="30" t="s">
        <v>37</v>
      </c>
      <c r="V28">
        <v>65</v>
      </c>
      <c r="W28">
        <v>80</v>
      </c>
      <c r="Z28" t="s">
        <v>26</v>
      </c>
      <c r="AA28">
        <v>1</v>
      </c>
      <c r="AB28">
        <v>0</v>
      </c>
      <c r="AE28" t="s">
        <v>25</v>
      </c>
      <c r="AF28">
        <v>1</v>
      </c>
      <c r="AG28">
        <v>0</v>
      </c>
      <c r="AK28" s="45">
        <v>8</v>
      </c>
      <c r="AL28" s="45">
        <v>0.24</v>
      </c>
      <c r="AM28" s="45">
        <v>0.76</v>
      </c>
      <c r="AN28" s="45">
        <v>0</v>
      </c>
      <c r="AO28" s="45">
        <v>1</v>
      </c>
      <c r="AP28" s="45">
        <v>0</v>
      </c>
      <c r="AQ28" s="45">
        <v>1</v>
      </c>
      <c r="AR28" s="45">
        <v>0</v>
      </c>
      <c r="AS28" s="45">
        <v>0</v>
      </c>
      <c r="AT28" s="45">
        <v>1</v>
      </c>
      <c r="AU28" s="124"/>
      <c r="AV28" s="124"/>
      <c r="AW28" s="124"/>
      <c r="AX28" s="124"/>
      <c r="BA28" s="122">
        <v>8</v>
      </c>
      <c r="BB28" s="45">
        <v>0.125</v>
      </c>
      <c r="BC28" s="122" t="s">
        <v>221</v>
      </c>
      <c r="BD28" s="122" t="s">
        <v>221</v>
      </c>
      <c r="BE28" s="122" t="s">
        <v>221</v>
      </c>
      <c r="BF28" s="45">
        <v>3</v>
      </c>
      <c r="BG28" s="122">
        <f t="shared" si="7"/>
        <v>0.125</v>
      </c>
      <c r="BK28" s="44"/>
      <c r="BL28" s="122">
        <v>7</v>
      </c>
      <c r="BM28" s="122">
        <v>0</v>
      </c>
      <c r="BN28" s="122">
        <v>1</v>
      </c>
      <c r="BO28" s="122">
        <v>0</v>
      </c>
      <c r="BP28" s="45">
        <v>1</v>
      </c>
      <c r="BQ28" s="45">
        <v>2</v>
      </c>
      <c r="BR28" s="122">
        <f t="shared" si="8"/>
        <v>0</v>
      </c>
    </row>
    <row r="29" spans="1:73" x14ac:dyDescent="0.3">
      <c r="A29" s="84"/>
      <c r="B29" s="84"/>
      <c r="C29" s="84"/>
      <c r="D29" s="84"/>
      <c r="E29" s="181" t="s">
        <v>71</v>
      </c>
      <c r="F29" s="182"/>
      <c r="G29" s="183"/>
      <c r="H29" s="181">
        <f>(H26)-((P45/15)*C35)-((Q45/15)*C36)-((R45/15)*C37)</f>
        <v>0.94283558543832924</v>
      </c>
      <c r="I29" s="182"/>
      <c r="J29" s="183"/>
      <c r="K29" s="84" t="s">
        <v>94</v>
      </c>
      <c r="L29" s="84"/>
      <c r="M29" s="86" t="s">
        <v>66</v>
      </c>
      <c r="N29" s="86" t="s">
        <v>46</v>
      </c>
      <c r="O29" s="86" t="s">
        <v>59</v>
      </c>
      <c r="P29" s="86" t="s">
        <v>44</v>
      </c>
      <c r="Q29" s="7" t="s">
        <v>62</v>
      </c>
      <c r="R29" s="37" t="s">
        <v>61</v>
      </c>
      <c r="U29" s="29" t="s">
        <v>24</v>
      </c>
      <c r="V29">
        <v>65</v>
      </c>
      <c r="W29">
        <v>80</v>
      </c>
      <c r="Z29" t="s">
        <v>39</v>
      </c>
      <c r="AA29">
        <v>0</v>
      </c>
      <c r="AB29">
        <v>1</v>
      </c>
      <c r="AE29" t="s">
        <v>31</v>
      </c>
      <c r="AF29">
        <v>0</v>
      </c>
      <c r="AG29">
        <v>1</v>
      </c>
      <c r="AK29" s="45">
        <v>9</v>
      </c>
      <c r="AL29" s="45">
        <v>1</v>
      </c>
      <c r="AM29" s="45">
        <v>0</v>
      </c>
      <c r="AN29" s="45">
        <v>0</v>
      </c>
      <c r="AO29" s="45">
        <v>1</v>
      </c>
      <c r="AP29" s="45">
        <v>0</v>
      </c>
      <c r="AQ29" s="45">
        <v>1</v>
      </c>
      <c r="AR29" s="45">
        <v>0</v>
      </c>
      <c r="AS29" s="45">
        <v>0</v>
      </c>
      <c r="AT29" s="45">
        <v>1</v>
      </c>
      <c r="AU29" s="124"/>
      <c r="AV29" s="124"/>
      <c r="AW29" s="124"/>
      <c r="AX29" s="124"/>
      <c r="BF29" t="s">
        <v>223</v>
      </c>
      <c r="BG29">
        <f>MAX(BG21:BG28)</f>
        <v>0.86670000000000003</v>
      </c>
      <c r="BK29" s="44"/>
      <c r="BL29" s="122">
        <v>8</v>
      </c>
      <c r="BM29" s="45">
        <v>1</v>
      </c>
      <c r="BN29" s="122" t="s">
        <v>221</v>
      </c>
      <c r="BO29" s="122" t="s">
        <v>221</v>
      </c>
      <c r="BP29" s="122" t="s">
        <v>221</v>
      </c>
      <c r="BQ29" s="45">
        <v>3</v>
      </c>
      <c r="BR29" s="122">
        <f t="shared" si="8"/>
        <v>1</v>
      </c>
    </row>
    <row r="30" spans="1:73" x14ac:dyDescent="0.3">
      <c r="A30" s="84"/>
      <c r="B30" s="84" t="s">
        <v>69</v>
      </c>
      <c r="C30" s="84"/>
      <c r="D30" s="84"/>
      <c r="E30" s="181" t="s">
        <v>73</v>
      </c>
      <c r="F30" s="182"/>
      <c r="G30" s="183"/>
      <c r="H30" s="181">
        <f>(H26)-((V46/15)*C40)-((W46/15)*C41)</f>
        <v>6.7542710622264357E-2</v>
      </c>
      <c r="I30" s="182"/>
      <c r="J30" s="183"/>
      <c r="K30" s="84"/>
      <c r="L30" s="84"/>
      <c r="M30" s="89" t="s">
        <v>30</v>
      </c>
      <c r="N30" s="86">
        <v>1</v>
      </c>
      <c r="O30" s="86">
        <f t="shared" ref="O30:O44" si="9">(D8+E8)</f>
        <v>215</v>
      </c>
      <c r="P30" s="86">
        <f>IF(O30&lt;=$O$27,1,IF(AND($O$27&lt;O30,O30&lt;$P$27),($P$27-O30)/($P$27-$O$27),IF(O30&gt;=$O$27,0)))</f>
        <v>0</v>
      </c>
      <c r="Q30" s="7">
        <f>IF(AND($O$27&lt;O30,O30&lt;$P$27),(O30-$O$27)/($P$27-$O$27),IF(AND($P$27&lt;=O30,O30&lt;$Q$27),($Q$27-O30)/($Q$27-$P$27), IF(OR(O30&lt;=$O$27,O30&gt;=$Q$27),0,salah)))</f>
        <v>0.875</v>
      </c>
      <c r="R30" s="7">
        <f>IF(O30&lt;=$P$27,0,IF(AND($P$27&lt;O30,O30&lt;$Q$27),(O30-$P$27)/($Q$27-$P$27),IF(O30&gt;=$Q$27,1)))</f>
        <v>0.125</v>
      </c>
      <c r="T30" s="7" t="s">
        <v>46</v>
      </c>
      <c r="U30" s="7" t="s">
        <v>7</v>
      </c>
      <c r="V30" s="7" t="s">
        <v>57</v>
      </c>
      <c r="W30" s="7" t="s">
        <v>58</v>
      </c>
      <c r="X30" s="121" t="s">
        <v>66</v>
      </c>
      <c r="Y30" s="7" t="s">
        <v>46</v>
      </c>
      <c r="Z30" s="7" t="s">
        <v>48</v>
      </c>
      <c r="AA30" s="7" t="s">
        <v>26</v>
      </c>
      <c r="AB30" s="7" t="s">
        <v>39</v>
      </c>
      <c r="AD30" s="7" t="s">
        <v>46</v>
      </c>
      <c r="AE30" s="7" t="s">
        <v>15</v>
      </c>
      <c r="AF30" s="7" t="s">
        <v>25</v>
      </c>
      <c r="AG30" s="7" t="s">
        <v>31</v>
      </c>
      <c r="AK30" s="45">
        <v>10</v>
      </c>
      <c r="AL30" s="45">
        <v>0</v>
      </c>
      <c r="AM30" s="45">
        <v>1</v>
      </c>
      <c r="AN30" s="45">
        <v>0</v>
      </c>
      <c r="AO30" s="45">
        <v>1</v>
      </c>
      <c r="AP30" s="45">
        <v>0.13333333333333333</v>
      </c>
      <c r="AQ30" s="45">
        <v>0.8666666666666667</v>
      </c>
      <c r="AR30" s="45">
        <v>0</v>
      </c>
      <c r="AS30" s="45">
        <v>0</v>
      </c>
      <c r="AT30" s="45">
        <v>1</v>
      </c>
      <c r="AU30" s="124"/>
      <c r="AV30" s="124"/>
      <c r="AW30" s="124"/>
      <c r="AX30" s="124"/>
      <c r="BL30" s="119"/>
      <c r="BM30" s="119"/>
      <c r="BN30" s="119"/>
      <c r="BO30" s="119"/>
      <c r="BP30" s="119"/>
      <c r="BQ30" s="119" t="s">
        <v>223</v>
      </c>
      <c r="BR30" s="132">
        <f>MAX(BR22:BR29)</f>
        <v>1</v>
      </c>
    </row>
    <row r="31" spans="1:73" x14ac:dyDescent="0.3">
      <c r="A31" s="84"/>
      <c r="B31" s="84" t="s">
        <v>44</v>
      </c>
      <c r="C31" s="84">
        <f>-((V58+V59+V60+V69+V70)/(V71)*LOG((V58+V59+V60+V69+V70)/(V71),2))-((V56+V61+V65+V66+V67)/(V71)*LOG((V56+V61+V65+V66+V67)/(V71),2))-(0)</f>
        <v>0.89073900175637866</v>
      </c>
      <c r="D31" s="84"/>
      <c r="E31" s="84"/>
      <c r="F31" s="84"/>
      <c r="G31" s="84"/>
      <c r="H31" s="84"/>
      <c r="I31" s="84"/>
      <c r="J31" s="84"/>
      <c r="K31" s="84"/>
      <c r="L31" s="84"/>
      <c r="M31" s="89" t="s">
        <v>35</v>
      </c>
      <c r="N31" s="86">
        <v>2</v>
      </c>
      <c r="O31" s="86">
        <f t="shared" si="9"/>
        <v>308</v>
      </c>
      <c r="P31" s="86">
        <f t="shared" ref="P31:P44" si="10">IF(O31&lt;=$O$27,1,IF(AND($O$27&lt;O31,O31&lt;$P$27),($P$27-O31)/($P$27-$O$27),IF(O31&gt;=$O$27,0)))</f>
        <v>0</v>
      </c>
      <c r="Q31" s="7">
        <f>IF(AND($O$27&lt;O31,O31&lt;$P$27),(O31-$O$27)/($P$27-$O$27),IF(AND($P$27&lt;=O31,O31&lt;$Q$27),($Q$27-O31)/($Q$27-$P$27), IF(OR(O31&lt;=$O$27,O31&gt;=$Q$27),0,salah)))</f>
        <v>0</v>
      </c>
      <c r="R31" s="7">
        <f t="shared" ref="R31:R44" si="11">IF(O31&lt;=$P$27,0,IF(AND($P$27&lt;O31,O31&lt;$Q$27),(O31-$P$27)/($Q$27-$P$27),IF(O31&gt;=$Q$27,1)))</f>
        <v>1</v>
      </c>
      <c r="T31" s="7">
        <v>1</v>
      </c>
      <c r="U31" s="24">
        <v>78</v>
      </c>
      <c r="V31" s="32">
        <f>IF(U31&lt;=$V$29,1,IF(AND($V$29&lt;U31,U31&lt;$W$29),($W$29-U31)/($W$29-$V$29),IF(U31&gt;=$W$29,0)))</f>
        <v>0.13333333333333333</v>
      </c>
      <c r="W31" s="32">
        <f>IF(U31&lt;=$V$29,0,IF(AND($V$29&lt;U31,U31&lt;$W$29),(U31-$V$29)/($W$29-$V$29),IF(U31&gt;=$W$29,1)))</f>
        <v>0.8666666666666667</v>
      </c>
      <c r="X31" s="125" t="s">
        <v>30</v>
      </c>
      <c r="Y31" s="7">
        <v>1</v>
      </c>
      <c r="Z31" s="18">
        <v>1</v>
      </c>
      <c r="AA31" s="7">
        <f>($AB$28-Z31)/($AB$28-$AA$28)</f>
        <v>1</v>
      </c>
      <c r="AB31" s="7">
        <f>(Z31-$AA$29)/($AB$29-$AA$29)</f>
        <v>1</v>
      </c>
      <c r="AD31" s="7">
        <v>1</v>
      </c>
      <c r="AE31" s="18">
        <v>1</v>
      </c>
      <c r="AF31" s="7">
        <f>($AG$28-AE31)/($AG$28-$AF$28)</f>
        <v>1</v>
      </c>
      <c r="AG31" s="7">
        <f>(AE31-$AF$29)/($AG$29-$AF$29)</f>
        <v>1</v>
      </c>
      <c r="AK31" s="45">
        <v>11</v>
      </c>
      <c r="AL31" s="45">
        <v>0.8</v>
      </c>
      <c r="AM31" s="45">
        <v>0.2</v>
      </c>
      <c r="AN31" s="45">
        <v>0.11229859387131072</v>
      </c>
      <c r="AO31" s="45">
        <v>0.88770140612868931</v>
      </c>
      <c r="AP31" s="45">
        <v>0.6</v>
      </c>
      <c r="AQ31" s="45">
        <v>0.4</v>
      </c>
      <c r="AR31" s="45">
        <v>0.05</v>
      </c>
      <c r="AS31" s="45">
        <v>0.95</v>
      </c>
      <c r="AT31" s="45">
        <v>0</v>
      </c>
      <c r="BA31" s="119" t="s">
        <v>229</v>
      </c>
      <c r="BB31" s="119"/>
      <c r="BC31" s="119"/>
      <c r="BD31" s="119"/>
      <c r="BE31" s="119"/>
      <c r="BF31" s="119"/>
      <c r="BG31" s="119"/>
      <c r="BL31" s="119" t="s">
        <v>239</v>
      </c>
      <c r="BM31" s="119"/>
      <c r="BN31" s="119"/>
      <c r="BO31" s="119"/>
      <c r="BP31" s="119"/>
      <c r="BQ31" s="119"/>
      <c r="BR31" s="119"/>
    </row>
    <row r="32" spans="1:73" x14ac:dyDescent="0.3">
      <c r="A32" s="84"/>
      <c r="B32" s="84" t="s">
        <v>70</v>
      </c>
      <c r="C32" s="84">
        <f>-((W58+W59+W60+W69+W70)/(W71)*LOG((W58+W59+W60+W69+W70)/(W71),2))-((W56+W61+W65+W66+W67)/(W71)*LOG((W56+W61+W65+W66+W67)/(W71),2))-((W57+W62+W63+W64+W68)/(W71)*LOG((W57+W62+W63+W64+W68)/(W71),2))</f>
        <v>1.5846389819960214</v>
      </c>
      <c r="D32" s="84"/>
      <c r="E32" s="84"/>
      <c r="F32" s="84"/>
      <c r="G32" s="84"/>
      <c r="H32" s="84"/>
      <c r="I32" s="84"/>
      <c r="J32" s="84"/>
      <c r="K32" s="84"/>
      <c r="L32" s="84"/>
      <c r="M32" s="89" t="s">
        <v>36</v>
      </c>
      <c r="N32" s="86">
        <v>3</v>
      </c>
      <c r="O32" s="86">
        <f t="shared" si="9"/>
        <v>209</v>
      </c>
      <c r="P32" s="86">
        <f t="shared" si="10"/>
        <v>0.05</v>
      </c>
      <c r="Q32" s="7">
        <f>IF(AND($O$27&lt;O32,O32&lt;$P$27),(O32-$O$27)/($P$27-$O$27),IF(AND($P$27&lt;=O32,O32&lt;$Q$27),($Q$27-O32)/($Q$27-$P$27), IF(OR(O32&lt;=$O$27,O32&gt;=$Q$27),0,salah)))</f>
        <v>0.95</v>
      </c>
      <c r="R32" s="7">
        <f t="shared" si="11"/>
        <v>0</v>
      </c>
      <c r="T32" s="7">
        <v>2</v>
      </c>
      <c r="U32" s="24">
        <v>98</v>
      </c>
      <c r="V32" s="32">
        <f>IF(U32&lt;=$V$29,1,IF(AND($V$29&lt;U32,U32&lt;$W$29),($W$29-U32)/($W$29-$V$29),IF(U32&gt;=$W$29,0)))</f>
        <v>0</v>
      </c>
      <c r="W32" s="32">
        <f>IF(U32&lt;=$V$29,0,IF(AND($V$29&lt;U32,U32&lt;$W$29),(U32-$V$29)/($W$29-$V$29),IF(U32&gt;=$W$29,1)))</f>
        <v>1</v>
      </c>
      <c r="X32" s="125" t="s">
        <v>35</v>
      </c>
      <c r="Y32" s="7">
        <v>2</v>
      </c>
      <c r="Z32" s="18">
        <v>1</v>
      </c>
      <c r="AA32" s="7">
        <f t="shared" ref="AA32:AA45" si="12">($AB$28-Z32)/($AB$28-$AA$28)</f>
        <v>1</v>
      </c>
      <c r="AB32" s="7">
        <f t="shared" ref="AB32:AB45" si="13">(Z32-$AA$29)/($AB$29-$AA$29)</f>
        <v>1</v>
      </c>
      <c r="AD32" s="7">
        <v>2</v>
      </c>
      <c r="AE32" s="18">
        <v>1</v>
      </c>
      <c r="AF32" s="7">
        <f t="shared" ref="AF32:AF45" si="14">($AG$28-AE32)/($AG$28-$AF$28)</f>
        <v>1</v>
      </c>
      <c r="AG32" s="7">
        <f t="shared" ref="AG32:AG45" si="15">(AE32-$AF$29)/($AG$29-$AF$29)</f>
        <v>1</v>
      </c>
      <c r="AK32" s="45">
        <v>12</v>
      </c>
      <c r="AL32" s="45">
        <v>0.76</v>
      </c>
      <c r="AM32" s="45">
        <v>0.24</v>
      </c>
      <c r="AN32" s="45">
        <v>0</v>
      </c>
      <c r="AO32" s="45">
        <v>1</v>
      </c>
      <c r="AP32" s="45">
        <v>0</v>
      </c>
      <c r="AQ32" s="45">
        <v>1</v>
      </c>
      <c r="AR32" s="45">
        <v>0</v>
      </c>
      <c r="AS32" s="45">
        <v>0.625</v>
      </c>
      <c r="AT32" s="45">
        <v>0.375</v>
      </c>
      <c r="BA32" s="121" t="s">
        <v>220</v>
      </c>
      <c r="BB32" s="121" t="s">
        <v>215</v>
      </c>
      <c r="BC32" s="121" t="s">
        <v>214</v>
      </c>
      <c r="BD32" s="121" t="s">
        <v>4</v>
      </c>
      <c r="BE32" s="121" t="s">
        <v>10</v>
      </c>
      <c r="BF32" s="121" t="s">
        <v>66</v>
      </c>
      <c r="BG32" s="45" t="s">
        <v>222</v>
      </c>
      <c r="BI32" s="189" t="s">
        <v>225</v>
      </c>
      <c r="BJ32" s="189"/>
      <c r="BL32" s="121" t="s">
        <v>220</v>
      </c>
      <c r="BM32" s="121" t="s">
        <v>215</v>
      </c>
      <c r="BN32" s="121" t="s">
        <v>214</v>
      </c>
      <c r="BO32" s="121" t="s">
        <v>4</v>
      </c>
      <c r="BP32" s="121" t="s">
        <v>10</v>
      </c>
      <c r="BQ32" s="121" t="s">
        <v>66</v>
      </c>
      <c r="BR32" s="45" t="s">
        <v>222</v>
      </c>
      <c r="BT32" s="189" t="s">
        <v>225</v>
      </c>
      <c r="BU32" s="189"/>
    </row>
    <row r="33" spans="2:73" x14ac:dyDescent="0.3"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9" t="s">
        <v>36</v>
      </c>
      <c r="N33" s="86">
        <v>4</v>
      </c>
      <c r="O33" s="86">
        <f t="shared" si="9"/>
        <v>203</v>
      </c>
      <c r="P33" s="86">
        <f t="shared" si="10"/>
        <v>0.35</v>
      </c>
      <c r="Q33" s="7">
        <f>IF(AND($O$27&lt;O33,O33&lt;$P$27),(O33-$O$27)/($P$27-$O$27),IF(AND($P$27&lt;=O33,O33&lt;$Q$27),($Q$27-O33)/($Q$27-$P$27), IF(OR(O33&lt;=$O$27,O33&gt;=$Q$27),0,salah)))</f>
        <v>0.65</v>
      </c>
      <c r="R33" s="7">
        <f t="shared" si="11"/>
        <v>0</v>
      </c>
      <c r="T33" s="7">
        <v>3</v>
      </c>
      <c r="U33" s="24">
        <v>98</v>
      </c>
      <c r="V33" s="32">
        <f>IF(U33&lt;=$V$29,1,IF(AND($V$29&lt;U33,U33&lt;$W$29),($W$29-U33)/($W$29-$V$29),IF(U33&gt;=$W$29,0)))</f>
        <v>0</v>
      </c>
      <c r="W33" s="32">
        <f>IF(U33&lt;=$V$29,0,IF(AND($V$29&lt;U33,U33&lt;$W$29),(U33-$V$29)/($W$29-$V$29),IF(U33&gt;=$W$29,1)))</f>
        <v>1</v>
      </c>
      <c r="X33" s="125" t="s">
        <v>36</v>
      </c>
      <c r="Y33" s="7">
        <v>3</v>
      </c>
      <c r="Z33" s="18">
        <v>1</v>
      </c>
      <c r="AA33" s="7">
        <f t="shared" si="12"/>
        <v>1</v>
      </c>
      <c r="AB33" s="7">
        <f t="shared" si="13"/>
        <v>1</v>
      </c>
      <c r="AD33" s="7">
        <v>3</v>
      </c>
      <c r="AE33" s="18">
        <v>1</v>
      </c>
      <c r="AF33" s="7">
        <f t="shared" si="14"/>
        <v>1</v>
      </c>
      <c r="AG33" s="7">
        <f t="shared" si="15"/>
        <v>1</v>
      </c>
      <c r="AK33" s="45">
        <v>13</v>
      </c>
      <c r="AL33" s="45">
        <v>0</v>
      </c>
      <c r="AM33" s="45">
        <v>1</v>
      </c>
      <c r="AN33" s="45">
        <v>0</v>
      </c>
      <c r="AO33" s="45">
        <v>1</v>
      </c>
      <c r="AP33" s="45">
        <v>0</v>
      </c>
      <c r="AQ33" s="45">
        <v>1</v>
      </c>
      <c r="AR33" s="45">
        <v>0</v>
      </c>
      <c r="AS33" s="45">
        <v>0</v>
      </c>
      <c r="AT33" s="45">
        <v>1</v>
      </c>
      <c r="BA33" s="122">
        <v>1</v>
      </c>
      <c r="BB33" s="122">
        <v>0</v>
      </c>
      <c r="BC33" s="122" t="s">
        <v>221</v>
      </c>
      <c r="BD33" s="122" t="s">
        <v>221</v>
      </c>
      <c r="BE33" s="122" t="s">
        <v>221</v>
      </c>
      <c r="BF33" s="122">
        <v>1</v>
      </c>
      <c r="BG33" s="122">
        <f>MIN(BB33:BF33)</f>
        <v>0</v>
      </c>
      <c r="BI33" s="121" t="s">
        <v>226</v>
      </c>
      <c r="BJ33" s="121">
        <f>(35-25)*(1)+25</f>
        <v>35</v>
      </c>
      <c r="BL33" s="122">
        <v>1</v>
      </c>
      <c r="BM33" s="122">
        <v>0</v>
      </c>
      <c r="BN33" s="122" t="s">
        <v>221</v>
      </c>
      <c r="BO33" s="122" t="s">
        <v>221</v>
      </c>
      <c r="BP33" s="122" t="s">
        <v>221</v>
      </c>
      <c r="BQ33" s="122">
        <v>1</v>
      </c>
      <c r="BR33" s="122">
        <f>MIN(BM33:BQ33)</f>
        <v>0</v>
      </c>
      <c r="BT33" s="121" t="s">
        <v>226</v>
      </c>
      <c r="BU33" s="121">
        <f>(35-25)*(BR41)+25</f>
        <v>35</v>
      </c>
    </row>
    <row r="34" spans="2:73" x14ac:dyDescent="0.3">
      <c r="B34" s="84" t="s">
        <v>72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9" t="s">
        <v>36</v>
      </c>
      <c r="N34" s="86">
        <v>5</v>
      </c>
      <c r="O34" s="86">
        <f t="shared" si="9"/>
        <v>198</v>
      </c>
      <c r="P34" s="86">
        <f t="shared" si="10"/>
        <v>0.6</v>
      </c>
      <c r="Q34" s="7">
        <f>IF(AND($O$27&lt;O34,O34&lt;$P$27),(O34-$O$27)/($P$27-$O$27),IF(AND($P$27&lt;=O34,O34&lt;$Q$27),($Q$27-O34)/($Q$27-$P$27), IF(OR(O34&lt;=$O$27,O34&gt;=$Q$27),0,salah)))</f>
        <v>0.4</v>
      </c>
      <c r="R34" s="7">
        <f t="shared" si="11"/>
        <v>0</v>
      </c>
      <c r="T34" s="7">
        <v>4</v>
      </c>
      <c r="U34" s="27">
        <v>99</v>
      </c>
      <c r="V34" s="31">
        <f>IF(U34&lt;=$V$28,1,IF(AND($V$28&lt;U34,U34&lt;$W$28),($W$28-U34)/($W$28-$V$28),IF(U34&gt;=$W$28,0)))</f>
        <v>0</v>
      </c>
      <c r="W34" s="31">
        <f>IF(U34&lt;=$V$28,0,IF(AND($V$28&lt;U34,U34&lt;$W$28),(U34-$V$28)/($W$28-$V$28),IF(U34&gt;=$W$28,1)))</f>
        <v>1</v>
      </c>
      <c r="X34" s="125" t="s">
        <v>36</v>
      </c>
      <c r="Y34" s="7">
        <v>4</v>
      </c>
      <c r="Z34" s="18">
        <v>0</v>
      </c>
      <c r="AA34" s="7">
        <f t="shared" si="12"/>
        <v>0</v>
      </c>
      <c r="AB34" s="7">
        <f t="shared" si="13"/>
        <v>0</v>
      </c>
      <c r="AD34" s="7">
        <v>4</v>
      </c>
      <c r="AE34" s="18">
        <v>1</v>
      </c>
      <c r="AF34" s="7">
        <f t="shared" si="14"/>
        <v>1</v>
      </c>
      <c r="AG34" s="7">
        <f t="shared" si="15"/>
        <v>1</v>
      </c>
      <c r="AK34" s="45">
        <v>14</v>
      </c>
      <c r="AL34" s="45">
        <v>0.04</v>
      </c>
      <c r="AM34" s="45">
        <v>0.96</v>
      </c>
      <c r="AN34" s="45">
        <v>0</v>
      </c>
      <c r="AO34" s="45">
        <v>1</v>
      </c>
      <c r="AP34" s="45">
        <v>6.6666666666666666E-2</v>
      </c>
      <c r="AQ34" s="45">
        <v>0.93333333333333335</v>
      </c>
      <c r="AR34" s="45">
        <v>1</v>
      </c>
      <c r="AS34" s="45">
        <v>0</v>
      </c>
      <c r="AT34" s="45">
        <v>0</v>
      </c>
      <c r="BA34" s="122">
        <v>2</v>
      </c>
      <c r="BB34" s="122">
        <v>0</v>
      </c>
      <c r="BC34" s="122">
        <v>0</v>
      </c>
      <c r="BD34" s="122">
        <v>0</v>
      </c>
      <c r="BE34" s="122">
        <v>0</v>
      </c>
      <c r="BF34" s="45">
        <v>1</v>
      </c>
      <c r="BG34" s="122">
        <f>MIN(BB34:BF34)</f>
        <v>0</v>
      </c>
      <c r="BI34" s="121" t="s">
        <v>227</v>
      </c>
      <c r="BJ34" s="121">
        <v>55</v>
      </c>
      <c r="BL34" s="122">
        <v>2</v>
      </c>
      <c r="BM34" s="122">
        <v>0</v>
      </c>
      <c r="BN34" s="122">
        <v>0.13339999999999999</v>
      </c>
      <c r="BO34" s="122">
        <v>0</v>
      </c>
      <c r="BP34" s="122">
        <v>0</v>
      </c>
      <c r="BQ34" s="45">
        <v>1</v>
      </c>
      <c r="BR34" s="122">
        <f>MIN(BM34:BQ34)</f>
        <v>0</v>
      </c>
      <c r="BT34" s="121" t="s">
        <v>227</v>
      </c>
      <c r="BU34" s="121">
        <v>55</v>
      </c>
    </row>
    <row r="35" spans="2:73" x14ac:dyDescent="0.3">
      <c r="B35" s="84" t="s">
        <v>44</v>
      </c>
      <c r="C35" s="84">
        <f>-((P32+P33+P34+P43+P44)/(P45)*LOG((P32+P33+P34+P43+P44)/(P45),2))-((P30+P35+P39+P40+P41)/(P45)*LOG((P30+P35+P39+P40+P41)/(P45),2))-((P31+P36+P37+P38+P42)/(P45)*LOG((P31+P36+P37+P38+P42)/(P45),2))</f>
        <v>0.85671420529918996</v>
      </c>
      <c r="D35" s="84"/>
      <c r="E35" s="84"/>
      <c r="F35" s="84"/>
      <c r="G35" s="84"/>
      <c r="H35" s="84"/>
      <c r="I35" s="84"/>
      <c r="J35" s="84"/>
      <c r="K35" s="84"/>
      <c r="L35" s="84"/>
      <c r="M35" s="89" t="s">
        <v>30</v>
      </c>
      <c r="N35" s="86">
        <v>6</v>
      </c>
      <c r="O35" s="86">
        <f t="shared" si="9"/>
        <v>205</v>
      </c>
      <c r="P35" s="86">
        <f t="shared" si="10"/>
        <v>0.25</v>
      </c>
      <c r="Q35" s="7">
        <f>IF(AND($O$27&lt;O35,O35&lt;$P$27),(O35-$O$27)/($P$27-$O$27),IF(AND($P$27&lt;=O35,O35&lt;$Q$27),($Q$27-O35)/($Q$27-$P$27), IF(OR(O35&lt;=$O$27,O35&gt;=$Q$27),0,salah)))</f>
        <v>0.75</v>
      </c>
      <c r="R35" s="7">
        <f t="shared" si="11"/>
        <v>0</v>
      </c>
      <c r="T35" s="7">
        <v>5</v>
      </c>
      <c r="U35" s="27">
        <v>88</v>
      </c>
      <c r="V35" s="31">
        <f>IF(U35&lt;=$V$28,1,IF(AND($V$28&lt;U35,U35&lt;$W$28),($W$28-U35)/($W$28-$V$28),IF(U35&gt;=$W$28,0)))</f>
        <v>0</v>
      </c>
      <c r="W35" s="31">
        <f>IF(U35&lt;=$V$28,0,IF(AND($V$28&lt;U35,U35&lt;$W$28),(U35-$V$28)/($W$28-$V$28),IF(U35&gt;=$W$28,1)))</f>
        <v>1</v>
      </c>
      <c r="X35" s="125" t="s">
        <v>36</v>
      </c>
      <c r="Y35" s="7">
        <v>5</v>
      </c>
      <c r="Z35" s="18">
        <v>0</v>
      </c>
      <c r="AA35" s="7">
        <f t="shared" si="12"/>
        <v>0</v>
      </c>
      <c r="AB35" s="7">
        <f t="shared" si="13"/>
        <v>0</v>
      </c>
      <c r="AD35" s="7">
        <v>5</v>
      </c>
      <c r="AE35" s="18">
        <v>1</v>
      </c>
      <c r="AF35" s="7">
        <f t="shared" si="14"/>
        <v>1</v>
      </c>
      <c r="AG35" s="7">
        <f t="shared" si="15"/>
        <v>1</v>
      </c>
      <c r="AK35" s="45">
        <v>15</v>
      </c>
      <c r="AL35" s="45">
        <v>1</v>
      </c>
      <c r="AM35" s="45">
        <v>0</v>
      </c>
      <c r="AN35" s="45">
        <v>0.25242106211431903</v>
      </c>
      <c r="AO35" s="45">
        <v>0.74757893788568097</v>
      </c>
      <c r="AP35" s="45">
        <v>0.66666666666666663</v>
      </c>
      <c r="AQ35" s="45">
        <v>0.33333333333333331</v>
      </c>
      <c r="AR35" s="45">
        <v>0</v>
      </c>
      <c r="AS35" s="45">
        <v>0.7</v>
      </c>
      <c r="AT35" s="45">
        <v>0.3</v>
      </c>
      <c r="BA35" s="122">
        <v>3</v>
      </c>
      <c r="BB35" s="122">
        <v>0</v>
      </c>
      <c r="BC35" s="122">
        <v>0</v>
      </c>
      <c r="BD35" s="122">
        <v>0</v>
      </c>
      <c r="BE35" s="45">
        <v>1</v>
      </c>
      <c r="BF35" s="45">
        <v>2</v>
      </c>
      <c r="BG35" s="122">
        <f t="shared" ref="BG35:BG40" si="16">MIN(BB35:BF35)</f>
        <v>0</v>
      </c>
      <c r="BL35" s="122">
        <v>3</v>
      </c>
      <c r="BM35" s="122">
        <v>0</v>
      </c>
      <c r="BN35" s="122">
        <v>0.13339999999999999</v>
      </c>
      <c r="BO35" s="122">
        <v>0</v>
      </c>
      <c r="BP35" s="45">
        <v>1</v>
      </c>
      <c r="BQ35" s="45">
        <v>2</v>
      </c>
      <c r="BR35" s="122">
        <f t="shared" ref="BR35:BR40" si="17">MIN(BM35:BQ35)</f>
        <v>0</v>
      </c>
      <c r="BT35" s="119"/>
      <c r="BU35" s="119"/>
    </row>
    <row r="36" spans="2:73" x14ac:dyDescent="0.3">
      <c r="B36" s="84" t="s">
        <v>62</v>
      </c>
      <c r="C36" s="84">
        <f>-((Q33+Q34+Q35+Q44+Q45)/(Q45)*LOG((Q33+Q34+Q35+Q44+Q45)/(Q45),2))-((Q31+Q36+Q40+Q41+Q42)/(Q45)*LOG((Q31+Q36+Q40+Q41+Q42)/(Q45),2))-((Q32+Q37+Q38+Q39+Q43)/(Q45)*LOG((Q32+Q37+Q38+Q39+Q43)/(Q45),2))</f>
        <v>0.30580720339491274</v>
      </c>
      <c r="D36" s="84"/>
      <c r="E36" s="84"/>
      <c r="F36" s="84"/>
      <c r="G36" s="84"/>
      <c r="H36" s="84"/>
      <c r="I36" s="84"/>
      <c r="J36" s="84"/>
      <c r="K36" s="84"/>
      <c r="L36" s="84"/>
      <c r="M36" s="89" t="s">
        <v>35</v>
      </c>
      <c r="N36" s="86">
        <v>7</v>
      </c>
      <c r="O36" s="86">
        <f t="shared" si="9"/>
        <v>207</v>
      </c>
      <c r="P36" s="86">
        <f t="shared" si="10"/>
        <v>0.15</v>
      </c>
      <c r="Q36" s="7">
        <f>IF(AND($O$27&lt;O36,O36&lt;$P$27),(O36-$O$27)/($P$27-$O$27),IF(AND($P$27&lt;=O36,O36&lt;$Q$27),($Q$27-O36)/($Q$27-$P$27), IF(OR(O36&lt;=$O$27,O36&gt;=$Q$27),0,salah)))</f>
        <v>0.85</v>
      </c>
      <c r="R36" s="7">
        <f t="shared" si="11"/>
        <v>0</v>
      </c>
      <c r="T36" s="7">
        <v>6</v>
      </c>
      <c r="U36" s="27">
        <v>89</v>
      </c>
      <c r="V36" s="31">
        <f>IF(U36&lt;=$V$28,1,IF(AND($V$28&lt;U36,U36&lt;$W$28),($W$28-U36)/($W$28-$V$28),IF(U36&gt;=$W$28,0)))</f>
        <v>0</v>
      </c>
      <c r="W36" s="31">
        <f>IF(U36&lt;=$V$28,0,IF(AND($V$28&lt;U36,U36&lt;$W$28),(U36-$V$28)/($W$28-$V$28),IF(U36&gt;=$W$28,1)))</f>
        <v>1</v>
      </c>
      <c r="X36" s="125" t="s">
        <v>30</v>
      </c>
      <c r="Y36" s="7">
        <v>6</v>
      </c>
      <c r="Z36" s="18">
        <v>0</v>
      </c>
      <c r="AA36" s="7">
        <f t="shared" si="12"/>
        <v>0</v>
      </c>
      <c r="AB36" s="7">
        <f t="shared" si="13"/>
        <v>0</v>
      </c>
      <c r="AD36" s="7">
        <v>6</v>
      </c>
      <c r="AE36" s="18">
        <v>0</v>
      </c>
      <c r="AF36" s="7">
        <f t="shared" si="14"/>
        <v>0</v>
      </c>
      <c r="AG36" s="7">
        <f t="shared" si="15"/>
        <v>0</v>
      </c>
      <c r="BA36" s="122">
        <v>4</v>
      </c>
      <c r="BB36" s="122">
        <v>0</v>
      </c>
      <c r="BC36" s="122">
        <v>0</v>
      </c>
      <c r="BD36" s="122">
        <v>1</v>
      </c>
      <c r="BE36" s="122" t="s">
        <v>221</v>
      </c>
      <c r="BF36" s="45">
        <v>2</v>
      </c>
      <c r="BG36" s="122">
        <f t="shared" si="16"/>
        <v>0</v>
      </c>
      <c r="BI36" s="181" t="s">
        <v>228</v>
      </c>
      <c r="BJ36" s="183"/>
      <c r="BL36" s="122">
        <v>4</v>
      </c>
      <c r="BM36" s="122">
        <v>0</v>
      </c>
      <c r="BN36" s="122">
        <v>0.13339999999999999</v>
      </c>
      <c r="BO36" s="122">
        <v>1</v>
      </c>
      <c r="BP36" s="122" t="s">
        <v>221</v>
      </c>
      <c r="BQ36" s="45">
        <v>2</v>
      </c>
      <c r="BR36" s="122">
        <f t="shared" si="17"/>
        <v>0</v>
      </c>
      <c r="BT36" s="181" t="s">
        <v>228</v>
      </c>
      <c r="BU36" s="183"/>
    </row>
    <row r="37" spans="2:73" x14ac:dyDescent="0.3">
      <c r="B37" s="84" t="s">
        <v>61</v>
      </c>
      <c r="C37" s="84">
        <f>-((R33+R34+R35+R44+R45)/(R45)*LOG((R33+R34+R35+R44+R45)/(R45),2))-((R31+R36+R40+R41+R42)/(R45)*LOG((R31+R36+R40+R41+R42)/(R45),2))-((R32+R37+R38+R39+R43)/(R45)*LOG((R32+R37+R38+R39+R43)/(R45),2))</f>
        <v>0.9428888454040909</v>
      </c>
      <c r="D37" s="84"/>
      <c r="E37" s="84"/>
      <c r="F37" s="84"/>
      <c r="G37" s="84"/>
      <c r="H37" s="84"/>
      <c r="I37" s="84"/>
      <c r="J37" s="84"/>
      <c r="K37" s="84"/>
      <c r="L37" s="84"/>
      <c r="M37" s="89" t="s">
        <v>35</v>
      </c>
      <c r="N37" s="86">
        <v>8</v>
      </c>
      <c r="O37" s="86">
        <f t="shared" si="9"/>
        <v>290</v>
      </c>
      <c r="P37" s="86">
        <f t="shared" si="10"/>
        <v>0</v>
      </c>
      <c r="Q37" s="7">
        <f>IF(AND($O$27&lt;O37,O37&lt;$P$27),(O37-$O$27)/($P$27-$O$27),IF(AND($P$27&lt;=O37,O37&lt;$Q$27),($Q$27-O37)/($Q$27-$P$27), IF(OR(O37&lt;=$O$27,O37&gt;=$Q$27),0,salah)))</f>
        <v>0</v>
      </c>
      <c r="R37" s="7">
        <f t="shared" si="11"/>
        <v>1</v>
      </c>
      <c r="T37" s="7">
        <v>7</v>
      </c>
      <c r="U37" s="24">
        <v>89</v>
      </c>
      <c r="V37" s="32">
        <f>IF(U37&lt;=$V$29,1,IF(AND($V$29&lt;U37,U37&lt;$W$29),($W$29-U37)/($W$29-$V$29),IF(U37&gt;=$W$29,0)))</f>
        <v>0</v>
      </c>
      <c r="W37" s="32">
        <f>IF(U37&lt;=$V$29,0,IF(AND($V$29&lt;U37,U37&lt;$W$29),(U37-$V$29)/($W$29-$V$29),IF(U37&gt;=$W$29,1)))</f>
        <v>1</v>
      </c>
      <c r="X37" s="125" t="s">
        <v>35</v>
      </c>
      <c r="Y37" s="7">
        <v>7</v>
      </c>
      <c r="Z37" s="18">
        <v>0</v>
      </c>
      <c r="AA37" s="7">
        <f t="shared" si="12"/>
        <v>0</v>
      </c>
      <c r="AB37" s="7">
        <f t="shared" si="13"/>
        <v>0</v>
      </c>
      <c r="AD37" s="7">
        <v>7</v>
      </c>
      <c r="AE37" s="18">
        <v>0</v>
      </c>
      <c r="AF37" s="7">
        <f t="shared" si="14"/>
        <v>0</v>
      </c>
      <c r="AG37" s="7">
        <f t="shared" si="15"/>
        <v>0</v>
      </c>
      <c r="BA37" s="122">
        <v>5</v>
      </c>
      <c r="BB37" s="122">
        <v>0</v>
      </c>
      <c r="BC37" s="122" t="s">
        <v>221</v>
      </c>
      <c r="BD37" s="122" t="s">
        <v>221</v>
      </c>
      <c r="BE37" s="122">
        <v>0</v>
      </c>
      <c r="BF37" s="45">
        <v>1</v>
      </c>
      <c r="BG37" s="122">
        <f t="shared" si="16"/>
        <v>0</v>
      </c>
      <c r="BI37" s="181">
        <f>(35 + 55)*(1)/(3*1)</f>
        <v>30</v>
      </c>
      <c r="BJ37" s="183"/>
      <c r="BL37" s="122">
        <v>5</v>
      </c>
      <c r="BM37" s="122">
        <v>0</v>
      </c>
      <c r="BN37" s="122" t="s">
        <v>221</v>
      </c>
      <c r="BO37" s="122" t="s">
        <v>221</v>
      </c>
      <c r="BP37" s="122">
        <v>0</v>
      </c>
      <c r="BQ37" s="45">
        <v>1</v>
      </c>
      <c r="BR37" s="122">
        <f t="shared" si="17"/>
        <v>0</v>
      </c>
      <c r="BT37" s="130">
        <f>(BU33 + 55)*(BR41)/(2*BR41)</f>
        <v>45</v>
      </c>
      <c r="BU37" s="131"/>
    </row>
    <row r="38" spans="2:73" x14ac:dyDescent="0.3">
      <c r="M38" s="18" t="s">
        <v>35</v>
      </c>
      <c r="N38" s="7">
        <v>9</v>
      </c>
      <c r="O38" s="7">
        <f t="shared" si="9"/>
        <v>250</v>
      </c>
      <c r="P38" s="7">
        <f t="shared" si="10"/>
        <v>0</v>
      </c>
      <c r="Q38" s="7">
        <f>IF(AND($O$27&lt;O38,O38&lt;$P$27),(O38-$O$27)/($P$27-$O$27),IF(AND($P$27&lt;=O38,O38&lt;$Q$27),($Q$27-O38)/($Q$27-$P$27), IF(OR(O38&lt;=$O$27,O38&gt;=$Q$27),0,salah)))</f>
        <v>0</v>
      </c>
      <c r="R38" s="7">
        <f t="shared" si="11"/>
        <v>1</v>
      </c>
      <c r="T38" s="7">
        <v>8</v>
      </c>
      <c r="U38" s="24">
        <v>91</v>
      </c>
      <c r="V38" s="32">
        <f>IF(U38&lt;=$V$29,1,IF(AND($V$29&lt;U38,U38&lt;$W$29),($W$29-U38)/($W$29-$V$29),IF(U38&gt;=$W$29,0)))</f>
        <v>0</v>
      </c>
      <c r="W38" s="32">
        <f>IF(U38&lt;=$V$29,0,IF(AND($V$29&lt;U38,U38&lt;$W$29),(U38-$V$29)/($W$29-$V$29),IF(U38&gt;=$W$29,1)))</f>
        <v>1</v>
      </c>
      <c r="X38" s="125" t="s">
        <v>35</v>
      </c>
      <c r="Y38" s="7">
        <v>8</v>
      </c>
      <c r="Z38" s="18">
        <v>0</v>
      </c>
      <c r="AA38" s="7">
        <f t="shared" si="12"/>
        <v>0</v>
      </c>
      <c r="AB38" s="7">
        <f t="shared" si="13"/>
        <v>0</v>
      </c>
      <c r="AD38" s="7">
        <v>8</v>
      </c>
      <c r="AE38" s="18">
        <v>1</v>
      </c>
      <c r="AF38" s="7">
        <f t="shared" si="14"/>
        <v>1</v>
      </c>
      <c r="AG38" s="7">
        <f t="shared" si="15"/>
        <v>1</v>
      </c>
      <c r="BA38" s="122">
        <v>6</v>
      </c>
      <c r="BB38" s="122">
        <v>0</v>
      </c>
      <c r="BC38" s="122">
        <v>1</v>
      </c>
      <c r="BD38" s="122">
        <v>0</v>
      </c>
      <c r="BE38" s="122">
        <v>1</v>
      </c>
      <c r="BF38" s="45">
        <v>2</v>
      </c>
      <c r="BG38" s="122">
        <f t="shared" si="16"/>
        <v>0</v>
      </c>
      <c r="BL38" s="122">
        <v>6</v>
      </c>
      <c r="BM38" s="122">
        <v>0</v>
      </c>
      <c r="BN38" s="122" t="s">
        <v>221</v>
      </c>
      <c r="BO38" s="122">
        <v>0</v>
      </c>
      <c r="BP38" s="122">
        <v>1</v>
      </c>
      <c r="BQ38" s="45">
        <v>2</v>
      </c>
      <c r="BR38" s="122">
        <f t="shared" si="17"/>
        <v>0</v>
      </c>
    </row>
    <row r="39" spans="2:73" x14ac:dyDescent="0.3">
      <c r="B39" t="s">
        <v>74</v>
      </c>
      <c r="M39" s="18" t="s">
        <v>30</v>
      </c>
      <c r="N39" s="7">
        <v>10</v>
      </c>
      <c r="O39" s="7">
        <f t="shared" si="9"/>
        <v>256</v>
      </c>
      <c r="P39" s="7">
        <f t="shared" si="10"/>
        <v>0</v>
      </c>
      <c r="Q39" s="7">
        <f>IF(AND($O$27&lt;O39,O39&lt;$P$27),(O39-$O$27)/($P$27-$O$27),IF(AND($P$27&lt;=O39,O39&lt;$Q$27),($Q$27-O39)/($Q$27-$P$27), IF(OR(O39&lt;=$O$27,O39&gt;=$Q$27),0,salah)))</f>
        <v>0</v>
      </c>
      <c r="R39" s="7">
        <f t="shared" si="11"/>
        <v>1</v>
      </c>
      <c r="T39" s="7">
        <v>9</v>
      </c>
      <c r="U39" s="27">
        <v>106</v>
      </c>
      <c r="V39" s="31">
        <f>IF(U39&lt;=$V$28,1,IF(AND($V$28&lt;U39,U39&lt;$W$28),($W$28-U39)/($W$28-$V$28),IF(U39&gt;=$W$28,0)))</f>
        <v>0</v>
      </c>
      <c r="W39" s="31">
        <f>IF(U39&lt;=$V$28,0,IF(AND($V$28&lt;U39,U39&lt;$W$28),(U39-$V$28)/($W$28-$V$28),IF(U39&gt;=$W$28,1)))</f>
        <v>1</v>
      </c>
      <c r="X39" s="125" t="s">
        <v>35</v>
      </c>
      <c r="Y39" s="7">
        <v>9</v>
      </c>
      <c r="Z39" s="18">
        <v>1</v>
      </c>
      <c r="AA39" s="7">
        <f t="shared" si="12"/>
        <v>1</v>
      </c>
      <c r="AB39" s="7">
        <f t="shared" si="13"/>
        <v>1</v>
      </c>
      <c r="AD39" s="7">
        <v>9</v>
      </c>
      <c r="AE39" s="18">
        <v>0</v>
      </c>
      <c r="AF39" s="7">
        <f t="shared" si="14"/>
        <v>0</v>
      </c>
      <c r="AG39" s="7">
        <f t="shared" si="15"/>
        <v>0</v>
      </c>
      <c r="BA39" s="122">
        <v>7</v>
      </c>
      <c r="BB39" s="122">
        <v>0</v>
      </c>
      <c r="BC39" s="122">
        <v>1</v>
      </c>
      <c r="BD39" s="122">
        <v>1</v>
      </c>
      <c r="BE39" s="45">
        <v>1</v>
      </c>
      <c r="BF39" s="45">
        <v>2</v>
      </c>
      <c r="BG39" s="122">
        <f t="shared" si="16"/>
        <v>0</v>
      </c>
      <c r="BL39" s="122">
        <v>7</v>
      </c>
      <c r="BM39" s="122">
        <v>0</v>
      </c>
      <c r="BN39" s="122"/>
      <c r="BO39" s="122">
        <v>1</v>
      </c>
      <c r="BP39" s="45">
        <v>1</v>
      </c>
      <c r="BQ39" s="45">
        <v>2</v>
      </c>
      <c r="BR39" s="122">
        <f t="shared" si="17"/>
        <v>0</v>
      </c>
    </row>
    <row r="40" spans="2:73" x14ac:dyDescent="0.3">
      <c r="B40" t="s">
        <v>57</v>
      </c>
      <c r="C40">
        <f>-((V33+V34+V35+V44+V45)/(V46)*LOG((V33+V34+V35+V44+V45)/(V46),2))-((V31+V36+V40+V41+V42)/(V46)*LOG((V31+V36+V40+V41+V42)/(V46),2))-(0)</f>
        <v>0.99498482818597012</v>
      </c>
      <c r="M40" s="18" t="s">
        <v>30</v>
      </c>
      <c r="N40" s="7">
        <v>11</v>
      </c>
      <c r="O40" s="7">
        <f t="shared" si="9"/>
        <v>209</v>
      </c>
      <c r="P40" s="7">
        <f t="shared" si="10"/>
        <v>0.05</v>
      </c>
      <c r="Q40" s="7">
        <f>IF(AND($O$27&lt;O40,O40&lt;$P$27),(O40-$O$27)/($P$27-$O$27),IF(AND($P$27&lt;=O40,O40&lt;$Q$27),($Q$27-O40)/($Q$27-$P$27), IF(OR(O40&lt;=$O$27,O40&gt;=$Q$27),0,salah)))</f>
        <v>0.95</v>
      </c>
      <c r="R40" s="7">
        <f t="shared" si="11"/>
        <v>0</v>
      </c>
      <c r="T40" s="7">
        <v>10</v>
      </c>
      <c r="U40" s="24">
        <v>78</v>
      </c>
      <c r="V40" s="32">
        <f>IF(U40&lt;=$V$29,1,IF(AND($V$29&lt;U40,U40&lt;$W$29),($W$29-U40)/($W$29-$V$29),IF(U40&gt;=$W$29,0)))</f>
        <v>0.13333333333333333</v>
      </c>
      <c r="W40" s="32">
        <f>IF(U40&lt;=$V$29,0,IF(AND($V$29&lt;U40,U40&lt;$W$29),(U40-$V$29)/($W$29-$V$29),IF(U40&gt;=$W$29,1)))</f>
        <v>0.8666666666666667</v>
      </c>
      <c r="X40" s="125" t="s">
        <v>30</v>
      </c>
      <c r="Y40" s="7">
        <v>10</v>
      </c>
      <c r="Z40" s="18">
        <v>1</v>
      </c>
      <c r="AA40" s="7">
        <f t="shared" si="12"/>
        <v>1</v>
      </c>
      <c r="AB40" s="7">
        <f t="shared" si="13"/>
        <v>1</v>
      </c>
      <c r="AD40" s="7">
        <v>10</v>
      </c>
      <c r="AE40" s="18">
        <v>0</v>
      </c>
      <c r="AF40" s="7">
        <f t="shared" si="14"/>
        <v>0</v>
      </c>
      <c r="AG40" s="7">
        <f t="shared" si="15"/>
        <v>0</v>
      </c>
      <c r="BA40" s="122">
        <v>8</v>
      </c>
      <c r="BB40" s="45">
        <v>1</v>
      </c>
      <c r="BC40" s="122" t="s">
        <v>221</v>
      </c>
      <c r="BD40" s="122" t="s">
        <v>221</v>
      </c>
      <c r="BE40" s="122" t="s">
        <v>221</v>
      </c>
      <c r="BF40" s="45">
        <v>3</v>
      </c>
      <c r="BG40" s="122">
        <f t="shared" si="16"/>
        <v>1</v>
      </c>
      <c r="BL40" s="122">
        <v>8</v>
      </c>
      <c r="BM40" s="45">
        <v>1</v>
      </c>
      <c r="BN40" s="122" t="s">
        <v>221</v>
      </c>
      <c r="BO40" s="122" t="s">
        <v>221</v>
      </c>
      <c r="BP40" s="122" t="s">
        <v>221</v>
      </c>
      <c r="BQ40" s="45">
        <v>3</v>
      </c>
      <c r="BR40" s="122">
        <f t="shared" si="17"/>
        <v>1</v>
      </c>
    </row>
    <row r="41" spans="2:73" x14ac:dyDescent="0.3">
      <c r="B41" t="s">
        <v>58</v>
      </c>
      <c r="C41">
        <f>-((W33+W34+W35+W44+W45)/(W46)*LOG((W33+W34+W35+W44+W45)/(W46),2))-((W31+W36+W40+W41+W42)/(W46)*LOG((W31+W36+W40+W41+W42)/(W46),2))-((W32+W37+W38+W39+W43)/(W46)*LOG((W32+W37+W38+W39+W43)/(W46),2))</f>
        <v>1.5798000840586433</v>
      </c>
      <c r="M41" s="18" t="s">
        <v>30</v>
      </c>
      <c r="N41" s="7">
        <v>12</v>
      </c>
      <c r="O41" s="7">
        <f t="shared" si="9"/>
        <v>225</v>
      </c>
      <c r="P41" s="7">
        <f t="shared" si="10"/>
        <v>0</v>
      </c>
      <c r="Q41" s="7">
        <f>IF(AND($O$27&lt;O41,O41&lt;$P$27),(O41-$O$27)/($P$27-$O$27),IF(AND($P$27&lt;=O41,O41&lt;$Q$27),($Q$27-O41)/($Q$27-$P$27), IF(OR(O41&lt;=$O$27,O41&gt;=$Q$27),0,salah)))</f>
        <v>0.625</v>
      </c>
      <c r="R41" s="7">
        <f t="shared" si="11"/>
        <v>0.375</v>
      </c>
      <c r="T41" s="7">
        <v>11</v>
      </c>
      <c r="U41" s="24">
        <v>71</v>
      </c>
      <c r="V41" s="32">
        <f>IF(U41&lt;=$V$29,1,IF(AND($V$29&lt;U41,U41&lt;$W$29),($W$29-U41)/($W$29-$V$29),IF(U41&gt;=$W$29,0)))</f>
        <v>0.6</v>
      </c>
      <c r="W41" s="32">
        <f>IF(U41&lt;=$V$29,0,IF(AND($V$29&lt;U41,U41&lt;$W$29),(U41-$V$29)/($W$29-$V$29),IF(U41&gt;=$W$29,1)))</f>
        <v>0.4</v>
      </c>
      <c r="X41" s="125" t="s">
        <v>30</v>
      </c>
      <c r="Y41" s="7">
        <v>11</v>
      </c>
      <c r="Z41" s="18">
        <v>0</v>
      </c>
      <c r="AA41" s="7">
        <f t="shared" si="12"/>
        <v>0</v>
      </c>
      <c r="AB41" s="7">
        <f t="shared" si="13"/>
        <v>0</v>
      </c>
      <c r="AD41" s="7">
        <v>11</v>
      </c>
      <c r="AE41" s="18">
        <v>1</v>
      </c>
      <c r="AF41" s="7">
        <f t="shared" si="14"/>
        <v>1</v>
      </c>
      <c r="AG41" s="7">
        <f t="shared" si="15"/>
        <v>1</v>
      </c>
      <c r="AK41" s="104" t="s">
        <v>77</v>
      </c>
      <c r="AL41" s="196" t="s">
        <v>167</v>
      </c>
      <c r="AM41" s="197"/>
      <c r="AN41" s="197"/>
      <c r="AO41" s="197"/>
      <c r="AP41" s="197"/>
      <c r="AQ41" s="197"/>
      <c r="AR41" s="197"/>
      <c r="AS41" s="197"/>
      <c r="AT41" s="197"/>
      <c r="AU41" s="197"/>
      <c r="AV41" s="198"/>
      <c r="BF41" t="s">
        <v>223</v>
      </c>
      <c r="BG41" s="132">
        <f>MAX(BG33:BG40)</f>
        <v>1</v>
      </c>
      <c r="BL41" s="119"/>
      <c r="BM41" s="119"/>
      <c r="BN41" s="119"/>
      <c r="BO41" s="119"/>
      <c r="BP41" s="119"/>
      <c r="BQ41" s="119" t="s">
        <v>223</v>
      </c>
      <c r="BR41" s="132">
        <f>MAX(BR33:BR40)</f>
        <v>1</v>
      </c>
    </row>
    <row r="42" spans="2:73" x14ac:dyDescent="0.3">
      <c r="M42" s="18" t="s">
        <v>35</v>
      </c>
      <c r="N42" s="7">
        <v>13</v>
      </c>
      <c r="O42" s="7">
        <f t="shared" si="9"/>
        <v>295</v>
      </c>
      <c r="P42" s="7">
        <f t="shared" si="10"/>
        <v>0</v>
      </c>
      <c r="Q42" s="7">
        <f>IF(AND($O$27&lt;O42,O42&lt;$P$27),(O42-$O$27)/($P$27-$O$27),IF(AND($P$27&lt;=O42,O42&lt;$Q$27),($Q$27-O42)/($Q$27-$P$27), IF(OR(O42&lt;=$O$27,O42&gt;=$Q$27),0,salah)))</f>
        <v>0</v>
      </c>
      <c r="R42" s="7">
        <f t="shared" si="11"/>
        <v>1</v>
      </c>
      <c r="T42" s="7">
        <v>12</v>
      </c>
      <c r="U42" s="27">
        <v>101</v>
      </c>
      <c r="V42" s="31">
        <f>IF(U42&lt;=$V$28,1,IF(AND($V$28&lt;U42,U42&lt;$W$28),($W$28-U42)/($W$28-$V$28),IF(U42&gt;=$W$28,0)))</f>
        <v>0</v>
      </c>
      <c r="W42" s="31">
        <f>IF(U42&lt;=$V$28,0,IF(AND($V$28&lt;U42,U42&lt;$W$28),(U42-$V$28)/($W$28-$V$28),IF(U42&gt;=$W$28,1)))</f>
        <v>1</v>
      </c>
      <c r="X42" s="125" t="s">
        <v>30</v>
      </c>
      <c r="Y42" s="7">
        <v>12</v>
      </c>
      <c r="Z42" s="18">
        <v>0</v>
      </c>
      <c r="AA42" s="7">
        <f t="shared" si="12"/>
        <v>0</v>
      </c>
      <c r="AB42" s="7">
        <f t="shared" si="13"/>
        <v>0</v>
      </c>
      <c r="AD42" s="7">
        <v>12</v>
      </c>
      <c r="AE42" s="18">
        <v>0</v>
      </c>
      <c r="AF42" s="7">
        <f t="shared" si="14"/>
        <v>0</v>
      </c>
      <c r="AG42" s="7">
        <f t="shared" si="15"/>
        <v>0</v>
      </c>
      <c r="AK42" s="122">
        <v>1</v>
      </c>
      <c r="AL42" s="181" t="s">
        <v>168</v>
      </c>
      <c r="AM42" s="182"/>
      <c r="AN42" s="182"/>
      <c r="AO42" s="182"/>
      <c r="AP42" s="182"/>
      <c r="AQ42" s="182"/>
      <c r="AR42" s="182"/>
      <c r="AS42" s="182"/>
      <c r="AT42" s="182"/>
      <c r="AU42" s="182"/>
      <c r="AV42" s="183"/>
    </row>
    <row r="43" spans="2:73" x14ac:dyDescent="0.3">
      <c r="M43" s="18" t="s">
        <v>36</v>
      </c>
      <c r="N43" s="7">
        <v>14</v>
      </c>
      <c r="O43" s="7">
        <f t="shared" si="9"/>
        <v>172</v>
      </c>
      <c r="P43" s="7">
        <f t="shared" si="10"/>
        <v>1</v>
      </c>
      <c r="Q43" s="7">
        <f>IF(AND($O$27&lt;O43,O43&lt;$P$27),(O43-$O$27)/($P$27-$O$27),IF(AND($P$27&lt;=O43,O43&lt;$Q$27),($Q$27-O43)/($Q$27-$P$27), IF(OR(O43&lt;=$O$27,O43&gt;=$Q$27),0,salah)))</f>
        <v>0</v>
      </c>
      <c r="R43" s="7">
        <f t="shared" si="11"/>
        <v>0</v>
      </c>
      <c r="T43" s="7">
        <v>13</v>
      </c>
      <c r="U43" s="27">
        <v>88</v>
      </c>
      <c r="V43" s="31">
        <f>IF(U43&lt;=$V$28,1,IF(AND($V$28&lt;U43,U43&lt;$W$28),($W$28-U43)/($W$28-$V$28),IF(U43&gt;=$W$28,0)))</f>
        <v>0</v>
      </c>
      <c r="W43" s="31">
        <f>IF(U43&lt;=$V$28,0,IF(AND($V$28&lt;U43,U43&lt;$W$28),(U43-$V$28)/($W$28-$V$28),IF(U43&gt;=$W$28,1)))</f>
        <v>1</v>
      </c>
      <c r="X43" s="125" t="s">
        <v>35</v>
      </c>
      <c r="Y43" s="7">
        <v>13</v>
      </c>
      <c r="Z43" s="18">
        <v>1</v>
      </c>
      <c r="AA43" s="7">
        <f t="shared" si="12"/>
        <v>1</v>
      </c>
      <c r="AB43" s="7">
        <f t="shared" si="13"/>
        <v>1</v>
      </c>
      <c r="AD43" s="7">
        <v>13</v>
      </c>
      <c r="AE43" s="18">
        <v>1</v>
      </c>
      <c r="AF43" s="7">
        <f t="shared" si="14"/>
        <v>1</v>
      </c>
      <c r="AG43" s="7">
        <f t="shared" si="15"/>
        <v>1</v>
      </c>
      <c r="AK43" s="122">
        <v>2</v>
      </c>
      <c r="AL43" s="181" t="s">
        <v>169</v>
      </c>
      <c r="AM43" s="182"/>
      <c r="AN43" s="182"/>
      <c r="AO43" s="182"/>
      <c r="AP43" s="182"/>
      <c r="AQ43" s="182"/>
      <c r="AR43" s="182"/>
      <c r="AS43" s="182"/>
      <c r="AT43" s="182"/>
      <c r="AU43" s="182"/>
      <c r="AV43" s="183"/>
      <c r="BA43" s="119" t="s">
        <v>230</v>
      </c>
      <c r="BB43" s="119"/>
      <c r="BC43" s="119"/>
      <c r="BD43" s="119"/>
      <c r="BE43" s="119"/>
      <c r="BF43" s="119"/>
      <c r="BG43" s="119"/>
      <c r="BL43" s="119" t="s">
        <v>242</v>
      </c>
      <c r="BM43" s="119"/>
      <c r="BN43" s="119"/>
      <c r="BO43" s="119"/>
      <c r="BP43" s="119"/>
      <c r="BQ43" s="119"/>
      <c r="BR43" s="119"/>
    </row>
    <row r="44" spans="2:73" x14ac:dyDescent="0.3">
      <c r="M44" s="18" t="s">
        <v>36</v>
      </c>
      <c r="N44" s="7">
        <v>15</v>
      </c>
      <c r="O44" s="7">
        <f t="shared" si="9"/>
        <v>222</v>
      </c>
      <c r="P44" s="7">
        <f t="shared" si="10"/>
        <v>0</v>
      </c>
      <c r="Q44" s="7">
        <f>IF(AND($O$27&lt;O44,O44&lt;$P$27),(O44-$O$27)/($P$27-$O$27),IF(AND($P$27&lt;=O44,O44&lt;$Q$27),($Q$27-O44)/($Q$27-$P$27), IF(OR(O44&lt;=$O$27,O44&gt;=$Q$27),0,salah)))</f>
        <v>0.7</v>
      </c>
      <c r="R44" s="7">
        <f t="shared" si="11"/>
        <v>0.3</v>
      </c>
      <c r="T44" s="7">
        <v>14</v>
      </c>
      <c r="U44" s="24">
        <v>79</v>
      </c>
      <c r="V44" s="32">
        <f>IF(U44&lt;=$V$29,1,IF(AND($V$29&lt;U44,U44&lt;$W$29),($W$29-U44)/($W$29-$V$29),IF(U44&gt;=$W$29,0)))</f>
        <v>6.6666666666666666E-2</v>
      </c>
      <c r="W44" s="32">
        <f>IF(U44&lt;=$V$29,0,IF(AND($V$29&lt;U44,U44&lt;$W$29),(U44-$V$29)/($W$29-$V$29),IF(U44&gt;=$W$29,1)))</f>
        <v>0.93333333333333335</v>
      </c>
      <c r="X44" s="125" t="s">
        <v>36</v>
      </c>
      <c r="Y44" s="7">
        <v>14</v>
      </c>
      <c r="Z44" s="18">
        <v>1</v>
      </c>
      <c r="AA44" s="7">
        <f t="shared" si="12"/>
        <v>1</v>
      </c>
      <c r="AB44" s="7">
        <f t="shared" si="13"/>
        <v>1</v>
      </c>
      <c r="AD44" s="7">
        <v>14</v>
      </c>
      <c r="AE44" s="18">
        <v>1</v>
      </c>
      <c r="AF44" s="7">
        <f t="shared" si="14"/>
        <v>1</v>
      </c>
      <c r="AG44" s="7">
        <f t="shared" si="15"/>
        <v>1</v>
      </c>
      <c r="AK44" s="122">
        <v>3</v>
      </c>
      <c r="AL44" s="181" t="s">
        <v>170</v>
      </c>
      <c r="AM44" s="182"/>
      <c r="AN44" s="182"/>
      <c r="AO44" s="182"/>
      <c r="AP44" s="182"/>
      <c r="AQ44" s="182"/>
      <c r="AR44" s="182"/>
      <c r="AS44" s="182"/>
      <c r="AT44" s="182"/>
      <c r="AU44" s="182"/>
      <c r="AV44" s="183"/>
      <c r="BA44" s="121" t="s">
        <v>220</v>
      </c>
      <c r="BB44" s="121" t="s">
        <v>215</v>
      </c>
      <c r="BC44" s="121" t="s">
        <v>214</v>
      </c>
      <c r="BD44" s="121" t="s">
        <v>4</v>
      </c>
      <c r="BE44" s="121" t="s">
        <v>10</v>
      </c>
      <c r="BF44" s="121" t="s">
        <v>66</v>
      </c>
      <c r="BG44" s="45" t="s">
        <v>222</v>
      </c>
      <c r="BI44" s="189" t="s">
        <v>225</v>
      </c>
      <c r="BJ44" s="189"/>
      <c r="BL44" s="121" t="s">
        <v>220</v>
      </c>
      <c r="BM44" s="121" t="s">
        <v>215</v>
      </c>
      <c r="BN44" s="121" t="s">
        <v>214</v>
      </c>
      <c r="BO44" s="121" t="s">
        <v>4</v>
      </c>
      <c r="BP44" s="121" t="s">
        <v>10</v>
      </c>
      <c r="BQ44" s="121" t="s">
        <v>66</v>
      </c>
      <c r="BR44" s="45" t="s">
        <v>222</v>
      </c>
      <c r="BT44" s="189" t="s">
        <v>225</v>
      </c>
      <c r="BU44" s="189"/>
    </row>
    <row r="45" spans="2:73" x14ac:dyDescent="0.3">
      <c r="O45" s="7" t="s">
        <v>64</v>
      </c>
      <c r="P45" s="37">
        <f>SUM(P30:P44)</f>
        <v>2.4500000000000002</v>
      </c>
      <c r="Q45" s="37">
        <f>SUM(Q30:Q44)</f>
        <v>6.75</v>
      </c>
      <c r="R45" s="39">
        <f>SUM(R30:R44)</f>
        <v>5.8</v>
      </c>
      <c r="T45" s="22">
        <v>15</v>
      </c>
      <c r="U45" s="28">
        <v>70</v>
      </c>
      <c r="V45" s="33">
        <f>IF(U45&lt;=$V$28,1,IF(AND($V$28&lt;U45,U45&lt;$W$28),($W$28-U45)/($W$28-$V$28),IF(U45&gt;=$W$28,0)))</f>
        <v>0.66666666666666663</v>
      </c>
      <c r="W45" s="33">
        <f>IF(U45&lt;=$V$28,0,IF(AND($V$28&lt;U45,U45&lt;$W$28),(U45-$V$28)/($W$28-$V$28),IF(U45&gt;=$W$28,1)))</f>
        <v>0.33333333333333331</v>
      </c>
      <c r="X45" s="125" t="s">
        <v>36</v>
      </c>
      <c r="Y45" s="22">
        <v>15</v>
      </c>
      <c r="Z45" s="19">
        <v>1</v>
      </c>
      <c r="AA45" s="22">
        <f t="shared" si="12"/>
        <v>1</v>
      </c>
      <c r="AB45" s="22">
        <f t="shared" si="13"/>
        <v>1</v>
      </c>
      <c r="AD45" s="22">
        <v>15</v>
      </c>
      <c r="AE45" s="19">
        <v>1</v>
      </c>
      <c r="AF45" s="22">
        <f t="shared" si="14"/>
        <v>1</v>
      </c>
      <c r="AG45" s="22">
        <f t="shared" si="15"/>
        <v>1</v>
      </c>
      <c r="AK45" s="122">
        <v>4</v>
      </c>
      <c r="AL45" s="181" t="s">
        <v>171</v>
      </c>
      <c r="AM45" s="182"/>
      <c r="AN45" s="182"/>
      <c r="AO45" s="182"/>
      <c r="AP45" s="182"/>
      <c r="AQ45" s="182"/>
      <c r="AR45" s="182"/>
      <c r="AS45" s="182"/>
      <c r="AT45" s="182"/>
      <c r="AU45" s="182"/>
      <c r="AV45" s="183"/>
      <c r="BA45" s="122">
        <v>1</v>
      </c>
      <c r="BB45" s="122">
        <v>0.05</v>
      </c>
      <c r="BC45" s="122" t="s">
        <v>221</v>
      </c>
      <c r="BD45" s="122" t="s">
        <v>221</v>
      </c>
      <c r="BE45" s="122" t="s">
        <v>221</v>
      </c>
      <c r="BF45" s="122">
        <v>1</v>
      </c>
      <c r="BG45" s="122">
        <f>MIN(BB45:BF45)</f>
        <v>0.05</v>
      </c>
      <c r="BI45" s="121" t="s">
        <v>226</v>
      </c>
      <c r="BJ45" s="121">
        <f>(35-25)*(1)+25</f>
        <v>35</v>
      </c>
      <c r="BL45" s="122">
        <v>1</v>
      </c>
      <c r="BM45" s="122">
        <v>0.05</v>
      </c>
      <c r="BN45" s="122" t="s">
        <v>221</v>
      </c>
      <c r="BO45" s="122" t="s">
        <v>221</v>
      </c>
      <c r="BP45" s="122" t="s">
        <v>221</v>
      </c>
      <c r="BQ45" s="122">
        <v>1</v>
      </c>
      <c r="BR45" s="122">
        <f>MIN(BM45:BQ45)</f>
        <v>0.05</v>
      </c>
      <c r="BT45" s="121" t="s">
        <v>226</v>
      </c>
      <c r="BU45" s="121">
        <f>(35-25)*(BR53)+25</f>
        <v>33</v>
      </c>
    </row>
    <row r="46" spans="2:73" x14ac:dyDescent="0.3">
      <c r="T46" s="16"/>
      <c r="U46" s="18" t="s">
        <v>64</v>
      </c>
      <c r="V46" s="7">
        <f>SUM(V31:V45)</f>
        <v>1.6</v>
      </c>
      <c r="W46" s="7">
        <f>SUM(W31:W45)</f>
        <v>13.400000000000002</v>
      </c>
      <c r="Y46" s="16"/>
      <c r="Z46" s="23"/>
      <c r="AA46" s="16"/>
      <c r="AB46" s="16"/>
      <c r="AD46" s="16"/>
      <c r="AE46" s="23"/>
      <c r="AF46" s="16"/>
      <c r="AG46" s="16"/>
      <c r="AK46" s="122">
        <v>5</v>
      </c>
      <c r="AL46" s="181" t="s">
        <v>172</v>
      </c>
      <c r="AM46" s="182"/>
      <c r="AN46" s="182"/>
      <c r="AO46" s="182"/>
      <c r="AP46" s="182"/>
      <c r="AQ46" s="182"/>
      <c r="AR46" s="182"/>
      <c r="AS46" s="182"/>
      <c r="AT46" s="182"/>
      <c r="AU46" s="182"/>
      <c r="AV46" s="183"/>
      <c r="BA46" s="122">
        <v>2</v>
      </c>
      <c r="BB46" s="122">
        <v>0.95</v>
      </c>
      <c r="BC46" s="122">
        <v>0</v>
      </c>
      <c r="BD46" s="122">
        <v>0</v>
      </c>
      <c r="BE46" s="122">
        <v>0</v>
      </c>
      <c r="BF46" s="45">
        <v>1</v>
      </c>
      <c r="BG46" s="122">
        <f>MIN(BB46:BF46)</f>
        <v>0</v>
      </c>
      <c r="BI46" s="121" t="s">
        <v>227</v>
      </c>
      <c r="BJ46" s="121">
        <v>55</v>
      </c>
      <c r="BL46" s="122">
        <v>2</v>
      </c>
      <c r="BM46" s="122">
        <v>0.95</v>
      </c>
      <c r="BN46" s="122">
        <v>0.6</v>
      </c>
      <c r="BO46" s="122">
        <v>0.8</v>
      </c>
      <c r="BP46" s="122">
        <v>0.1123</v>
      </c>
      <c r="BQ46" s="45">
        <v>1</v>
      </c>
      <c r="BR46" s="122">
        <f>MIN(BM46:BQ46)</f>
        <v>0.1123</v>
      </c>
      <c r="BT46" s="121" t="s">
        <v>227</v>
      </c>
      <c r="BU46" s="121">
        <v>55</v>
      </c>
    </row>
    <row r="47" spans="2:73" x14ac:dyDescent="0.3">
      <c r="T47" s="9"/>
      <c r="U47" s="20"/>
      <c r="V47" s="9"/>
      <c r="W47" s="9"/>
      <c r="Y47" s="9"/>
      <c r="Z47" s="20"/>
      <c r="AA47" s="9"/>
      <c r="AB47" s="9"/>
      <c r="AD47" s="9"/>
      <c r="AE47" s="20"/>
      <c r="AF47" s="9"/>
      <c r="AG47" s="9"/>
      <c r="AK47" s="122">
        <v>6</v>
      </c>
      <c r="AL47" s="181" t="s">
        <v>241</v>
      </c>
      <c r="AM47" s="182"/>
      <c r="AN47" s="182"/>
      <c r="AO47" s="182"/>
      <c r="AP47" s="182"/>
      <c r="AQ47" s="182"/>
      <c r="AR47" s="182"/>
      <c r="AS47" s="182"/>
      <c r="AT47" s="182"/>
      <c r="AU47" s="182"/>
      <c r="AV47" s="183"/>
      <c r="BA47" s="122">
        <v>3</v>
      </c>
      <c r="BB47" s="122">
        <v>0.95</v>
      </c>
      <c r="BC47" s="122">
        <v>0</v>
      </c>
      <c r="BD47" s="122">
        <v>0</v>
      </c>
      <c r="BE47" s="45">
        <v>1</v>
      </c>
      <c r="BF47" s="45">
        <v>2</v>
      </c>
      <c r="BG47" s="122">
        <f t="shared" ref="BG47:BG52" si="18">MIN(BB47:BF47)</f>
        <v>0</v>
      </c>
      <c r="BI47" s="119"/>
      <c r="BJ47" s="119"/>
      <c r="BL47" s="122">
        <v>3</v>
      </c>
      <c r="BM47" s="122">
        <v>0.95</v>
      </c>
      <c r="BN47" s="122">
        <v>0.6</v>
      </c>
      <c r="BO47" s="122">
        <v>0.8</v>
      </c>
      <c r="BP47" s="45">
        <v>0.88770000000000004</v>
      </c>
      <c r="BQ47" s="45">
        <v>2</v>
      </c>
      <c r="BR47" s="122">
        <f t="shared" ref="BR47:BR52" si="19">MIN(BM47:BQ47)</f>
        <v>0.6</v>
      </c>
      <c r="BT47" s="119"/>
      <c r="BU47" s="119"/>
    </row>
    <row r="48" spans="2:73" x14ac:dyDescent="0.3">
      <c r="T48" s="9"/>
      <c r="U48" s="20"/>
      <c r="V48" s="9"/>
      <c r="W48" s="9"/>
      <c r="Y48" s="9"/>
      <c r="Z48" s="20"/>
      <c r="AA48" s="9"/>
      <c r="AB48" s="9"/>
      <c r="AD48" s="9"/>
      <c r="AE48" s="20"/>
      <c r="AF48" s="9"/>
      <c r="AG48" s="9"/>
      <c r="AK48" s="122">
        <v>7</v>
      </c>
      <c r="AL48" s="181" t="s">
        <v>240</v>
      </c>
      <c r="AM48" s="182"/>
      <c r="AN48" s="182"/>
      <c r="AO48" s="182"/>
      <c r="AP48" s="182"/>
      <c r="AQ48" s="182"/>
      <c r="AR48" s="182"/>
      <c r="AS48" s="182"/>
      <c r="AT48" s="182"/>
      <c r="AU48" s="182"/>
      <c r="AV48" s="183"/>
      <c r="BA48" s="122">
        <v>4</v>
      </c>
      <c r="BB48" s="122">
        <v>0.95</v>
      </c>
      <c r="BC48" s="122">
        <v>0</v>
      </c>
      <c r="BD48" s="122">
        <v>1</v>
      </c>
      <c r="BE48" s="122" t="s">
        <v>221</v>
      </c>
      <c r="BF48" s="45">
        <v>2</v>
      </c>
      <c r="BG48" s="122">
        <f t="shared" si="18"/>
        <v>0</v>
      </c>
      <c r="BI48" s="181" t="s">
        <v>228</v>
      </c>
      <c r="BJ48" s="183"/>
      <c r="BL48" s="122">
        <v>4</v>
      </c>
      <c r="BM48" s="122">
        <v>0.95</v>
      </c>
      <c r="BN48" s="122">
        <v>0.6</v>
      </c>
      <c r="BO48" s="122">
        <v>0.2</v>
      </c>
      <c r="BP48" s="122" t="s">
        <v>221</v>
      </c>
      <c r="BQ48" s="45">
        <v>2</v>
      </c>
      <c r="BR48" s="122">
        <f t="shared" si="19"/>
        <v>0.2</v>
      </c>
      <c r="BT48" s="181" t="s">
        <v>228</v>
      </c>
      <c r="BU48" s="183"/>
    </row>
    <row r="49" spans="1:73" x14ac:dyDescent="0.3">
      <c r="T49" s="9"/>
      <c r="U49" s="20"/>
      <c r="V49" s="9"/>
      <c r="W49" s="9"/>
      <c r="Y49" s="9"/>
      <c r="Z49" s="20"/>
      <c r="AA49" s="9"/>
      <c r="AB49" s="9"/>
      <c r="AD49" s="9"/>
      <c r="AE49" s="20"/>
      <c r="AF49" s="9"/>
      <c r="AG49" s="9"/>
      <c r="AK49" s="122">
        <v>8</v>
      </c>
      <c r="AL49" s="181" t="s">
        <v>175</v>
      </c>
      <c r="AM49" s="182"/>
      <c r="AN49" s="182"/>
      <c r="AO49" s="182"/>
      <c r="AP49" s="182"/>
      <c r="AQ49" s="182"/>
      <c r="AR49" s="182"/>
      <c r="AS49" s="182"/>
      <c r="AT49" s="182"/>
      <c r="AU49" s="182"/>
      <c r="AV49" s="183"/>
      <c r="BA49" s="122">
        <v>5</v>
      </c>
      <c r="BB49" s="122">
        <v>0.95</v>
      </c>
      <c r="BC49" s="122" t="s">
        <v>221</v>
      </c>
      <c r="BD49" s="122" t="s">
        <v>221</v>
      </c>
      <c r="BE49" s="122">
        <v>0</v>
      </c>
      <c r="BF49" s="45">
        <v>1</v>
      </c>
      <c r="BG49" s="122">
        <f t="shared" si="18"/>
        <v>0</v>
      </c>
      <c r="BI49" s="181">
        <f>(35 + 55)*(1)/(3*1)</f>
        <v>30</v>
      </c>
      <c r="BJ49" s="183"/>
      <c r="BL49" s="122">
        <v>5</v>
      </c>
      <c r="BM49" s="122">
        <v>0.95</v>
      </c>
      <c r="BN49" s="122" t="s">
        <v>221</v>
      </c>
      <c r="BO49" s="122" t="s">
        <v>221</v>
      </c>
      <c r="BP49" s="122">
        <v>0.1123</v>
      </c>
      <c r="BQ49" s="45">
        <v>1</v>
      </c>
      <c r="BR49" s="122">
        <f t="shared" si="19"/>
        <v>0.1123</v>
      </c>
      <c r="BT49" s="130">
        <f>(BU45 + 55)*(BR53)/(2*BR53)</f>
        <v>44</v>
      </c>
      <c r="BU49" s="131"/>
    </row>
    <row r="50" spans="1:73" x14ac:dyDescent="0.3">
      <c r="T50" s="9"/>
      <c r="U50" s="20"/>
      <c r="V50" s="9"/>
      <c r="W50" s="9"/>
      <c r="Y50" s="9"/>
      <c r="Z50" s="20"/>
      <c r="AA50" s="9"/>
      <c r="AB50" s="9"/>
      <c r="AD50" s="9"/>
      <c r="AE50" s="20"/>
      <c r="AF50" s="9"/>
      <c r="AG50" s="9"/>
      <c r="BA50" s="122">
        <v>6</v>
      </c>
      <c r="BB50" s="122">
        <v>0.95</v>
      </c>
      <c r="BC50" s="122">
        <v>1</v>
      </c>
      <c r="BD50" s="122">
        <v>0</v>
      </c>
      <c r="BE50" s="122">
        <v>1</v>
      </c>
      <c r="BF50" s="45">
        <v>2</v>
      </c>
      <c r="BG50" s="122">
        <f t="shared" si="18"/>
        <v>0</v>
      </c>
      <c r="BL50" s="122">
        <v>6</v>
      </c>
      <c r="BM50" s="122">
        <v>0.95</v>
      </c>
      <c r="BN50" s="122" t="s">
        <v>221</v>
      </c>
      <c r="BO50" s="122">
        <v>0.8</v>
      </c>
      <c r="BP50" s="122">
        <v>0.88770000000000004</v>
      </c>
      <c r="BQ50" s="45">
        <v>2</v>
      </c>
      <c r="BR50" s="122">
        <f t="shared" si="19"/>
        <v>0.8</v>
      </c>
    </row>
    <row r="51" spans="1:73" x14ac:dyDescent="0.3">
      <c r="B51" t="s">
        <v>44</v>
      </c>
      <c r="G51" t="s">
        <v>155</v>
      </c>
      <c r="J51" t="s">
        <v>61</v>
      </c>
      <c r="BA51" s="122">
        <v>7</v>
      </c>
      <c r="BB51" s="122">
        <v>0.95</v>
      </c>
      <c r="BC51" s="122">
        <v>1</v>
      </c>
      <c r="BD51" s="122">
        <v>1</v>
      </c>
      <c r="BE51" s="45">
        <v>1</v>
      </c>
      <c r="BF51" s="45">
        <v>2</v>
      </c>
      <c r="BG51" s="122">
        <f t="shared" si="18"/>
        <v>0.95</v>
      </c>
      <c r="BL51" s="122">
        <v>7</v>
      </c>
      <c r="BM51" s="122">
        <v>0.95</v>
      </c>
      <c r="BN51" s="122"/>
      <c r="BO51" s="122">
        <v>0.8</v>
      </c>
      <c r="BP51" s="45">
        <v>0.88770000000000004</v>
      </c>
      <c r="BQ51" s="45">
        <v>2</v>
      </c>
      <c r="BR51" s="122">
        <f t="shared" si="19"/>
        <v>0.8</v>
      </c>
    </row>
    <row r="52" spans="1:73" x14ac:dyDescent="0.3">
      <c r="M52" t="s">
        <v>131</v>
      </c>
      <c r="AK52" t="s">
        <v>234</v>
      </c>
      <c r="AM52">
        <f>(10/15)*100</f>
        <v>66.666666666666657</v>
      </c>
      <c r="AN52" s="128"/>
      <c r="BA52" s="122">
        <v>8</v>
      </c>
      <c r="BB52" s="45">
        <v>1</v>
      </c>
      <c r="BC52" s="122" t="s">
        <v>221</v>
      </c>
      <c r="BD52" s="122" t="s">
        <v>221</v>
      </c>
      <c r="BE52" s="122" t="s">
        <v>221</v>
      </c>
      <c r="BF52" s="45">
        <v>3</v>
      </c>
      <c r="BG52" s="122">
        <f t="shared" si="18"/>
        <v>1</v>
      </c>
      <c r="BL52" s="122">
        <v>8</v>
      </c>
      <c r="BM52" s="45">
        <v>0</v>
      </c>
      <c r="BN52" s="122" t="s">
        <v>221</v>
      </c>
      <c r="BO52" s="122" t="s">
        <v>221</v>
      </c>
      <c r="BP52" s="122" t="s">
        <v>221</v>
      </c>
      <c r="BQ52" s="45">
        <v>3</v>
      </c>
      <c r="BR52" s="122">
        <f t="shared" si="19"/>
        <v>0</v>
      </c>
    </row>
    <row r="53" spans="1:73" x14ac:dyDescent="0.3">
      <c r="T53" s="9"/>
      <c r="U53" s="9" t="s">
        <v>10</v>
      </c>
      <c r="V53" s="9" t="s">
        <v>44</v>
      </c>
      <c r="W53" s="9" t="s">
        <v>47</v>
      </c>
      <c r="Z53" s="20" t="s">
        <v>27</v>
      </c>
      <c r="AA53">
        <v>1</v>
      </c>
      <c r="AB53">
        <v>0</v>
      </c>
      <c r="AF53" s="18" t="s">
        <v>34</v>
      </c>
      <c r="AG53" s="18" t="s">
        <v>29</v>
      </c>
      <c r="AH53" s="18" t="s">
        <v>38</v>
      </c>
      <c r="AK53" s="120" t="s">
        <v>46</v>
      </c>
      <c r="AL53" s="122" t="s">
        <v>235</v>
      </c>
      <c r="AM53" s="120" t="s">
        <v>176</v>
      </c>
      <c r="AN53" t="s">
        <v>228</v>
      </c>
      <c r="BA53" s="119"/>
      <c r="BB53" s="119"/>
      <c r="BC53" s="119"/>
      <c r="BD53" s="119"/>
      <c r="BE53" s="119"/>
      <c r="BF53" s="119" t="s">
        <v>223</v>
      </c>
      <c r="BG53" s="132">
        <f>MAX(BG45:BG52)</f>
        <v>1</v>
      </c>
      <c r="BL53" s="119"/>
      <c r="BM53" s="119"/>
      <c r="BN53" s="119"/>
      <c r="BO53" s="119"/>
      <c r="BP53" s="119"/>
      <c r="BQ53" s="119" t="s">
        <v>223</v>
      </c>
      <c r="BR53" s="132">
        <f>MAX(BR45:BR52)</f>
        <v>0.8</v>
      </c>
    </row>
    <row r="54" spans="1:73" x14ac:dyDescent="0.3">
      <c r="A54" s="48" t="s">
        <v>77</v>
      </c>
      <c r="B54" s="40" t="s">
        <v>78</v>
      </c>
      <c r="C54" s="40" t="s">
        <v>79</v>
      </c>
      <c r="E54" s="87" t="s">
        <v>77</v>
      </c>
      <c r="F54" s="87" t="s">
        <v>78</v>
      </c>
      <c r="G54" s="87" t="s">
        <v>79</v>
      </c>
      <c r="I54" s="87" t="s">
        <v>77</v>
      </c>
      <c r="J54" s="87" t="s">
        <v>78</v>
      </c>
      <c r="K54" s="87" t="s">
        <v>79</v>
      </c>
      <c r="M54" s="46" t="s">
        <v>98</v>
      </c>
      <c r="N54" s="47"/>
      <c r="T54" s="9"/>
      <c r="U54" s="9"/>
      <c r="V54" s="9">
        <v>15</v>
      </c>
      <c r="W54" s="9">
        <v>20</v>
      </c>
      <c r="Z54" s="20" t="s">
        <v>32</v>
      </c>
      <c r="AA54">
        <v>0</v>
      </c>
      <c r="AB54">
        <v>1</v>
      </c>
      <c r="AE54" t="s">
        <v>75</v>
      </c>
      <c r="AK54" s="122">
        <v>1</v>
      </c>
      <c r="AL54" s="125">
        <v>2</v>
      </c>
      <c r="AM54" s="122">
        <v>2</v>
      </c>
    </row>
    <row r="55" spans="1:73" x14ac:dyDescent="0.3">
      <c r="A55" s="40">
        <v>3</v>
      </c>
      <c r="B55" s="86">
        <v>0.05</v>
      </c>
      <c r="C55" s="40">
        <v>1</v>
      </c>
      <c r="E55" s="87">
        <v>1</v>
      </c>
      <c r="F55" s="87">
        <v>0.875</v>
      </c>
      <c r="G55" s="45">
        <v>2</v>
      </c>
      <c r="I55" s="87">
        <v>1</v>
      </c>
      <c r="J55" s="87">
        <v>0.125</v>
      </c>
      <c r="K55" s="45">
        <v>2</v>
      </c>
      <c r="M55" t="s">
        <v>81</v>
      </c>
      <c r="O55" t="s">
        <v>85</v>
      </c>
      <c r="S55" s="7" t="s">
        <v>66</v>
      </c>
      <c r="T55" s="7" t="s">
        <v>46</v>
      </c>
      <c r="U55" s="7" t="s">
        <v>10</v>
      </c>
      <c r="V55" s="7" t="s">
        <v>44</v>
      </c>
      <c r="W55" s="7" t="s">
        <v>47</v>
      </c>
      <c r="Y55" s="7" t="s">
        <v>46</v>
      </c>
      <c r="Z55" s="7" t="s">
        <v>13</v>
      </c>
      <c r="AA55" s="18" t="s">
        <v>27</v>
      </c>
      <c r="AB55" s="18" t="s">
        <v>32</v>
      </c>
      <c r="AD55" s="7" t="s">
        <v>46</v>
      </c>
      <c r="AE55" s="7" t="s">
        <v>66</v>
      </c>
      <c r="AF55" s="18" t="s">
        <v>75</v>
      </c>
      <c r="AG55" s="18" t="s">
        <v>34</v>
      </c>
      <c r="AH55" s="18" t="s">
        <v>29</v>
      </c>
      <c r="AI55" s="18" t="s">
        <v>38</v>
      </c>
      <c r="AK55" s="122">
        <v>2</v>
      </c>
      <c r="AL55" s="125">
        <v>3</v>
      </c>
      <c r="AM55" s="122">
        <v>3</v>
      </c>
      <c r="BA55" s="119" t="s">
        <v>231</v>
      </c>
      <c r="BB55" s="119"/>
      <c r="BC55" s="119"/>
      <c r="BD55" s="119"/>
      <c r="BE55" s="119"/>
      <c r="BF55" s="119"/>
      <c r="BG55" s="119"/>
      <c r="BL55" s="119" t="s">
        <v>243</v>
      </c>
      <c r="BM55" s="119"/>
      <c r="BN55" s="119"/>
      <c r="BO55" s="119"/>
      <c r="BP55" s="119"/>
      <c r="BQ55" s="119"/>
      <c r="BR55" s="119"/>
    </row>
    <row r="56" spans="1:73" x14ac:dyDescent="0.3">
      <c r="A56" s="40">
        <v>4</v>
      </c>
      <c r="B56" s="86">
        <v>0.35</v>
      </c>
      <c r="C56" s="40">
        <v>1</v>
      </c>
      <c r="E56" s="87">
        <v>3</v>
      </c>
      <c r="F56" s="87">
        <v>0.95</v>
      </c>
      <c r="G56" s="45">
        <v>1</v>
      </c>
      <c r="I56" s="87">
        <v>2</v>
      </c>
      <c r="J56" s="87">
        <v>1</v>
      </c>
      <c r="K56" s="45">
        <v>3</v>
      </c>
      <c r="M56" s="101" t="s">
        <v>82</v>
      </c>
      <c r="N56" s="101">
        <f>SUM(B55,B56,B57,B61)</f>
        <v>2</v>
      </c>
      <c r="O56" s="101">
        <f>((N56)/(N56+N57+N58))*(100)</f>
        <v>81.632653061224502</v>
      </c>
      <c r="P56" s="101" t="s">
        <v>165</v>
      </c>
      <c r="S56" s="18" t="s">
        <v>30</v>
      </c>
      <c r="T56" s="7">
        <v>1</v>
      </c>
      <c r="U56" s="4">
        <f>H8/(G8*G8)</f>
        <v>23.598931085099178</v>
      </c>
      <c r="V56" s="7">
        <f>IF(U56&lt;=$V$54,1,IF(AND($V$54&lt;U56,U56&lt;$W$54),($W$54-U56)/($W$54-$V$54),IF(U56&gt;=$W$54,0)))</f>
        <v>0</v>
      </c>
      <c r="W56" s="7">
        <f>IF(U56&lt;=$V$54,0,IF(AND($V$54&lt;U56,U56&lt;$W$54),(U56-$V$54)/($W$54-$V$54),IF(U56&gt;=$W$54,1)))</f>
        <v>1</v>
      </c>
      <c r="Y56" s="7">
        <v>1</v>
      </c>
      <c r="Z56" s="18">
        <v>1</v>
      </c>
      <c r="AA56" s="7">
        <f>($AB$53-Z56)/($AB$53-$AA$53)</f>
        <v>1</v>
      </c>
      <c r="AB56" s="7">
        <f>(Z56-$AA$54)/($AB$54-$AA$54)</f>
        <v>1</v>
      </c>
      <c r="AD56" s="7">
        <v>1</v>
      </c>
      <c r="AE56" s="18" t="s">
        <v>30</v>
      </c>
      <c r="AF56" s="18" t="s">
        <v>29</v>
      </c>
      <c r="AG56" s="7"/>
      <c r="AH56" s="7"/>
      <c r="AI56" s="7"/>
      <c r="AK56" s="122">
        <v>3</v>
      </c>
      <c r="AL56" s="125">
        <v>1</v>
      </c>
      <c r="AM56" s="122">
        <v>3</v>
      </c>
      <c r="BA56" s="121" t="s">
        <v>220</v>
      </c>
      <c r="BB56" s="121" t="s">
        <v>215</v>
      </c>
      <c r="BC56" s="121" t="s">
        <v>214</v>
      </c>
      <c r="BD56" s="121" t="s">
        <v>4</v>
      </c>
      <c r="BE56" s="121" t="s">
        <v>10</v>
      </c>
      <c r="BF56" s="121" t="s">
        <v>66</v>
      </c>
      <c r="BG56" s="45" t="s">
        <v>222</v>
      </c>
      <c r="BI56" s="189" t="s">
        <v>225</v>
      </c>
      <c r="BJ56" s="189"/>
      <c r="BL56" s="121" t="s">
        <v>220</v>
      </c>
      <c r="BM56" s="121" t="s">
        <v>215</v>
      </c>
      <c r="BN56" s="121" t="s">
        <v>214</v>
      </c>
      <c r="BO56" s="121" t="s">
        <v>4</v>
      </c>
      <c r="BP56" s="121" t="s">
        <v>10</v>
      </c>
      <c r="BQ56" s="121" t="s">
        <v>66</v>
      </c>
      <c r="BR56" s="45" t="s">
        <v>222</v>
      </c>
      <c r="BT56" s="189" t="s">
        <v>225</v>
      </c>
      <c r="BU56" s="189"/>
    </row>
    <row r="57" spans="1:73" x14ac:dyDescent="0.3">
      <c r="A57" s="45">
        <v>5</v>
      </c>
      <c r="B57" s="86">
        <v>0.6</v>
      </c>
      <c r="C57" s="40">
        <v>1</v>
      </c>
      <c r="E57" s="87">
        <v>4</v>
      </c>
      <c r="F57" s="87">
        <v>0.65</v>
      </c>
      <c r="G57" s="45">
        <v>1</v>
      </c>
      <c r="I57" s="87">
        <v>8</v>
      </c>
      <c r="J57" s="87">
        <v>1</v>
      </c>
      <c r="K57" s="45">
        <v>3</v>
      </c>
      <c r="M57" t="s">
        <v>83</v>
      </c>
      <c r="N57">
        <f>SUM(B58,B60)</f>
        <v>0.3</v>
      </c>
      <c r="O57">
        <f>((N57)/(N56+N57+N58))*(100)</f>
        <v>12.244897959183675</v>
      </c>
      <c r="S57" s="18" t="s">
        <v>35</v>
      </c>
      <c r="T57" s="7">
        <v>2</v>
      </c>
      <c r="U57" s="4">
        <f t="shared" ref="U57:U70" si="20">H9/(G9*G9)</f>
        <v>27.174526704053598</v>
      </c>
      <c r="V57" s="7">
        <f t="shared" ref="V57:V70" si="21">IF(U57&lt;=$V$54,1,IF(AND($V$54&lt;U57,U57&lt;$W$54),($W$54-U57)/($W$54-$V$54),IF(U57&gt;=$W$54,0)))</f>
        <v>0</v>
      </c>
      <c r="W57" s="7">
        <f>IF(U57&lt;=$V$54,0,IF(AND($V$54&lt;U57,U57&lt;$W$54),(U57-$V$54)/($W$54-$V$54),IF(U57&gt;=$W$54,1)))</f>
        <v>1</v>
      </c>
      <c r="Y57" s="7">
        <v>2</v>
      </c>
      <c r="Z57" s="18">
        <v>0</v>
      </c>
      <c r="AA57" s="7">
        <f t="shared" ref="AA57:AA70" si="22">($AB$53-Z57)/($AB$53-$AA$53)</f>
        <v>0</v>
      </c>
      <c r="AB57" s="7">
        <f t="shared" ref="AB57:AB70" si="23">(Z57-$AA$54)/($AB$54-$AA$54)</f>
        <v>0</v>
      </c>
      <c r="AD57" s="7">
        <v>2</v>
      </c>
      <c r="AE57" s="18" t="s">
        <v>35</v>
      </c>
      <c r="AF57" s="18" t="s">
        <v>34</v>
      </c>
      <c r="AG57" s="7"/>
      <c r="AH57" s="7"/>
      <c r="AI57" s="7"/>
      <c r="AK57" s="122">
        <v>4</v>
      </c>
      <c r="AL57" s="125">
        <v>1</v>
      </c>
      <c r="AM57" s="122">
        <v>2</v>
      </c>
      <c r="BA57" s="122">
        <v>1</v>
      </c>
      <c r="BB57" s="122">
        <v>0.35</v>
      </c>
      <c r="BC57" s="122" t="s">
        <v>221</v>
      </c>
      <c r="BD57" s="122" t="s">
        <v>221</v>
      </c>
      <c r="BE57" s="122" t="s">
        <v>221</v>
      </c>
      <c r="BF57" s="122">
        <v>1</v>
      </c>
      <c r="BG57" s="122">
        <f>MIN(BB57:BF57)</f>
        <v>0.35</v>
      </c>
      <c r="BI57" s="121" t="s">
        <v>226</v>
      </c>
      <c r="BJ57" s="121">
        <f>(35-25)*(0.65)+25</f>
        <v>31.5</v>
      </c>
      <c r="BL57" s="122">
        <v>1</v>
      </c>
      <c r="BM57" s="122">
        <v>0</v>
      </c>
      <c r="BN57" s="122" t="s">
        <v>221</v>
      </c>
      <c r="BO57" s="122" t="s">
        <v>221</v>
      </c>
      <c r="BP57" s="122" t="s">
        <v>221</v>
      </c>
      <c r="BQ57" s="122">
        <v>1</v>
      </c>
      <c r="BR57" s="122">
        <f>MIN(BM57:BQ57)</f>
        <v>0</v>
      </c>
      <c r="BT57" s="121" t="s">
        <v>226</v>
      </c>
      <c r="BU57" s="121">
        <f>(35-25)*(BR65)+25</f>
        <v>31.25</v>
      </c>
    </row>
    <row r="58" spans="1:73" x14ac:dyDescent="0.3">
      <c r="A58" s="45">
        <v>6</v>
      </c>
      <c r="B58" s="86">
        <v>0.25</v>
      </c>
      <c r="C58" s="40">
        <v>2</v>
      </c>
      <c r="E58" s="87">
        <v>5</v>
      </c>
      <c r="F58" s="87">
        <v>0.4</v>
      </c>
      <c r="G58" s="45">
        <v>1</v>
      </c>
      <c r="I58" s="87">
        <v>9</v>
      </c>
      <c r="J58" s="87">
        <v>1</v>
      </c>
      <c r="K58" s="45">
        <v>3</v>
      </c>
      <c r="M58" t="s">
        <v>84</v>
      </c>
      <c r="N58">
        <f>SUM(B59)</f>
        <v>0.15</v>
      </c>
      <c r="O58">
        <f>((N58)/(N56+N57+N58))*(100)</f>
        <v>6.1224489795918373</v>
      </c>
      <c r="S58" s="18" t="s">
        <v>36</v>
      </c>
      <c r="T58" s="7">
        <v>3</v>
      </c>
      <c r="U58" s="4">
        <f t="shared" si="20"/>
        <v>26.840928029472394</v>
      </c>
      <c r="V58" s="7">
        <f t="shared" si="21"/>
        <v>0</v>
      </c>
      <c r="W58" s="7">
        <f t="shared" ref="W58:W70" si="24">IF(U58&lt;=$V$54,0,IF(AND($V$54&lt;U58,U58&lt;$W$54),(U58-$V$54)/($W$54-$V$54),IF(U58&gt;=$W$54,1)))</f>
        <v>1</v>
      </c>
      <c r="Y58" s="7">
        <v>3</v>
      </c>
      <c r="Z58" s="18">
        <v>1</v>
      </c>
      <c r="AA58" s="7">
        <f t="shared" si="22"/>
        <v>1</v>
      </c>
      <c r="AB58" s="7">
        <f t="shared" si="23"/>
        <v>1</v>
      </c>
      <c r="AD58" s="7">
        <v>3</v>
      </c>
      <c r="AE58" s="18" t="s">
        <v>36</v>
      </c>
      <c r="AF58" s="18" t="s">
        <v>34</v>
      </c>
      <c r="AG58" s="7"/>
      <c r="AH58" s="7"/>
      <c r="AI58" s="7"/>
      <c r="AK58" s="122">
        <v>5</v>
      </c>
      <c r="AL58" s="125">
        <v>1</v>
      </c>
      <c r="AM58" s="122">
        <v>1</v>
      </c>
      <c r="BA58" s="122">
        <v>2</v>
      </c>
      <c r="BB58" s="122">
        <v>0.65</v>
      </c>
      <c r="BC58" s="122">
        <v>0</v>
      </c>
      <c r="BD58" s="122">
        <v>0.68</v>
      </c>
      <c r="BE58" s="122">
        <v>0</v>
      </c>
      <c r="BF58" s="45">
        <v>1</v>
      </c>
      <c r="BG58" s="122">
        <f>MIN(BB58:BF58)</f>
        <v>0</v>
      </c>
      <c r="BI58" s="121" t="s">
        <v>227</v>
      </c>
      <c r="BJ58" s="121">
        <v>55</v>
      </c>
      <c r="BL58" s="122">
        <v>2</v>
      </c>
      <c r="BM58" s="122">
        <v>0.625</v>
      </c>
      <c r="BN58" s="122">
        <v>0</v>
      </c>
      <c r="BO58" s="122">
        <v>0.76</v>
      </c>
      <c r="BP58" s="122">
        <v>0</v>
      </c>
      <c r="BQ58" s="45">
        <v>1</v>
      </c>
      <c r="BR58" s="122">
        <f>MIN(BM58:BQ58)</f>
        <v>0</v>
      </c>
      <c r="BT58" s="121" t="s">
        <v>227</v>
      </c>
      <c r="BU58" s="121">
        <v>55</v>
      </c>
    </row>
    <row r="59" spans="1:73" x14ac:dyDescent="0.3">
      <c r="A59" s="45">
        <v>7</v>
      </c>
      <c r="B59" s="86">
        <v>0.15</v>
      </c>
      <c r="C59" s="40">
        <v>3</v>
      </c>
      <c r="E59" s="87">
        <v>6</v>
      </c>
      <c r="F59" s="87">
        <v>0.75</v>
      </c>
      <c r="G59" s="45">
        <v>2</v>
      </c>
      <c r="I59" s="87">
        <v>10</v>
      </c>
      <c r="J59" s="87">
        <v>1</v>
      </c>
      <c r="K59" s="45">
        <v>2</v>
      </c>
      <c r="S59" s="18" t="s">
        <v>36</v>
      </c>
      <c r="T59" s="7">
        <v>4</v>
      </c>
      <c r="U59" s="4">
        <f t="shared" si="20"/>
        <v>32.456398197138938</v>
      </c>
      <c r="V59" s="7">
        <f t="shared" si="21"/>
        <v>0</v>
      </c>
      <c r="W59" s="7">
        <f t="shared" si="24"/>
        <v>1</v>
      </c>
      <c r="Y59" s="7">
        <v>4</v>
      </c>
      <c r="Z59" s="18">
        <v>0</v>
      </c>
      <c r="AA59" s="7">
        <f t="shared" si="22"/>
        <v>0</v>
      </c>
      <c r="AB59" s="7">
        <f t="shared" si="23"/>
        <v>0</v>
      </c>
      <c r="AD59" s="7">
        <v>4</v>
      </c>
      <c r="AE59" s="18" t="s">
        <v>36</v>
      </c>
      <c r="AF59" s="18" t="s">
        <v>34</v>
      </c>
      <c r="AG59" s="7"/>
      <c r="AH59" s="7"/>
      <c r="AI59" s="7"/>
      <c r="AK59" s="122">
        <v>6</v>
      </c>
      <c r="AL59" s="125">
        <v>2</v>
      </c>
      <c r="AM59" s="122">
        <v>2</v>
      </c>
      <c r="BA59" s="122">
        <v>3</v>
      </c>
      <c r="BB59" s="122">
        <v>0.65</v>
      </c>
      <c r="BC59" s="122">
        <v>0</v>
      </c>
      <c r="BD59" s="122">
        <v>0.68</v>
      </c>
      <c r="BE59" s="45">
        <v>1</v>
      </c>
      <c r="BF59" s="45">
        <v>2</v>
      </c>
      <c r="BG59" s="122">
        <f t="shared" ref="BG59:BG64" si="25">MIN(BB59:BF59)</f>
        <v>0</v>
      </c>
      <c r="BI59" s="119"/>
      <c r="BJ59" s="119"/>
      <c r="BL59" s="122">
        <v>3</v>
      </c>
      <c r="BM59" s="122">
        <v>0.625</v>
      </c>
      <c r="BN59" s="122">
        <v>0</v>
      </c>
      <c r="BO59" s="122">
        <v>0.76</v>
      </c>
      <c r="BP59" s="45">
        <v>1</v>
      </c>
      <c r="BQ59" s="45">
        <v>2</v>
      </c>
      <c r="BR59" s="122">
        <f t="shared" ref="BR59:BR64" si="26">MIN(BM59:BQ59)</f>
        <v>0</v>
      </c>
      <c r="BT59" s="119"/>
      <c r="BU59" s="119"/>
    </row>
    <row r="60" spans="1:73" x14ac:dyDescent="0.3">
      <c r="A60" s="45">
        <v>11</v>
      </c>
      <c r="B60" s="86">
        <v>0.05</v>
      </c>
      <c r="C60" s="40">
        <v>2</v>
      </c>
      <c r="E60" s="87">
        <v>7</v>
      </c>
      <c r="F60" s="87">
        <v>0.85</v>
      </c>
      <c r="G60" s="45">
        <v>3</v>
      </c>
      <c r="I60" s="87">
        <v>12</v>
      </c>
      <c r="J60" s="87">
        <v>0.375</v>
      </c>
      <c r="K60" s="45">
        <v>2</v>
      </c>
      <c r="M60" t="s">
        <v>99</v>
      </c>
      <c r="S60" s="18" t="s">
        <v>36</v>
      </c>
      <c r="T60" s="7">
        <v>5</v>
      </c>
      <c r="U60" s="4">
        <f t="shared" si="20"/>
        <v>23.59729780446613</v>
      </c>
      <c r="V60" s="7">
        <f t="shared" si="21"/>
        <v>0</v>
      </c>
      <c r="W60" s="7">
        <f t="shared" si="24"/>
        <v>1</v>
      </c>
      <c r="Y60" s="7">
        <v>5</v>
      </c>
      <c r="Z60" s="18">
        <v>1</v>
      </c>
      <c r="AA60" s="7">
        <f t="shared" si="22"/>
        <v>1</v>
      </c>
      <c r="AB60" s="7">
        <f t="shared" si="23"/>
        <v>1</v>
      </c>
      <c r="AD60" s="7">
        <v>5</v>
      </c>
      <c r="AE60" s="18" t="s">
        <v>36</v>
      </c>
      <c r="AF60" s="18" t="s">
        <v>34</v>
      </c>
      <c r="AG60" s="7"/>
      <c r="AH60" s="7"/>
      <c r="AI60" s="7"/>
      <c r="AK60" s="122">
        <v>7</v>
      </c>
      <c r="AL60" s="125">
        <v>3</v>
      </c>
      <c r="AM60" s="122">
        <v>2</v>
      </c>
      <c r="BA60" s="122">
        <v>4</v>
      </c>
      <c r="BB60" s="122">
        <v>0.65</v>
      </c>
      <c r="BC60" s="122">
        <v>0</v>
      </c>
      <c r="BD60" s="122">
        <v>0.32</v>
      </c>
      <c r="BE60" s="122" t="s">
        <v>221</v>
      </c>
      <c r="BF60" s="45">
        <v>2</v>
      </c>
      <c r="BG60" s="122">
        <f t="shared" si="25"/>
        <v>0</v>
      </c>
      <c r="BI60" s="181" t="s">
        <v>228</v>
      </c>
      <c r="BJ60" s="183"/>
      <c r="BL60" s="122">
        <v>4</v>
      </c>
      <c r="BM60" s="122">
        <v>0.625</v>
      </c>
      <c r="BN60" s="122">
        <v>0</v>
      </c>
      <c r="BO60" s="122">
        <v>0.24</v>
      </c>
      <c r="BP60" s="122" t="s">
        <v>221</v>
      </c>
      <c r="BQ60" s="45">
        <v>2</v>
      </c>
      <c r="BR60" s="122">
        <f t="shared" si="26"/>
        <v>0</v>
      </c>
      <c r="BT60" s="181" t="s">
        <v>228</v>
      </c>
      <c r="BU60" s="183"/>
    </row>
    <row r="61" spans="1:73" x14ac:dyDescent="0.3">
      <c r="A61" s="45">
        <v>14</v>
      </c>
      <c r="B61" s="86">
        <v>1</v>
      </c>
      <c r="C61" s="40">
        <v>1</v>
      </c>
      <c r="E61" s="87">
        <v>11</v>
      </c>
      <c r="F61" s="87">
        <v>0.95</v>
      </c>
      <c r="G61" s="45">
        <v>2</v>
      </c>
      <c r="I61" s="87">
        <v>13</v>
      </c>
      <c r="J61" s="87">
        <v>1</v>
      </c>
      <c r="K61" s="45">
        <v>3</v>
      </c>
      <c r="M61" t="s">
        <v>81</v>
      </c>
      <c r="O61" t="s">
        <v>85</v>
      </c>
      <c r="S61" s="18" t="s">
        <v>30</v>
      </c>
      <c r="T61" s="7">
        <v>6</v>
      </c>
      <c r="U61" s="4">
        <f t="shared" si="20"/>
        <v>31.301350186727948</v>
      </c>
      <c r="V61" s="7">
        <f t="shared" si="21"/>
        <v>0</v>
      </c>
      <c r="W61" s="7">
        <f t="shared" si="24"/>
        <v>1</v>
      </c>
      <c r="Y61" s="7">
        <v>6</v>
      </c>
      <c r="Z61" s="18">
        <v>0</v>
      </c>
      <c r="AA61" s="7">
        <f t="shared" si="22"/>
        <v>0</v>
      </c>
      <c r="AB61" s="7">
        <f t="shared" si="23"/>
        <v>0</v>
      </c>
      <c r="AD61" s="7">
        <v>6</v>
      </c>
      <c r="AE61" s="18" t="s">
        <v>30</v>
      </c>
      <c r="AF61" s="18" t="s">
        <v>29</v>
      </c>
      <c r="AG61" s="7"/>
      <c r="AH61" s="7"/>
      <c r="AI61" s="7"/>
      <c r="AK61" s="122">
        <v>8</v>
      </c>
      <c r="AL61" s="125">
        <v>3</v>
      </c>
      <c r="AM61" s="122">
        <v>3</v>
      </c>
      <c r="BA61" s="122">
        <v>5</v>
      </c>
      <c r="BB61" s="122">
        <v>0.65</v>
      </c>
      <c r="BC61" s="122" t="s">
        <v>221</v>
      </c>
      <c r="BD61" s="122" t="s">
        <v>221</v>
      </c>
      <c r="BE61" s="122">
        <v>0</v>
      </c>
      <c r="BF61" s="45">
        <v>1</v>
      </c>
      <c r="BG61" s="122">
        <f t="shared" si="25"/>
        <v>0</v>
      </c>
      <c r="BI61" s="181">
        <f>(BJ57 + 55)*(BG65)/(2*BG65)</f>
        <v>43.25</v>
      </c>
      <c r="BJ61" s="183"/>
      <c r="BL61" s="122">
        <v>5</v>
      </c>
      <c r="BM61" s="122">
        <v>0.625</v>
      </c>
      <c r="BN61" s="122" t="s">
        <v>221</v>
      </c>
      <c r="BO61" s="122" t="s">
        <v>221</v>
      </c>
      <c r="BP61" s="122">
        <v>0</v>
      </c>
      <c r="BQ61" s="45">
        <v>1</v>
      </c>
      <c r="BR61" s="122">
        <f t="shared" si="26"/>
        <v>0</v>
      </c>
      <c r="BT61" s="130">
        <f>(BU57 + 55)*(BR65)/(2*BR65)</f>
        <v>43.125</v>
      </c>
      <c r="BU61" s="131"/>
    </row>
    <row r="62" spans="1:73" x14ac:dyDescent="0.3">
      <c r="E62" s="87">
        <v>12</v>
      </c>
      <c r="F62" s="87">
        <v>0.625</v>
      </c>
      <c r="G62" s="45">
        <v>2</v>
      </c>
      <c r="I62" s="87">
        <v>15</v>
      </c>
      <c r="J62" s="87">
        <v>0.3</v>
      </c>
      <c r="K62" s="45">
        <v>1</v>
      </c>
      <c r="M62" t="s">
        <v>82</v>
      </c>
      <c r="N62">
        <f>SUM(F56,F57,F63,F58)</f>
        <v>2.6999999999999997</v>
      </c>
      <c r="O62">
        <f>((N62)/(N62+N63+N64))*(100)</f>
        <v>40</v>
      </c>
      <c r="S62" s="18" t="s">
        <v>35</v>
      </c>
      <c r="T62" s="7">
        <v>7</v>
      </c>
      <c r="U62" s="4">
        <f t="shared" si="20"/>
        <v>26.134122287968442</v>
      </c>
      <c r="V62" s="7">
        <f t="shared" si="21"/>
        <v>0</v>
      </c>
      <c r="W62" s="7">
        <f t="shared" si="24"/>
        <v>1</v>
      </c>
      <c r="Y62" s="7">
        <v>7</v>
      </c>
      <c r="Z62" s="18">
        <v>1</v>
      </c>
      <c r="AA62" s="7">
        <f t="shared" si="22"/>
        <v>1</v>
      </c>
      <c r="AB62" s="7">
        <f t="shared" si="23"/>
        <v>1</v>
      </c>
      <c r="AD62" s="7">
        <v>7</v>
      </c>
      <c r="AE62" s="18" t="s">
        <v>35</v>
      </c>
      <c r="AF62" s="18" t="s">
        <v>38</v>
      </c>
      <c r="AG62" s="7"/>
      <c r="AH62" s="7"/>
      <c r="AI62" s="7"/>
      <c r="AK62" s="122">
        <v>9</v>
      </c>
      <c r="AL62" s="125">
        <v>3</v>
      </c>
      <c r="AM62" s="122">
        <v>3</v>
      </c>
      <c r="BA62" s="122">
        <v>6</v>
      </c>
      <c r="BB62" s="122">
        <v>0.65</v>
      </c>
      <c r="BC62" s="122">
        <v>1</v>
      </c>
      <c r="BD62" s="122">
        <v>0.68</v>
      </c>
      <c r="BE62" s="122">
        <v>1</v>
      </c>
      <c r="BF62" s="45">
        <v>2</v>
      </c>
      <c r="BG62" s="122">
        <f t="shared" si="25"/>
        <v>0.65</v>
      </c>
      <c r="BL62" s="122">
        <v>6</v>
      </c>
      <c r="BM62" s="122">
        <v>0.625</v>
      </c>
      <c r="BN62" s="122" t="s">
        <v>221</v>
      </c>
      <c r="BO62" s="122">
        <v>0.76</v>
      </c>
      <c r="BP62" s="122">
        <v>1</v>
      </c>
      <c r="BQ62" s="45">
        <v>2</v>
      </c>
      <c r="BR62" s="122">
        <f t="shared" si="26"/>
        <v>0.625</v>
      </c>
    </row>
    <row r="63" spans="1:73" x14ac:dyDescent="0.3">
      <c r="E63" s="87">
        <v>15</v>
      </c>
      <c r="F63" s="87">
        <v>0.7</v>
      </c>
      <c r="G63" s="45">
        <v>1</v>
      </c>
      <c r="M63" t="s">
        <v>83</v>
      </c>
      <c r="N63">
        <f>SUM(F59,F55,F61,F62,)</f>
        <v>3.2</v>
      </c>
      <c r="O63">
        <f>((N63)/(N62+N63+N64))*(100)</f>
        <v>47.407407407407412</v>
      </c>
      <c r="S63" s="18" t="s">
        <v>35</v>
      </c>
      <c r="T63" s="7">
        <v>8</v>
      </c>
      <c r="U63" s="4">
        <f t="shared" si="20"/>
        <v>26.406182183159721</v>
      </c>
      <c r="V63" s="7">
        <f t="shared" si="21"/>
        <v>0</v>
      </c>
      <c r="W63" s="7">
        <f t="shared" si="24"/>
        <v>1</v>
      </c>
      <c r="Y63" s="7">
        <v>8</v>
      </c>
      <c r="Z63" s="18">
        <v>1</v>
      </c>
      <c r="AA63" s="7">
        <f t="shared" si="22"/>
        <v>1</v>
      </c>
      <c r="AB63" s="7">
        <f t="shared" si="23"/>
        <v>1</v>
      </c>
      <c r="AD63" s="7">
        <v>8</v>
      </c>
      <c r="AE63" s="18" t="s">
        <v>35</v>
      </c>
      <c r="AF63" s="18" t="s">
        <v>38</v>
      </c>
      <c r="AG63" s="7"/>
      <c r="AH63" s="7"/>
      <c r="AI63" s="7"/>
      <c r="AK63" s="122">
        <v>10</v>
      </c>
      <c r="AL63" s="125">
        <v>2</v>
      </c>
      <c r="AM63" s="122">
        <v>3</v>
      </c>
      <c r="BA63" s="122">
        <v>7</v>
      </c>
      <c r="BB63" s="122">
        <v>0</v>
      </c>
      <c r="BC63" s="122">
        <v>1</v>
      </c>
      <c r="BD63" s="122">
        <v>0.32</v>
      </c>
      <c r="BE63" s="45">
        <v>1</v>
      </c>
      <c r="BF63" s="45">
        <v>2</v>
      </c>
      <c r="BG63" s="122">
        <f t="shared" si="25"/>
        <v>0</v>
      </c>
      <c r="BL63" s="122">
        <v>7</v>
      </c>
      <c r="BM63" s="122">
        <v>0.625</v>
      </c>
      <c r="BN63" s="122"/>
      <c r="BO63" s="122">
        <v>0.24</v>
      </c>
      <c r="BP63" s="45">
        <v>1</v>
      </c>
      <c r="BQ63" s="45">
        <v>2</v>
      </c>
      <c r="BR63" s="122">
        <f t="shared" si="26"/>
        <v>0.24</v>
      </c>
    </row>
    <row r="64" spans="1:73" x14ac:dyDescent="0.3">
      <c r="E64" t="s">
        <v>88</v>
      </c>
      <c r="M64" t="s">
        <v>84</v>
      </c>
      <c r="N64">
        <f>SUM(F60)</f>
        <v>0.85</v>
      </c>
      <c r="O64">
        <f>((N64)/($N$62+$N$63+$N$64))*(100)</f>
        <v>12.592592592592592</v>
      </c>
      <c r="S64" s="18" t="s">
        <v>35</v>
      </c>
      <c r="T64" s="7">
        <v>9</v>
      </c>
      <c r="U64" s="4">
        <f t="shared" si="20"/>
        <v>36.892361111111114</v>
      </c>
      <c r="V64" s="7">
        <f t="shared" si="21"/>
        <v>0</v>
      </c>
      <c r="W64" s="7">
        <f t="shared" si="24"/>
        <v>1</v>
      </c>
      <c r="Y64" s="7">
        <v>9</v>
      </c>
      <c r="Z64" s="18">
        <v>0</v>
      </c>
      <c r="AA64" s="7">
        <f t="shared" si="22"/>
        <v>0</v>
      </c>
      <c r="AB64" s="7">
        <f t="shared" si="23"/>
        <v>0</v>
      </c>
      <c r="AD64" s="7">
        <v>9</v>
      </c>
      <c r="AE64" s="18" t="s">
        <v>35</v>
      </c>
      <c r="AF64" s="18" t="s">
        <v>34</v>
      </c>
      <c r="AG64" s="7"/>
      <c r="AH64" s="7"/>
      <c r="AI64" s="7"/>
      <c r="AK64" s="122">
        <v>11</v>
      </c>
      <c r="AL64" s="125">
        <v>2</v>
      </c>
      <c r="AM64" s="122">
        <v>2</v>
      </c>
      <c r="BA64" s="122">
        <v>8</v>
      </c>
      <c r="BB64" s="45">
        <v>0</v>
      </c>
      <c r="BC64" s="122" t="s">
        <v>221</v>
      </c>
      <c r="BD64" s="122" t="s">
        <v>221</v>
      </c>
      <c r="BE64" s="122" t="s">
        <v>221</v>
      </c>
      <c r="BF64" s="45">
        <v>3</v>
      </c>
      <c r="BG64" s="122">
        <f t="shared" si="25"/>
        <v>0</v>
      </c>
      <c r="BL64" s="122">
        <v>8</v>
      </c>
      <c r="BM64" s="45">
        <v>0.375</v>
      </c>
      <c r="BN64" s="122" t="s">
        <v>221</v>
      </c>
      <c r="BO64" s="122" t="s">
        <v>221</v>
      </c>
      <c r="BP64" s="122" t="s">
        <v>221</v>
      </c>
      <c r="BQ64" s="45">
        <v>3</v>
      </c>
      <c r="BR64" s="122">
        <f t="shared" si="26"/>
        <v>0.375</v>
      </c>
    </row>
    <row r="65" spans="13:73" x14ac:dyDescent="0.3">
      <c r="S65" s="18" t="s">
        <v>30</v>
      </c>
      <c r="T65" s="7">
        <v>10</v>
      </c>
      <c r="U65" s="4">
        <f t="shared" si="20"/>
        <v>20.894901144640997</v>
      </c>
      <c r="V65" s="7">
        <f t="shared" si="21"/>
        <v>0</v>
      </c>
      <c r="W65" s="7">
        <f t="shared" si="24"/>
        <v>1</v>
      </c>
      <c r="Y65" s="7">
        <v>10</v>
      </c>
      <c r="Z65" s="18">
        <v>1</v>
      </c>
      <c r="AA65" s="7">
        <f t="shared" si="22"/>
        <v>1</v>
      </c>
      <c r="AB65" s="7">
        <f t="shared" si="23"/>
        <v>1</v>
      </c>
      <c r="AD65" s="7">
        <v>10</v>
      </c>
      <c r="AE65" s="18" t="s">
        <v>30</v>
      </c>
      <c r="AF65" s="18" t="s">
        <v>29</v>
      </c>
      <c r="AG65" s="7"/>
      <c r="AH65" s="7"/>
      <c r="AI65" s="7"/>
      <c r="AK65" s="122">
        <v>12</v>
      </c>
      <c r="AL65" s="125">
        <v>2</v>
      </c>
      <c r="AM65" s="122">
        <v>2</v>
      </c>
      <c r="BA65" s="119"/>
      <c r="BB65" s="119"/>
      <c r="BC65" s="119"/>
      <c r="BD65" s="119"/>
      <c r="BE65" s="119"/>
      <c r="BF65" s="119" t="s">
        <v>223</v>
      </c>
      <c r="BG65" s="132">
        <f>MAX(BG57:BG64)</f>
        <v>0.65</v>
      </c>
      <c r="BL65" s="119"/>
      <c r="BM65" s="119"/>
      <c r="BN65" s="119"/>
      <c r="BO65" s="119"/>
      <c r="BP65" s="119"/>
      <c r="BQ65" s="119" t="s">
        <v>223</v>
      </c>
      <c r="BR65" s="132">
        <f>MAX(BR57:BR64)</f>
        <v>0.625</v>
      </c>
    </row>
    <row r="66" spans="13:73" x14ac:dyDescent="0.3">
      <c r="M66" t="s">
        <v>100</v>
      </c>
      <c r="S66" s="18" t="s">
        <v>30</v>
      </c>
      <c r="T66" s="7">
        <v>11</v>
      </c>
      <c r="U66" s="4">
        <f t="shared" si="20"/>
        <v>19.438507030643446</v>
      </c>
      <c r="V66" s="7">
        <f t="shared" si="21"/>
        <v>0.11229859387131072</v>
      </c>
      <c r="W66" s="7">
        <f t="shared" si="24"/>
        <v>0.88770140612868931</v>
      </c>
      <c r="Y66" s="7">
        <v>11</v>
      </c>
      <c r="Z66" s="18">
        <v>1</v>
      </c>
      <c r="AA66" s="7">
        <f t="shared" si="22"/>
        <v>1</v>
      </c>
      <c r="AB66" s="7">
        <f t="shared" si="23"/>
        <v>1</v>
      </c>
      <c r="AD66" s="7">
        <v>11</v>
      </c>
      <c r="AE66" s="18" t="s">
        <v>30</v>
      </c>
      <c r="AF66" s="18" t="s">
        <v>34</v>
      </c>
      <c r="AG66" s="7"/>
      <c r="AH66" s="7"/>
      <c r="AI66" s="7"/>
      <c r="AK66" s="122">
        <v>13</v>
      </c>
      <c r="AL66" s="125">
        <v>3</v>
      </c>
      <c r="AM66" s="122">
        <v>3</v>
      </c>
    </row>
    <row r="67" spans="13:73" x14ac:dyDescent="0.3">
      <c r="M67" t="s">
        <v>81</v>
      </c>
      <c r="O67" t="s">
        <v>85</v>
      </c>
      <c r="S67" s="18" t="s">
        <v>30</v>
      </c>
      <c r="T67" s="7">
        <v>12</v>
      </c>
      <c r="U67" s="4">
        <f t="shared" si="20"/>
        <v>29.453124999999996</v>
      </c>
      <c r="V67" s="7">
        <f t="shared" si="21"/>
        <v>0</v>
      </c>
      <c r="W67" s="7">
        <f t="shared" si="24"/>
        <v>1</v>
      </c>
      <c r="Y67" s="7">
        <v>12</v>
      </c>
      <c r="Z67" s="18">
        <v>1</v>
      </c>
      <c r="AA67" s="7">
        <f t="shared" si="22"/>
        <v>1</v>
      </c>
      <c r="AB67" s="7">
        <f t="shared" si="23"/>
        <v>1</v>
      </c>
      <c r="AD67" s="7">
        <v>12</v>
      </c>
      <c r="AE67" s="18" t="s">
        <v>30</v>
      </c>
      <c r="AF67" s="18" t="s">
        <v>34</v>
      </c>
      <c r="AG67" s="7"/>
      <c r="AH67" s="7"/>
      <c r="AI67" s="7"/>
      <c r="AK67" s="122">
        <v>14</v>
      </c>
      <c r="AL67" s="125">
        <v>1</v>
      </c>
      <c r="AM67" s="122">
        <v>1</v>
      </c>
      <c r="BA67" s="119" t="s">
        <v>232</v>
      </c>
      <c r="BB67" s="119"/>
      <c r="BC67" s="119"/>
      <c r="BD67" s="119"/>
      <c r="BE67" s="119"/>
      <c r="BF67" s="119"/>
      <c r="BG67" s="119"/>
      <c r="BL67" s="119" t="s">
        <v>244</v>
      </c>
      <c r="BM67" s="119"/>
      <c r="BN67" s="119"/>
      <c r="BO67" s="119"/>
      <c r="BP67" s="119"/>
      <c r="BQ67" s="119"/>
      <c r="BR67" s="119"/>
    </row>
    <row r="68" spans="13:73" x14ac:dyDescent="0.3">
      <c r="M68" t="s">
        <v>82</v>
      </c>
      <c r="N68">
        <f>SUM(J62)</f>
        <v>0.3</v>
      </c>
      <c r="O68">
        <f>((N68)/($N$68+$N$69+$N$70))*(100)</f>
        <v>5.1724137931034484</v>
      </c>
      <c r="S68" s="18" t="s">
        <v>35</v>
      </c>
      <c r="T68" s="7">
        <v>13</v>
      </c>
      <c r="U68" s="4">
        <f t="shared" si="20"/>
        <v>20.176778194270909</v>
      </c>
      <c r="V68" s="7">
        <f t="shared" si="21"/>
        <v>0</v>
      </c>
      <c r="W68" s="7">
        <f t="shared" si="24"/>
        <v>1</v>
      </c>
      <c r="Y68" s="7">
        <v>13</v>
      </c>
      <c r="Z68" s="18">
        <v>1</v>
      </c>
      <c r="AA68" s="7">
        <f t="shared" si="22"/>
        <v>1</v>
      </c>
      <c r="AB68" s="7">
        <f t="shared" si="23"/>
        <v>1</v>
      </c>
      <c r="AD68" s="7">
        <v>13</v>
      </c>
      <c r="AE68" s="18" t="s">
        <v>35</v>
      </c>
      <c r="AF68" s="18" t="s">
        <v>38</v>
      </c>
      <c r="AG68" s="7"/>
      <c r="AH68" s="7"/>
      <c r="AI68" s="7"/>
      <c r="AK68" s="122">
        <v>15</v>
      </c>
      <c r="AL68" s="125">
        <v>1</v>
      </c>
      <c r="AM68" s="122">
        <v>2</v>
      </c>
      <c r="BA68" s="121" t="s">
        <v>220</v>
      </c>
      <c r="BB68" s="121" t="s">
        <v>215</v>
      </c>
      <c r="BC68" s="121" t="s">
        <v>214</v>
      </c>
      <c r="BD68" s="121" t="s">
        <v>4</v>
      </c>
      <c r="BE68" s="121" t="s">
        <v>10</v>
      </c>
      <c r="BF68" s="121" t="s">
        <v>66</v>
      </c>
      <c r="BG68" s="45" t="s">
        <v>222</v>
      </c>
      <c r="BI68" s="189" t="s">
        <v>225</v>
      </c>
      <c r="BJ68" s="189"/>
      <c r="BL68" s="121" t="s">
        <v>220</v>
      </c>
      <c r="BM68" s="121" t="s">
        <v>215</v>
      </c>
      <c r="BN68" s="121" t="s">
        <v>214</v>
      </c>
      <c r="BO68" s="121" t="s">
        <v>4</v>
      </c>
      <c r="BP68" s="121" t="s">
        <v>10</v>
      </c>
      <c r="BQ68" s="121" t="s">
        <v>66</v>
      </c>
      <c r="BR68" s="45" t="s">
        <v>222</v>
      </c>
      <c r="BT68" s="189" t="s">
        <v>225</v>
      </c>
      <c r="BU68" s="189"/>
    </row>
    <row r="69" spans="13:73" x14ac:dyDescent="0.3">
      <c r="M69" t="s">
        <v>83</v>
      </c>
      <c r="N69">
        <f>SUM(J55,J59,J60)</f>
        <v>1.5</v>
      </c>
      <c r="O69">
        <f>((N69)/($N$68+$N$69+$N$70))*(100)</f>
        <v>25.862068965517242</v>
      </c>
      <c r="S69" s="18" t="s">
        <v>36</v>
      </c>
      <c r="T69" s="7">
        <v>14</v>
      </c>
      <c r="U69" s="4">
        <f t="shared" si="20"/>
        <v>23.473802275276395</v>
      </c>
      <c r="V69" s="7">
        <f t="shared" si="21"/>
        <v>0</v>
      </c>
      <c r="W69" s="7">
        <f t="shared" si="24"/>
        <v>1</v>
      </c>
      <c r="Y69" s="7">
        <v>14</v>
      </c>
      <c r="Z69" s="18">
        <v>1</v>
      </c>
      <c r="AA69" s="7">
        <f t="shared" si="22"/>
        <v>1</v>
      </c>
      <c r="AB69" s="7">
        <f t="shared" si="23"/>
        <v>1</v>
      </c>
      <c r="AD69" s="7">
        <v>14</v>
      </c>
      <c r="AE69" s="18" t="s">
        <v>36</v>
      </c>
      <c r="AF69" s="18" t="s">
        <v>29</v>
      </c>
      <c r="AG69" s="7"/>
      <c r="AH69" s="7"/>
      <c r="AI69" s="7"/>
      <c r="BA69" s="122">
        <v>1</v>
      </c>
      <c r="BB69" s="122">
        <v>0.6</v>
      </c>
      <c r="BC69" s="122" t="s">
        <v>221</v>
      </c>
      <c r="BD69" s="122" t="s">
        <v>221</v>
      </c>
      <c r="BE69" s="122" t="s">
        <v>221</v>
      </c>
      <c r="BF69" s="122">
        <v>1</v>
      </c>
      <c r="BG69" s="122">
        <f>MIN(BB69:BF69)</f>
        <v>0.6</v>
      </c>
      <c r="BI69" s="121" t="s">
        <v>226</v>
      </c>
      <c r="BJ69" s="121">
        <f>(35-25)*(BG77)+25</f>
        <v>31</v>
      </c>
      <c r="BL69" s="122">
        <v>1</v>
      </c>
      <c r="BM69" s="122">
        <v>0</v>
      </c>
      <c r="BN69" s="122" t="s">
        <v>221</v>
      </c>
      <c r="BO69" s="122" t="s">
        <v>221</v>
      </c>
      <c r="BP69" s="122" t="s">
        <v>221</v>
      </c>
      <c r="BQ69" s="122">
        <v>1</v>
      </c>
      <c r="BR69" s="122">
        <f>MIN(BM69:BQ69)</f>
        <v>0</v>
      </c>
      <c r="BT69" s="121" t="s">
        <v>226</v>
      </c>
      <c r="BU69" s="121">
        <f>(35-25)*(BR77)+25</f>
        <v>35</v>
      </c>
    </row>
    <row r="70" spans="13:73" x14ac:dyDescent="0.3">
      <c r="M70" s="101" t="s">
        <v>84</v>
      </c>
      <c r="N70" s="101">
        <f>SUM(J56:J58,J61)</f>
        <v>4</v>
      </c>
      <c r="O70" s="101">
        <f>((N70)/($N$68+$N$69+$N$70))*(100)</f>
        <v>68.965517241379317</v>
      </c>
      <c r="P70" s="101" t="s">
        <v>90</v>
      </c>
      <c r="Q70" s="101"/>
      <c r="S70" s="18" t="s">
        <v>36</v>
      </c>
      <c r="T70" s="22">
        <v>15</v>
      </c>
      <c r="U70" s="34">
        <f t="shared" si="20"/>
        <v>18.737894689428405</v>
      </c>
      <c r="V70" s="7">
        <f t="shared" si="21"/>
        <v>0.25242106211431903</v>
      </c>
      <c r="W70" s="7">
        <f t="shared" si="24"/>
        <v>0.74757893788568097</v>
      </c>
      <c r="Y70" s="22">
        <v>15</v>
      </c>
      <c r="Z70" s="19">
        <v>1</v>
      </c>
      <c r="AA70" s="22">
        <f t="shared" si="22"/>
        <v>1</v>
      </c>
      <c r="AB70" s="22">
        <f t="shared" si="23"/>
        <v>1</v>
      </c>
      <c r="AD70" s="7">
        <v>15</v>
      </c>
      <c r="AE70" s="18" t="s">
        <v>36</v>
      </c>
      <c r="AF70" s="18" t="s">
        <v>34</v>
      </c>
      <c r="AG70" s="7"/>
      <c r="AH70" s="7"/>
      <c r="AI70" s="7"/>
      <c r="BA70" s="122">
        <v>2</v>
      </c>
      <c r="BB70" s="122">
        <v>0.4</v>
      </c>
      <c r="BC70" s="122">
        <v>0</v>
      </c>
      <c r="BD70" s="122">
        <v>0.76</v>
      </c>
      <c r="BE70" s="122">
        <v>0</v>
      </c>
      <c r="BF70" s="45">
        <v>1</v>
      </c>
      <c r="BG70" s="122">
        <f>MIN(BB70:BF70)</f>
        <v>0</v>
      </c>
      <c r="BI70" s="121" t="s">
        <v>227</v>
      </c>
      <c r="BJ70" s="121">
        <v>55</v>
      </c>
      <c r="BL70" s="122">
        <v>2</v>
      </c>
      <c r="BM70" s="122">
        <v>0</v>
      </c>
      <c r="BN70" s="122">
        <v>0</v>
      </c>
      <c r="BO70" s="122">
        <v>0</v>
      </c>
      <c r="BP70" s="122">
        <v>0</v>
      </c>
      <c r="BQ70" s="45">
        <v>1</v>
      </c>
      <c r="BR70" s="122">
        <f>MIN(BM70:BQ70)</f>
        <v>0</v>
      </c>
      <c r="BT70" s="121" t="s">
        <v>227</v>
      </c>
      <c r="BU70" s="121">
        <v>55</v>
      </c>
    </row>
    <row r="71" spans="13:73" x14ac:dyDescent="0.3">
      <c r="T71" s="16"/>
      <c r="U71" s="34" t="s">
        <v>64</v>
      </c>
      <c r="V71" s="22">
        <f>SUM(V56:V70)</f>
        <v>0.36471965598562972</v>
      </c>
      <c r="W71" s="22">
        <f>SUM(W56:W70)</f>
        <v>14.635280344014371</v>
      </c>
      <c r="Y71" s="16"/>
      <c r="Z71" s="23"/>
      <c r="AA71" s="16"/>
      <c r="AB71" s="16"/>
      <c r="AD71" s="42"/>
      <c r="AE71" s="21"/>
      <c r="BA71" s="122">
        <v>3</v>
      </c>
      <c r="BB71" s="122">
        <v>0.4</v>
      </c>
      <c r="BC71" s="122">
        <v>0</v>
      </c>
      <c r="BD71" s="122">
        <v>0.76</v>
      </c>
      <c r="BE71" s="45">
        <v>1</v>
      </c>
      <c r="BF71" s="45">
        <v>2</v>
      </c>
      <c r="BG71" s="122">
        <f t="shared" ref="BG71:BG76" si="27">MIN(BB71:BF71)</f>
        <v>0</v>
      </c>
      <c r="BI71" s="119"/>
      <c r="BJ71" s="119"/>
      <c r="BL71" s="122">
        <v>3</v>
      </c>
      <c r="BM71" s="122">
        <v>0</v>
      </c>
      <c r="BN71" s="122">
        <v>0</v>
      </c>
      <c r="BO71" s="122">
        <v>0</v>
      </c>
      <c r="BP71" s="45">
        <v>1</v>
      </c>
      <c r="BQ71" s="45">
        <v>2</v>
      </c>
      <c r="BR71" s="122">
        <f t="shared" ref="BR71:BR76" si="28">MIN(BM71:BQ71)</f>
        <v>0</v>
      </c>
      <c r="BT71" s="119"/>
      <c r="BU71" s="119"/>
    </row>
    <row r="72" spans="13:73" s="84" customFormat="1" x14ac:dyDescent="0.3">
      <c r="T72" s="80"/>
      <c r="U72" s="35"/>
      <c r="V72" s="80"/>
      <c r="W72" s="80"/>
      <c r="Y72" s="80"/>
      <c r="Z72" s="20"/>
      <c r="AA72" s="80"/>
      <c r="AB72" s="80"/>
      <c r="AD72" s="80"/>
      <c r="AE72" s="20"/>
      <c r="BA72" s="122">
        <v>4</v>
      </c>
      <c r="BB72" s="122">
        <v>0.4</v>
      </c>
      <c r="BC72" s="122">
        <v>0</v>
      </c>
      <c r="BD72" s="122">
        <v>0.24</v>
      </c>
      <c r="BE72" s="122" t="s">
        <v>221</v>
      </c>
      <c r="BF72" s="45">
        <v>2</v>
      </c>
      <c r="BG72" s="122">
        <f t="shared" si="27"/>
        <v>0</v>
      </c>
      <c r="BI72" s="181" t="s">
        <v>228</v>
      </c>
      <c r="BJ72" s="183"/>
      <c r="BL72" s="122">
        <v>4</v>
      </c>
      <c r="BM72" s="122">
        <v>0</v>
      </c>
      <c r="BN72" s="122">
        <v>0</v>
      </c>
      <c r="BO72" s="122">
        <v>1</v>
      </c>
      <c r="BP72" s="122" t="s">
        <v>221</v>
      </c>
      <c r="BQ72" s="45">
        <v>2</v>
      </c>
      <c r="BR72" s="122">
        <f t="shared" si="28"/>
        <v>0</v>
      </c>
      <c r="BT72" s="181" t="s">
        <v>228</v>
      </c>
      <c r="BU72" s="183"/>
    </row>
    <row r="73" spans="13:73" s="84" customFormat="1" x14ac:dyDescent="0.3">
      <c r="T73" s="80"/>
      <c r="U73" s="35"/>
      <c r="V73" s="80"/>
      <c r="W73" s="80"/>
      <c r="Y73" s="80"/>
      <c r="Z73" s="20"/>
      <c r="AA73" s="80"/>
      <c r="AB73" s="80"/>
      <c r="AD73" s="80"/>
      <c r="AE73" s="20"/>
      <c r="BA73" s="122">
        <v>5</v>
      </c>
      <c r="BB73" s="122">
        <v>0.4</v>
      </c>
      <c r="BC73" s="122" t="s">
        <v>221</v>
      </c>
      <c r="BD73" s="122" t="s">
        <v>221</v>
      </c>
      <c r="BE73" s="122">
        <v>0</v>
      </c>
      <c r="BF73" s="45">
        <v>1</v>
      </c>
      <c r="BG73" s="122">
        <f t="shared" si="27"/>
        <v>0</v>
      </c>
      <c r="BI73" s="181">
        <f>(BJ69 + 55)*(BG77)/(1*BG77)</f>
        <v>86</v>
      </c>
      <c r="BJ73" s="183"/>
      <c r="BL73" s="122">
        <v>5</v>
      </c>
      <c r="BM73" s="122">
        <v>0</v>
      </c>
      <c r="BN73" s="122" t="s">
        <v>221</v>
      </c>
      <c r="BO73" s="122" t="s">
        <v>221</v>
      </c>
      <c r="BP73" s="122">
        <v>0</v>
      </c>
      <c r="BQ73" s="45">
        <v>1</v>
      </c>
      <c r="BR73" s="122">
        <f t="shared" si="28"/>
        <v>0</v>
      </c>
      <c r="BT73" s="130">
        <f>(BU69 + 55)*(BR77)/(3*BR77)</f>
        <v>30</v>
      </c>
      <c r="BU73" s="131"/>
    </row>
    <row r="74" spans="13:73" s="84" customFormat="1" x14ac:dyDescent="0.3">
      <c r="T74" s="80"/>
      <c r="U74" s="35"/>
      <c r="V74" s="80"/>
      <c r="W74" s="80"/>
      <c r="Y74" s="80"/>
      <c r="Z74" s="20"/>
      <c r="AA74" s="80"/>
      <c r="AB74" s="80"/>
      <c r="AD74" s="80"/>
      <c r="AE74" s="20"/>
      <c r="BA74" s="122">
        <v>6</v>
      </c>
      <c r="BB74" s="122">
        <v>0.4</v>
      </c>
      <c r="BC74" s="122">
        <v>1</v>
      </c>
      <c r="BD74" s="122">
        <v>0.76</v>
      </c>
      <c r="BE74" s="122">
        <v>1</v>
      </c>
      <c r="BF74" s="45">
        <v>2</v>
      </c>
      <c r="BG74" s="122">
        <f t="shared" si="27"/>
        <v>0.4</v>
      </c>
      <c r="BL74" s="122">
        <v>6</v>
      </c>
      <c r="BM74" s="122">
        <v>0</v>
      </c>
      <c r="BN74" s="122" t="s">
        <v>221</v>
      </c>
      <c r="BO74" s="122">
        <v>0</v>
      </c>
      <c r="BP74" s="122">
        <v>1</v>
      </c>
      <c r="BQ74" s="45">
        <v>2</v>
      </c>
      <c r="BR74" s="122">
        <f t="shared" si="28"/>
        <v>0</v>
      </c>
    </row>
    <row r="75" spans="13:73" s="84" customFormat="1" x14ac:dyDescent="0.3">
      <c r="T75" s="80"/>
      <c r="U75" s="35"/>
      <c r="V75" s="80"/>
      <c r="W75" s="80"/>
      <c r="Y75" s="80"/>
      <c r="Z75" s="20"/>
      <c r="AA75" s="80"/>
      <c r="AB75" s="80"/>
      <c r="AD75" s="80"/>
      <c r="AE75" s="20"/>
      <c r="BA75" s="122">
        <v>7</v>
      </c>
      <c r="BB75" s="122">
        <v>0.4</v>
      </c>
      <c r="BC75" s="122">
        <v>1</v>
      </c>
      <c r="BD75" s="122">
        <v>0.24</v>
      </c>
      <c r="BE75" s="45">
        <v>1</v>
      </c>
      <c r="BF75" s="45">
        <v>2</v>
      </c>
      <c r="BG75" s="122">
        <f t="shared" si="27"/>
        <v>0.24</v>
      </c>
      <c r="BL75" s="122">
        <v>7</v>
      </c>
      <c r="BM75" s="122">
        <v>0</v>
      </c>
      <c r="BN75" s="122"/>
      <c r="BO75" s="122">
        <v>1</v>
      </c>
      <c r="BP75" s="45">
        <v>1</v>
      </c>
      <c r="BQ75" s="45">
        <v>2</v>
      </c>
      <c r="BR75" s="122">
        <f t="shared" si="28"/>
        <v>0</v>
      </c>
    </row>
    <row r="76" spans="13:73" s="84" customFormat="1" x14ac:dyDescent="0.3">
      <c r="T76" s="80"/>
      <c r="U76" s="35"/>
      <c r="V76" s="80"/>
      <c r="W76" s="80"/>
      <c r="Y76" s="80"/>
      <c r="Z76" s="20"/>
      <c r="AA76" s="80"/>
      <c r="AB76" s="80"/>
      <c r="AD76" s="80"/>
      <c r="AE76" s="20"/>
      <c r="BA76" s="122">
        <v>8</v>
      </c>
      <c r="BB76" s="45">
        <v>0</v>
      </c>
      <c r="BC76" s="122" t="s">
        <v>221</v>
      </c>
      <c r="BD76" s="122" t="s">
        <v>221</v>
      </c>
      <c r="BE76" s="122" t="s">
        <v>221</v>
      </c>
      <c r="BF76" s="45">
        <v>3</v>
      </c>
      <c r="BG76" s="122">
        <f t="shared" si="27"/>
        <v>0</v>
      </c>
      <c r="BL76" s="122">
        <v>8</v>
      </c>
      <c r="BM76" s="45">
        <v>1</v>
      </c>
      <c r="BN76" s="122" t="s">
        <v>221</v>
      </c>
      <c r="BO76" s="122" t="s">
        <v>221</v>
      </c>
      <c r="BP76" s="122" t="s">
        <v>221</v>
      </c>
      <c r="BQ76" s="45">
        <v>3</v>
      </c>
      <c r="BR76" s="122">
        <f t="shared" si="28"/>
        <v>1</v>
      </c>
    </row>
    <row r="77" spans="13:73" s="84" customFormat="1" x14ac:dyDescent="0.3">
      <c r="T77" s="80"/>
      <c r="U77" s="35"/>
      <c r="V77" s="80"/>
      <c r="W77" s="80"/>
      <c r="Y77" s="80"/>
      <c r="Z77" s="20"/>
      <c r="AA77" s="80"/>
      <c r="AB77" s="80"/>
      <c r="AD77" s="80"/>
      <c r="AE77" s="20"/>
      <c r="BA77" s="119"/>
      <c r="BB77" s="119"/>
      <c r="BC77" s="119"/>
      <c r="BD77" s="119"/>
      <c r="BE77" s="119"/>
      <c r="BF77" s="119" t="s">
        <v>223</v>
      </c>
      <c r="BG77" s="132">
        <f>MAX(BG69:BG76)</f>
        <v>0.6</v>
      </c>
      <c r="BL77" s="119"/>
      <c r="BM77" s="119"/>
      <c r="BN77" s="119"/>
      <c r="BO77" s="119"/>
      <c r="BP77" s="119"/>
      <c r="BQ77" s="119" t="s">
        <v>223</v>
      </c>
      <c r="BR77" s="132">
        <f>MAX(BR69:BR76)</f>
        <v>1</v>
      </c>
    </row>
    <row r="78" spans="13:73" s="84" customFormat="1" x14ac:dyDescent="0.3">
      <c r="T78" s="80"/>
      <c r="U78" s="35"/>
      <c r="V78" s="80"/>
      <c r="W78" s="80"/>
      <c r="Y78" s="80"/>
      <c r="Z78" s="20"/>
      <c r="AA78" s="80"/>
      <c r="AB78" s="80"/>
      <c r="AD78" s="80"/>
      <c r="AE78" s="20"/>
    </row>
    <row r="79" spans="13:73" s="84" customFormat="1" x14ac:dyDescent="0.3">
      <c r="T79" s="80"/>
      <c r="U79" s="35"/>
      <c r="V79" s="80"/>
      <c r="W79" s="80"/>
      <c r="Y79" s="80"/>
      <c r="Z79" s="20"/>
      <c r="AA79" s="80"/>
      <c r="AB79" s="80"/>
      <c r="AD79" s="80"/>
      <c r="AE79" s="20"/>
      <c r="BA79" s="119" t="s">
        <v>233</v>
      </c>
      <c r="BB79" s="119"/>
      <c r="BC79" s="119"/>
      <c r="BD79" s="119"/>
      <c r="BE79" s="119"/>
      <c r="BF79" s="119"/>
      <c r="BG79" s="119"/>
      <c r="BL79" s="119" t="s">
        <v>245</v>
      </c>
      <c r="BM79" s="119"/>
      <c r="BN79" s="119"/>
      <c r="BO79" s="119"/>
      <c r="BP79" s="119"/>
      <c r="BQ79" s="119"/>
      <c r="BR79" s="119"/>
    </row>
    <row r="80" spans="13:73" s="84" customFormat="1" x14ac:dyDescent="0.3">
      <c r="T80" s="80"/>
      <c r="U80" s="35"/>
      <c r="V80" s="80"/>
      <c r="W80" s="80"/>
      <c r="Y80" s="80"/>
      <c r="Z80" s="20"/>
      <c r="AA80" s="80"/>
      <c r="AB80" s="80"/>
      <c r="AD80" s="80"/>
      <c r="AE80" s="20"/>
      <c r="BA80" s="121" t="s">
        <v>220</v>
      </c>
      <c r="BB80" s="121" t="s">
        <v>215</v>
      </c>
      <c r="BC80" s="121" t="s">
        <v>214</v>
      </c>
      <c r="BD80" s="121" t="s">
        <v>4</v>
      </c>
      <c r="BE80" s="121" t="s">
        <v>10</v>
      </c>
      <c r="BF80" s="121" t="s">
        <v>66</v>
      </c>
      <c r="BG80" s="45" t="s">
        <v>222</v>
      </c>
      <c r="BI80" s="189" t="s">
        <v>225</v>
      </c>
      <c r="BJ80" s="189"/>
      <c r="BL80" s="121" t="s">
        <v>220</v>
      </c>
      <c r="BM80" s="121" t="s">
        <v>215</v>
      </c>
      <c r="BN80" s="121" t="s">
        <v>214</v>
      </c>
      <c r="BO80" s="121" t="s">
        <v>4</v>
      </c>
      <c r="BP80" s="121" t="s">
        <v>10</v>
      </c>
      <c r="BQ80" s="121" t="s">
        <v>66</v>
      </c>
      <c r="BR80" s="45" t="s">
        <v>222</v>
      </c>
      <c r="BT80" s="189" t="s">
        <v>225</v>
      </c>
      <c r="BU80" s="189"/>
    </row>
    <row r="81" spans="20:73" s="84" customFormat="1" x14ac:dyDescent="0.3">
      <c r="T81" s="80"/>
      <c r="U81" s="35"/>
      <c r="V81" s="80"/>
      <c r="W81" s="80"/>
      <c r="Y81" s="80"/>
      <c r="Z81" s="20"/>
      <c r="AA81" s="80"/>
      <c r="AB81" s="80"/>
      <c r="AD81" s="80"/>
      <c r="AE81" s="20"/>
      <c r="BA81" s="122">
        <v>1</v>
      </c>
      <c r="BB81" s="122">
        <v>0.25</v>
      </c>
      <c r="BC81" s="122" t="s">
        <v>221</v>
      </c>
      <c r="BD81" s="122" t="s">
        <v>221</v>
      </c>
      <c r="BE81" s="122" t="s">
        <v>221</v>
      </c>
      <c r="BF81" s="122">
        <v>1</v>
      </c>
      <c r="BG81" s="122">
        <f>MIN(BB81:BF81)</f>
        <v>0.25</v>
      </c>
      <c r="BI81" s="121" t="s">
        <v>226</v>
      </c>
      <c r="BJ81" s="121">
        <f>(35-25)*(BG89)+25</f>
        <v>32.5</v>
      </c>
      <c r="BL81" s="122">
        <v>1</v>
      </c>
      <c r="BM81" s="122">
        <v>1</v>
      </c>
      <c r="BN81" s="122" t="s">
        <v>221</v>
      </c>
      <c r="BO81" s="122" t="s">
        <v>221</v>
      </c>
      <c r="BP81" s="122" t="s">
        <v>221</v>
      </c>
      <c r="BQ81" s="122">
        <v>1</v>
      </c>
      <c r="BR81" s="122">
        <f>MIN(BM81:BQ81)</f>
        <v>1</v>
      </c>
      <c r="BT81" s="121" t="s">
        <v>226</v>
      </c>
      <c r="BU81" s="121">
        <f>(35-25)*(BR89)+25</f>
        <v>35</v>
      </c>
    </row>
    <row r="82" spans="20:73" s="84" customFormat="1" x14ac:dyDescent="0.3">
      <c r="T82" s="80"/>
      <c r="U82" s="35"/>
      <c r="V82" s="80"/>
      <c r="W82" s="80"/>
      <c r="Y82" s="80"/>
      <c r="Z82" s="20"/>
      <c r="AA82" s="80"/>
      <c r="AB82" s="80"/>
      <c r="AD82" s="80"/>
      <c r="AE82" s="20"/>
      <c r="BA82" s="122">
        <v>2</v>
      </c>
      <c r="BB82" s="122">
        <v>0.75</v>
      </c>
      <c r="BC82" s="122">
        <v>0</v>
      </c>
      <c r="BD82" s="122">
        <v>0.96</v>
      </c>
      <c r="BE82" s="122">
        <v>0</v>
      </c>
      <c r="BF82" s="45">
        <v>1</v>
      </c>
      <c r="BG82" s="122">
        <f>MIN(BB82:BF82)</f>
        <v>0</v>
      </c>
      <c r="BI82" s="121" t="s">
        <v>227</v>
      </c>
      <c r="BJ82" s="121">
        <v>55</v>
      </c>
      <c r="BL82" s="122">
        <v>2</v>
      </c>
      <c r="BM82" s="122">
        <v>0</v>
      </c>
      <c r="BN82" s="122">
        <v>6.6699999999999995E-2</v>
      </c>
      <c r="BO82" s="122">
        <v>0.04</v>
      </c>
      <c r="BP82" s="122">
        <v>0</v>
      </c>
      <c r="BQ82" s="45">
        <v>1</v>
      </c>
      <c r="BR82" s="122">
        <f>MIN(BM82:BQ82)</f>
        <v>0</v>
      </c>
      <c r="BT82" s="121" t="s">
        <v>227</v>
      </c>
      <c r="BU82" s="121">
        <v>55</v>
      </c>
    </row>
    <row r="83" spans="20:73" s="84" customFormat="1" x14ac:dyDescent="0.3">
      <c r="T83" s="80"/>
      <c r="U83" s="35"/>
      <c r="V83" s="80"/>
      <c r="W83" s="80"/>
      <c r="Y83" s="80"/>
      <c r="Z83" s="20"/>
      <c r="AA83" s="80"/>
      <c r="AB83" s="80"/>
      <c r="AD83" s="80"/>
      <c r="AE83" s="20"/>
      <c r="BA83" s="122">
        <v>3</v>
      </c>
      <c r="BB83" s="122">
        <v>0.75</v>
      </c>
      <c r="BC83" s="122">
        <v>0</v>
      </c>
      <c r="BD83" s="122">
        <v>0.96</v>
      </c>
      <c r="BE83" s="45">
        <v>1</v>
      </c>
      <c r="BF83" s="45">
        <v>2</v>
      </c>
      <c r="BG83" s="122">
        <f t="shared" ref="BG83:BG88" si="29">MIN(BB83:BF83)</f>
        <v>0</v>
      </c>
      <c r="BI83" s="119"/>
      <c r="BJ83" s="119"/>
      <c r="BL83" s="122">
        <v>3</v>
      </c>
      <c r="BM83" s="122">
        <v>0</v>
      </c>
      <c r="BN83" s="122">
        <v>6.6699999999999995E-2</v>
      </c>
      <c r="BO83" s="122">
        <v>0.04</v>
      </c>
      <c r="BP83" s="45">
        <v>1</v>
      </c>
      <c r="BQ83" s="45">
        <v>2</v>
      </c>
      <c r="BR83" s="122">
        <f t="shared" ref="BR83:BR88" si="30">MIN(BM83:BQ83)</f>
        <v>0</v>
      </c>
      <c r="BT83" s="119"/>
      <c r="BU83" s="119"/>
    </row>
    <row r="84" spans="20:73" s="84" customFormat="1" x14ac:dyDescent="0.3">
      <c r="T84" s="80"/>
      <c r="U84" s="35"/>
      <c r="V84" s="80"/>
      <c r="W84" s="80"/>
      <c r="Y84" s="80"/>
      <c r="Z84" s="20"/>
      <c r="AA84" s="80"/>
      <c r="AB84" s="80"/>
      <c r="AD84" s="80"/>
      <c r="AE84" s="20"/>
      <c r="BA84" s="122">
        <v>4</v>
      </c>
      <c r="BB84" s="122">
        <v>0.75</v>
      </c>
      <c r="BC84" s="122">
        <v>0</v>
      </c>
      <c r="BD84" s="122">
        <v>0.4</v>
      </c>
      <c r="BE84" s="122" t="s">
        <v>221</v>
      </c>
      <c r="BF84" s="45">
        <v>2</v>
      </c>
      <c r="BG84" s="122">
        <f t="shared" si="29"/>
        <v>0</v>
      </c>
      <c r="BI84" s="181" t="s">
        <v>228</v>
      </c>
      <c r="BJ84" s="183"/>
      <c r="BL84" s="122">
        <v>4</v>
      </c>
      <c r="BM84" s="122">
        <v>0</v>
      </c>
      <c r="BN84" s="122">
        <v>6.6699999999999995E-2</v>
      </c>
      <c r="BO84" s="122">
        <v>0.96</v>
      </c>
      <c r="BP84" s="122" t="s">
        <v>221</v>
      </c>
      <c r="BQ84" s="45">
        <v>2</v>
      </c>
      <c r="BR84" s="122">
        <f t="shared" si="30"/>
        <v>0</v>
      </c>
      <c r="BT84" s="181" t="s">
        <v>228</v>
      </c>
      <c r="BU84" s="183"/>
    </row>
    <row r="85" spans="20:73" s="84" customFormat="1" x14ac:dyDescent="0.3">
      <c r="T85" s="80"/>
      <c r="U85" s="35"/>
      <c r="V85" s="80"/>
      <c r="W85" s="80"/>
      <c r="Y85" s="80"/>
      <c r="Z85" s="20"/>
      <c r="AA85" s="80"/>
      <c r="AB85" s="80"/>
      <c r="AD85" s="80"/>
      <c r="AE85" s="20"/>
      <c r="BA85" s="122">
        <v>5</v>
      </c>
      <c r="BB85" s="122">
        <v>0.75</v>
      </c>
      <c r="BC85" s="122" t="s">
        <v>221</v>
      </c>
      <c r="BD85" s="122" t="s">
        <v>221</v>
      </c>
      <c r="BE85" s="122">
        <v>0</v>
      </c>
      <c r="BF85" s="45">
        <v>1</v>
      </c>
      <c r="BG85" s="122">
        <f t="shared" si="29"/>
        <v>0</v>
      </c>
      <c r="BI85" s="181">
        <f>(BJ81 + 55)*(BG89)/(2*BG89)</f>
        <v>43.75</v>
      </c>
      <c r="BJ85" s="183"/>
      <c r="BL85" s="122">
        <v>5</v>
      </c>
      <c r="BM85" s="122">
        <v>0</v>
      </c>
      <c r="BN85" s="122" t="s">
        <v>221</v>
      </c>
      <c r="BO85" s="122" t="s">
        <v>221</v>
      </c>
      <c r="BP85" s="122">
        <v>0</v>
      </c>
      <c r="BQ85" s="45">
        <v>1</v>
      </c>
      <c r="BR85" s="122">
        <f t="shared" si="30"/>
        <v>0</v>
      </c>
      <c r="BT85" s="130">
        <f>(BU81 + 55)*(BR89)/(1*BR89)</f>
        <v>90</v>
      </c>
      <c r="BU85" s="131"/>
    </row>
    <row r="86" spans="20:73" s="84" customFormat="1" x14ac:dyDescent="0.3">
      <c r="T86" s="80"/>
      <c r="U86" s="35"/>
      <c r="V86" s="80"/>
      <c r="W86" s="80"/>
      <c r="Y86" s="80"/>
      <c r="Z86" s="20"/>
      <c r="AA86" s="80"/>
      <c r="AB86" s="80"/>
      <c r="AD86" s="80"/>
      <c r="AE86" s="20"/>
      <c r="BA86" s="122">
        <v>6</v>
      </c>
      <c r="BB86" s="122">
        <v>0.75</v>
      </c>
      <c r="BC86" s="122">
        <v>1</v>
      </c>
      <c r="BD86" s="122">
        <v>0.96</v>
      </c>
      <c r="BE86" s="122">
        <v>1</v>
      </c>
      <c r="BF86" s="45">
        <v>2</v>
      </c>
      <c r="BG86" s="122">
        <f t="shared" si="29"/>
        <v>0.75</v>
      </c>
      <c r="BL86" s="122">
        <v>6</v>
      </c>
      <c r="BM86" s="122">
        <v>0</v>
      </c>
      <c r="BN86" s="122" t="s">
        <v>221</v>
      </c>
      <c r="BO86" s="122">
        <v>0.04</v>
      </c>
      <c r="BP86" s="122">
        <v>1</v>
      </c>
      <c r="BQ86" s="45">
        <v>2</v>
      </c>
      <c r="BR86" s="122">
        <f t="shared" si="30"/>
        <v>0</v>
      </c>
    </row>
    <row r="87" spans="20:73" s="84" customFormat="1" x14ac:dyDescent="0.3">
      <c r="T87" s="80"/>
      <c r="U87" s="35"/>
      <c r="V87" s="80"/>
      <c r="W87" s="80"/>
      <c r="Y87" s="80"/>
      <c r="Z87" s="20"/>
      <c r="AA87" s="80"/>
      <c r="AB87" s="80"/>
      <c r="AD87" s="80"/>
      <c r="AE87" s="20"/>
      <c r="BA87" s="122">
        <v>7</v>
      </c>
      <c r="BB87" s="122">
        <v>0.75</v>
      </c>
      <c r="BC87" s="122">
        <v>1</v>
      </c>
      <c r="BD87" s="122">
        <v>0.4</v>
      </c>
      <c r="BE87" s="45">
        <v>1</v>
      </c>
      <c r="BF87" s="45">
        <v>2</v>
      </c>
      <c r="BG87" s="122">
        <f t="shared" si="29"/>
        <v>0.4</v>
      </c>
      <c r="BL87" s="122">
        <v>7</v>
      </c>
      <c r="BM87" s="122">
        <v>0</v>
      </c>
      <c r="BN87" s="122"/>
      <c r="BO87" s="122">
        <v>0.96</v>
      </c>
      <c r="BP87" s="45">
        <v>1</v>
      </c>
      <c r="BQ87" s="45">
        <v>2</v>
      </c>
      <c r="BR87" s="122">
        <f t="shared" si="30"/>
        <v>0</v>
      </c>
    </row>
    <row r="88" spans="20:73" s="84" customFormat="1" x14ac:dyDescent="0.3">
      <c r="T88" s="80"/>
      <c r="U88" s="35"/>
      <c r="V88" s="80"/>
      <c r="W88" s="80"/>
      <c r="Y88" s="80"/>
      <c r="Z88" s="20"/>
      <c r="AA88" s="80"/>
      <c r="AB88" s="80"/>
      <c r="AD88" s="80"/>
      <c r="AE88" s="20"/>
      <c r="BA88" s="122">
        <v>8</v>
      </c>
      <c r="BB88" s="45">
        <v>0</v>
      </c>
      <c r="BC88" s="122" t="s">
        <v>221</v>
      </c>
      <c r="BD88" s="122" t="s">
        <v>221</v>
      </c>
      <c r="BE88" s="122" t="s">
        <v>221</v>
      </c>
      <c r="BF88" s="45">
        <v>3</v>
      </c>
      <c r="BG88" s="122">
        <f t="shared" si="29"/>
        <v>0</v>
      </c>
      <c r="BL88" s="122">
        <v>8</v>
      </c>
      <c r="BM88" s="45">
        <v>0</v>
      </c>
      <c r="BN88" s="122" t="s">
        <v>221</v>
      </c>
      <c r="BO88" s="122" t="s">
        <v>221</v>
      </c>
      <c r="BP88" s="122" t="s">
        <v>221</v>
      </c>
      <c r="BQ88" s="45">
        <v>3</v>
      </c>
      <c r="BR88" s="122">
        <f t="shared" si="30"/>
        <v>0</v>
      </c>
    </row>
    <row r="89" spans="20:73" s="84" customFormat="1" x14ac:dyDescent="0.3">
      <c r="T89" s="80"/>
      <c r="U89" s="35"/>
      <c r="V89" s="80"/>
      <c r="W89" s="80"/>
      <c r="Y89" s="80"/>
      <c r="Z89" s="20"/>
      <c r="AA89" s="80"/>
      <c r="AB89" s="80"/>
      <c r="AD89" s="80"/>
      <c r="AE89" s="20"/>
      <c r="BA89" s="119"/>
      <c r="BB89" s="119"/>
      <c r="BC89" s="119"/>
      <c r="BD89" s="119"/>
      <c r="BE89" s="119"/>
      <c r="BF89" s="119" t="s">
        <v>223</v>
      </c>
      <c r="BG89" s="132">
        <f>MAX(BG81:BG88)</f>
        <v>0.75</v>
      </c>
      <c r="BL89" s="119"/>
      <c r="BM89" s="119"/>
      <c r="BN89" s="119"/>
      <c r="BO89" s="119"/>
      <c r="BP89" s="119"/>
      <c r="BQ89" s="119" t="s">
        <v>223</v>
      </c>
      <c r="BR89" s="132">
        <f>MAX(BR81:BR88)</f>
        <v>1</v>
      </c>
    </row>
    <row r="90" spans="20:73" s="84" customFormat="1" x14ac:dyDescent="0.3">
      <c r="T90" s="80"/>
      <c r="U90" s="35"/>
      <c r="V90" s="80"/>
      <c r="W90" s="80"/>
      <c r="Y90" s="80"/>
      <c r="Z90" s="20"/>
      <c r="AA90" s="80"/>
      <c r="AB90" s="80"/>
      <c r="AD90" s="80"/>
      <c r="AE90" s="20"/>
    </row>
    <row r="91" spans="20:73" s="84" customFormat="1" x14ac:dyDescent="0.3">
      <c r="T91" s="80"/>
      <c r="U91" s="35"/>
      <c r="V91" s="80"/>
      <c r="W91" s="80"/>
      <c r="Y91" s="80"/>
      <c r="Z91" s="20"/>
      <c r="AA91" s="80"/>
      <c r="AB91" s="80"/>
      <c r="AD91" s="80"/>
      <c r="AE91" s="20"/>
      <c r="BA91" s="119" t="s">
        <v>236</v>
      </c>
      <c r="BB91" s="119"/>
      <c r="BC91" s="119"/>
      <c r="BD91" s="119"/>
      <c r="BE91" s="119"/>
      <c r="BF91" s="119"/>
      <c r="BG91" s="119"/>
      <c r="BL91" s="119" t="s">
        <v>246</v>
      </c>
      <c r="BM91" s="119"/>
      <c r="BN91" s="119"/>
      <c r="BO91" s="119"/>
      <c r="BP91" s="119"/>
      <c r="BQ91" s="119"/>
      <c r="BR91" s="119"/>
    </row>
    <row r="92" spans="20:73" s="84" customFormat="1" x14ac:dyDescent="0.3">
      <c r="T92" s="80"/>
      <c r="U92" s="35"/>
      <c r="V92" s="80"/>
      <c r="W92" s="80"/>
      <c r="Y92" s="80"/>
      <c r="Z92" s="20"/>
      <c r="AA92" s="80"/>
      <c r="AB92" s="80"/>
      <c r="AD92" s="80"/>
      <c r="AE92" s="20"/>
      <c r="BA92" s="121" t="s">
        <v>220</v>
      </c>
      <c r="BB92" s="121" t="s">
        <v>215</v>
      </c>
      <c r="BC92" s="121" t="s">
        <v>214</v>
      </c>
      <c r="BD92" s="121" t="s">
        <v>4</v>
      </c>
      <c r="BE92" s="121" t="s">
        <v>10</v>
      </c>
      <c r="BF92" s="121" t="s">
        <v>66</v>
      </c>
      <c r="BG92" s="45" t="s">
        <v>222</v>
      </c>
      <c r="BI92" s="189" t="s">
        <v>225</v>
      </c>
      <c r="BJ92" s="189"/>
      <c r="BL92" s="121" t="s">
        <v>220</v>
      </c>
      <c r="BM92" s="121" t="s">
        <v>215</v>
      </c>
      <c r="BN92" s="121" t="s">
        <v>214</v>
      </c>
      <c r="BO92" s="121" t="s">
        <v>4</v>
      </c>
      <c r="BP92" s="121" t="s">
        <v>10</v>
      </c>
      <c r="BQ92" s="121" t="s">
        <v>66</v>
      </c>
      <c r="BR92" s="45" t="s">
        <v>222</v>
      </c>
      <c r="BT92" s="189" t="s">
        <v>225</v>
      </c>
      <c r="BU92" s="189"/>
    </row>
    <row r="93" spans="20:73" s="84" customFormat="1" x14ac:dyDescent="0.3">
      <c r="T93" s="80"/>
      <c r="U93" s="35"/>
      <c r="V93" s="80"/>
      <c r="W93" s="80"/>
      <c r="Y93" s="80"/>
      <c r="Z93" s="20"/>
      <c r="AA93" s="80"/>
      <c r="AB93" s="80"/>
      <c r="AD93" s="80"/>
      <c r="AE93" s="20"/>
      <c r="BA93" s="122">
        <v>1</v>
      </c>
      <c r="BB93" s="122">
        <v>0.15</v>
      </c>
      <c r="BC93" s="122" t="s">
        <v>221</v>
      </c>
      <c r="BD93" s="122" t="s">
        <v>221</v>
      </c>
      <c r="BE93" s="122" t="s">
        <v>221</v>
      </c>
      <c r="BF93" s="122">
        <v>1</v>
      </c>
      <c r="BG93" s="122">
        <f>MIN(BB93:BF93)</f>
        <v>0.15</v>
      </c>
      <c r="BI93" s="121" t="s">
        <v>226</v>
      </c>
      <c r="BJ93" s="121">
        <f>(35-25)*(BG101)+25</f>
        <v>30.2</v>
      </c>
      <c r="BL93" s="122">
        <v>1</v>
      </c>
      <c r="BM93" s="122">
        <v>0</v>
      </c>
      <c r="BN93" s="122" t="s">
        <v>221</v>
      </c>
      <c r="BO93" s="122" t="s">
        <v>221</v>
      </c>
      <c r="BP93" s="122" t="s">
        <v>221</v>
      </c>
      <c r="BQ93" s="122">
        <v>1</v>
      </c>
      <c r="BR93" s="122">
        <f>MIN(BM93:BQ93)</f>
        <v>0</v>
      </c>
      <c r="BT93" s="121" t="s">
        <v>226</v>
      </c>
      <c r="BU93" s="121">
        <f>(35-25)*(BR101)+25</f>
        <v>32</v>
      </c>
    </row>
    <row r="94" spans="20:73" s="84" customFormat="1" x14ac:dyDescent="0.3">
      <c r="T94" s="80"/>
      <c r="U94" s="35"/>
      <c r="V94" s="80"/>
      <c r="W94" s="80"/>
      <c r="Y94" s="80"/>
      <c r="Z94" s="20"/>
      <c r="AA94" s="80"/>
      <c r="AB94" s="80"/>
      <c r="AD94" s="80"/>
      <c r="AE94" s="20"/>
      <c r="BA94" s="122">
        <v>2</v>
      </c>
      <c r="BB94" s="122">
        <v>0.85</v>
      </c>
      <c r="BC94" s="122">
        <v>0</v>
      </c>
      <c r="BD94" s="122">
        <v>0.48</v>
      </c>
      <c r="BE94" s="122">
        <v>0</v>
      </c>
      <c r="BF94" s="45">
        <v>1</v>
      </c>
      <c r="BG94" s="122">
        <f>MIN(BB94:BF94)</f>
        <v>0</v>
      </c>
      <c r="BI94" s="121" t="s">
        <v>227</v>
      </c>
      <c r="BJ94" s="121">
        <v>55</v>
      </c>
      <c r="BL94" s="122">
        <v>2</v>
      </c>
      <c r="BM94" s="122">
        <v>0.7</v>
      </c>
      <c r="BN94" s="122">
        <v>0.66700000000000004</v>
      </c>
      <c r="BO94" s="122">
        <v>1</v>
      </c>
      <c r="BP94" s="122">
        <v>0.252</v>
      </c>
      <c r="BQ94" s="45">
        <v>1</v>
      </c>
      <c r="BR94" s="122">
        <f>MIN(BM94:BQ94)</f>
        <v>0.252</v>
      </c>
      <c r="BT94" s="121" t="s">
        <v>227</v>
      </c>
      <c r="BU94" s="121">
        <v>55</v>
      </c>
    </row>
    <row r="95" spans="20:73" s="84" customFormat="1" x14ac:dyDescent="0.3">
      <c r="T95" s="80"/>
      <c r="U95" s="35"/>
      <c r="V95" s="80"/>
      <c r="W95" s="80"/>
      <c r="Y95" s="80"/>
      <c r="Z95" s="20"/>
      <c r="AA95" s="80"/>
      <c r="AB95" s="80"/>
      <c r="AD95" s="80"/>
      <c r="AE95" s="20"/>
      <c r="BA95" s="122">
        <v>3</v>
      </c>
      <c r="BB95" s="122">
        <v>0.85</v>
      </c>
      <c r="BC95" s="122">
        <v>0</v>
      </c>
      <c r="BD95" s="122">
        <v>0.48</v>
      </c>
      <c r="BE95" s="45">
        <v>1</v>
      </c>
      <c r="BF95" s="45">
        <v>2</v>
      </c>
      <c r="BG95" s="122">
        <f t="shared" ref="BG95:BG100" si="31">MIN(BB95:BF95)</f>
        <v>0</v>
      </c>
      <c r="BI95" s="119"/>
      <c r="BJ95" s="119"/>
      <c r="BL95" s="122">
        <v>3</v>
      </c>
      <c r="BM95" s="122">
        <v>0.7</v>
      </c>
      <c r="BN95" s="122">
        <v>0.66700000000000004</v>
      </c>
      <c r="BO95" s="122">
        <v>1</v>
      </c>
      <c r="BP95" s="45">
        <v>0.252</v>
      </c>
      <c r="BQ95" s="45">
        <v>2</v>
      </c>
      <c r="BR95" s="122">
        <f t="shared" ref="BR95:BR100" si="32">MIN(BM95:BQ95)</f>
        <v>0.252</v>
      </c>
      <c r="BT95" s="119"/>
      <c r="BU95" s="119"/>
    </row>
    <row r="96" spans="20:73" s="84" customFormat="1" x14ac:dyDescent="0.3">
      <c r="T96" s="80"/>
      <c r="U96" s="35"/>
      <c r="V96" s="80"/>
      <c r="W96" s="80"/>
      <c r="Y96" s="80"/>
      <c r="Z96" s="20"/>
      <c r="AA96" s="80"/>
      <c r="AB96" s="80"/>
      <c r="AD96" s="80"/>
      <c r="AE96" s="20"/>
      <c r="BA96" s="122">
        <v>4</v>
      </c>
      <c r="BB96" s="122">
        <v>0.85</v>
      </c>
      <c r="BC96" s="122">
        <v>0</v>
      </c>
      <c r="BD96" s="122">
        <v>0.52</v>
      </c>
      <c r="BE96" s="122" t="s">
        <v>221</v>
      </c>
      <c r="BF96" s="45">
        <v>2</v>
      </c>
      <c r="BG96" s="122">
        <f t="shared" si="31"/>
        <v>0</v>
      </c>
      <c r="BI96" s="181" t="s">
        <v>228</v>
      </c>
      <c r="BJ96" s="183"/>
      <c r="BL96" s="122">
        <v>4</v>
      </c>
      <c r="BM96" s="122">
        <v>0.7</v>
      </c>
      <c r="BN96" s="122">
        <v>0.66700000000000004</v>
      </c>
      <c r="BO96" s="122">
        <v>0</v>
      </c>
      <c r="BP96" s="122" t="s">
        <v>221</v>
      </c>
      <c r="BQ96" s="45">
        <v>2</v>
      </c>
      <c r="BR96" s="122">
        <f t="shared" si="32"/>
        <v>0</v>
      </c>
      <c r="BT96" s="181" t="s">
        <v>228</v>
      </c>
      <c r="BU96" s="183"/>
    </row>
    <row r="97" spans="1:73" s="84" customFormat="1" x14ac:dyDescent="0.3">
      <c r="T97" s="80"/>
      <c r="U97" s="35"/>
      <c r="V97" s="80"/>
      <c r="W97" s="80"/>
      <c r="Y97" s="80"/>
      <c r="Z97" s="20"/>
      <c r="AA97" s="80"/>
      <c r="AB97" s="80"/>
      <c r="AD97" s="80"/>
      <c r="AE97" s="20"/>
      <c r="BA97" s="122">
        <v>5</v>
      </c>
      <c r="BB97" s="122">
        <v>0.85</v>
      </c>
      <c r="BC97" s="122" t="s">
        <v>221</v>
      </c>
      <c r="BD97" s="122" t="s">
        <v>221</v>
      </c>
      <c r="BE97" s="122">
        <v>0</v>
      </c>
      <c r="BF97" s="45">
        <v>1</v>
      </c>
      <c r="BG97" s="122">
        <f t="shared" si="31"/>
        <v>0</v>
      </c>
      <c r="BI97" s="181">
        <f>(BJ93 + 55)*(BG101)/(2*BG101)</f>
        <v>42.6</v>
      </c>
      <c r="BJ97" s="183"/>
      <c r="BL97" s="122">
        <v>5</v>
      </c>
      <c r="BM97" s="122">
        <v>0.7</v>
      </c>
      <c r="BN97" s="122" t="s">
        <v>221</v>
      </c>
      <c r="BO97" s="122" t="s">
        <v>221</v>
      </c>
      <c r="BP97" s="122">
        <v>0.252</v>
      </c>
      <c r="BQ97" s="45">
        <v>1</v>
      </c>
      <c r="BR97" s="122">
        <f t="shared" si="32"/>
        <v>0.252</v>
      </c>
      <c r="BT97" s="130">
        <f>(BU93 + 55)*(BR101)/(2*BR101)</f>
        <v>43.5</v>
      </c>
      <c r="BU97" s="131"/>
    </row>
    <row r="98" spans="1:73" s="84" customFormat="1" x14ac:dyDescent="0.3">
      <c r="T98" s="80"/>
      <c r="U98" s="35"/>
      <c r="V98" s="80"/>
      <c r="W98" s="80"/>
      <c r="Y98" s="80"/>
      <c r="Z98" s="20"/>
      <c r="AA98" s="80"/>
      <c r="AB98" s="80"/>
      <c r="AD98" s="80"/>
      <c r="AE98" s="20"/>
      <c r="BA98" s="122">
        <v>6</v>
      </c>
      <c r="BB98" s="122">
        <v>0.85</v>
      </c>
      <c r="BC98" s="122">
        <v>1</v>
      </c>
      <c r="BD98" s="122">
        <v>0.48</v>
      </c>
      <c r="BE98" s="122">
        <v>1</v>
      </c>
      <c r="BF98" s="45">
        <v>2</v>
      </c>
      <c r="BG98" s="122">
        <f t="shared" si="31"/>
        <v>0.48</v>
      </c>
      <c r="BL98" s="122">
        <v>6</v>
      </c>
      <c r="BM98" s="122">
        <v>0.7</v>
      </c>
      <c r="BN98" s="122" t="s">
        <v>221</v>
      </c>
      <c r="BO98" s="122">
        <v>0</v>
      </c>
      <c r="BP98" s="122">
        <v>0.747</v>
      </c>
      <c r="BQ98" s="45">
        <v>2</v>
      </c>
      <c r="BR98" s="122">
        <f t="shared" si="32"/>
        <v>0</v>
      </c>
    </row>
    <row r="99" spans="1:73" s="84" customFormat="1" x14ac:dyDescent="0.3">
      <c r="T99" s="80"/>
      <c r="U99" s="35"/>
      <c r="V99" s="80"/>
      <c r="W99" s="80"/>
      <c r="Y99" s="80"/>
      <c r="Z99" s="20"/>
      <c r="AA99" s="80"/>
      <c r="AB99" s="80"/>
      <c r="AD99" s="80"/>
      <c r="AE99" s="20"/>
      <c r="BA99" s="122">
        <v>7</v>
      </c>
      <c r="BB99" s="122">
        <v>0.85</v>
      </c>
      <c r="BC99" s="122">
        <v>1</v>
      </c>
      <c r="BD99" s="122">
        <v>0.52</v>
      </c>
      <c r="BE99" s="45">
        <v>1</v>
      </c>
      <c r="BF99" s="45">
        <v>2</v>
      </c>
      <c r="BG99" s="122">
        <f t="shared" si="31"/>
        <v>0.52</v>
      </c>
      <c r="BL99" s="122">
        <v>7</v>
      </c>
      <c r="BM99" s="122">
        <v>0.7</v>
      </c>
      <c r="BN99" s="122"/>
      <c r="BO99" s="122">
        <v>1</v>
      </c>
      <c r="BP99" s="45">
        <v>0.747</v>
      </c>
      <c r="BQ99" s="45">
        <v>2</v>
      </c>
      <c r="BR99" s="122">
        <f t="shared" si="32"/>
        <v>0.7</v>
      </c>
    </row>
    <row r="100" spans="1:73" s="84" customFormat="1" x14ac:dyDescent="0.3">
      <c r="T100" s="80"/>
      <c r="U100" s="35"/>
      <c r="V100" s="80"/>
      <c r="W100" s="80"/>
      <c r="Y100" s="80"/>
      <c r="Z100" s="20"/>
      <c r="AA100" s="80"/>
      <c r="AB100" s="80"/>
      <c r="AD100" s="80"/>
      <c r="AE100" s="20"/>
      <c r="BA100" s="122">
        <v>8</v>
      </c>
      <c r="BB100" s="45">
        <v>0</v>
      </c>
      <c r="BC100" s="122" t="s">
        <v>221</v>
      </c>
      <c r="BD100" s="122" t="s">
        <v>221</v>
      </c>
      <c r="BE100" s="122" t="s">
        <v>221</v>
      </c>
      <c r="BF100" s="45">
        <v>3</v>
      </c>
      <c r="BG100" s="122">
        <f t="shared" si="31"/>
        <v>0</v>
      </c>
      <c r="BL100" s="122">
        <v>8</v>
      </c>
      <c r="BM100" s="45">
        <v>0.3</v>
      </c>
      <c r="BN100" s="122" t="s">
        <v>221</v>
      </c>
      <c r="BO100" s="122" t="s">
        <v>221</v>
      </c>
      <c r="BP100" s="122" t="s">
        <v>221</v>
      </c>
      <c r="BQ100" s="45">
        <v>3</v>
      </c>
      <c r="BR100" s="122">
        <f t="shared" si="32"/>
        <v>0.3</v>
      </c>
    </row>
    <row r="101" spans="1:73" s="84" customFormat="1" x14ac:dyDescent="0.3">
      <c r="T101" s="80"/>
      <c r="U101" s="35"/>
      <c r="V101" s="80"/>
      <c r="W101" s="80"/>
      <c r="Y101" s="80"/>
      <c r="Z101" s="20"/>
      <c r="AA101" s="80"/>
      <c r="AB101" s="80"/>
      <c r="AD101" s="80"/>
      <c r="AE101" s="20"/>
      <c r="BA101" s="119"/>
      <c r="BB101" s="119"/>
      <c r="BC101" s="119"/>
      <c r="BD101" s="119"/>
      <c r="BE101" s="119"/>
      <c r="BF101" s="119" t="s">
        <v>223</v>
      </c>
      <c r="BG101" s="132">
        <f>MAX(BG93:BG100)</f>
        <v>0.52</v>
      </c>
      <c r="BL101" s="119"/>
      <c r="BM101" s="119"/>
      <c r="BN101" s="119"/>
      <c r="BO101" s="119"/>
      <c r="BP101" s="119"/>
      <c r="BQ101" s="119" t="s">
        <v>223</v>
      </c>
      <c r="BR101" s="132">
        <f>MAX(BR93:BR100)</f>
        <v>0.7</v>
      </c>
    </row>
    <row r="102" spans="1:73" s="84" customFormat="1" x14ac:dyDescent="0.3">
      <c r="T102" s="80"/>
      <c r="U102" s="35"/>
      <c r="V102" s="80"/>
      <c r="W102" s="80"/>
      <c r="Y102" s="80"/>
      <c r="Z102" s="20"/>
      <c r="AA102" s="80"/>
      <c r="AB102" s="80"/>
      <c r="AD102" s="80"/>
      <c r="AE102" s="20"/>
    </row>
    <row r="103" spans="1:73" s="84" customFormat="1" x14ac:dyDescent="0.3">
      <c r="T103" s="80"/>
      <c r="U103" s="35"/>
      <c r="V103" s="80"/>
      <c r="W103" s="80"/>
      <c r="Y103" s="80"/>
      <c r="Z103" s="20"/>
      <c r="AA103" s="80"/>
      <c r="AB103" s="80"/>
      <c r="AD103" s="80"/>
      <c r="AE103" s="20"/>
      <c r="BA103" s="119" t="s">
        <v>237</v>
      </c>
      <c r="BB103" s="119"/>
      <c r="BC103" s="119"/>
      <c r="BD103" s="119"/>
      <c r="BE103" s="119"/>
      <c r="BF103" s="119"/>
      <c r="BG103" s="119"/>
    </row>
    <row r="104" spans="1:73" s="84" customFormat="1" x14ac:dyDescent="0.3">
      <c r="T104" s="80"/>
      <c r="U104" s="35"/>
      <c r="V104" s="80"/>
      <c r="W104" s="80"/>
      <c r="Y104" s="80"/>
      <c r="Z104" s="20"/>
      <c r="AA104" s="80"/>
      <c r="AB104" s="80"/>
      <c r="AD104" s="80"/>
      <c r="AE104" s="20"/>
      <c r="BA104" s="121" t="s">
        <v>220</v>
      </c>
      <c r="BB104" s="121" t="s">
        <v>215</v>
      </c>
      <c r="BC104" s="121" t="s">
        <v>214</v>
      </c>
      <c r="BD104" s="121" t="s">
        <v>4</v>
      </c>
      <c r="BE104" s="121" t="s">
        <v>10</v>
      </c>
      <c r="BF104" s="121" t="s">
        <v>66</v>
      </c>
      <c r="BG104" s="45" t="s">
        <v>222</v>
      </c>
      <c r="BI104" s="189" t="s">
        <v>225</v>
      </c>
      <c r="BJ104" s="189"/>
      <c r="BL104" s="119" t="s">
        <v>229</v>
      </c>
      <c r="BM104" s="119"/>
      <c r="BN104" s="119"/>
      <c r="BO104" s="119"/>
      <c r="BP104" s="119"/>
      <c r="BQ104" s="119"/>
      <c r="BR104" s="119"/>
    </row>
    <row r="105" spans="1:73" s="84" customFormat="1" x14ac:dyDescent="0.3">
      <c r="T105" s="80"/>
      <c r="U105" s="35"/>
      <c r="V105" s="80"/>
      <c r="W105" s="80"/>
      <c r="Y105" s="80"/>
      <c r="Z105" s="20"/>
      <c r="AA105" s="80"/>
      <c r="AB105" s="80"/>
      <c r="AD105" s="80"/>
      <c r="AE105" s="20"/>
      <c r="BA105" s="122">
        <v>1</v>
      </c>
      <c r="BB105" s="122">
        <v>0</v>
      </c>
      <c r="BC105" s="122" t="s">
        <v>221</v>
      </c>
      <c r="BD105" s="122" t="s">
        <v>221</v>
      </c>
      <c r="BE105" s="122" t="s">
        <v>221</v>
      </c>
      <c r="BF105" s="122">
        <v>1</v>
      </c>
      <c r="BG105" s="122">
        <f>MIN(BB105:BF105)</f>
        <v>0</v>
      </c>
      <c r="BI105" s="121" t="s">
        <v>226</v>
      </c>
      <c r="BJ105" s="121">
        <f>(35-25)*(BG113)+25</f>
        <v>35</v>
      </c>
      <c r="BL105" s="121" t="s">
        <v>220</v>
      </c>
      <c r="BM105" s="121" t="s">
        <v>215</v>
      </c>
      <c r="BN105" s="121" t="s">
        <v>214</v>
      </c>
      <c r="BO105" s="121" t="s">
        <v>4</v>
      </c>
      <c r="BP105" s="121" t="s">
        <v>10</v>
      </c>
      <c r="BQ105" s="121" t="s">
        <v>66</v>
      </c>
      <c r="BR105" s="45" t="s">
        <v>222</v>
      </c>
      <c r="BT105" s="189" t="s">
        <v>225</v>
      </c>
      <c r="BU105" s="189"/>
    </row>
    <row r="106" spans="1:73" s="84" customFormat="1" x14ac:dyDescent="0.3">
      <c r="T106" s="80"/>
      <c r="U106" s="35"/>
      <c r="V106" s="80"/>
      <c r="W106" s="80"/>
      <c r="Y106" s="80"/>
      <c r="Z106" s="20"/>
      <c r="AA106" s="80"/>
      <c r="AB106" s="80"/>
      <c r="AD106" s="80"/>
      <c r="AE106" s="20"/>
      <c r="BA106" s="122">
        <v>2</v>
      </c>
      <c r="BB106" s="122">
        <v>0</v>
      </c>
      <c r="BC106" s="122">
        <v>0</v>
      </c>
      <c r="BD106" s="122">
        <v>0.24</v>
      </c>
      <c r="BE106" s="122">
        <v>0</v>
      </c>
      <c r="BF106" s="45">
        <v>1</v>
      </c>
      <c r="BG106" s="122">
        <f>MIN(BB106:BF106)</f>
        <v>0</v>
      </c>
      <c r="BI106" s="121" t="s">
        <v>227</v>
      </c>
      <c r="BJ106" s="121">
        <v>55</v>
      </c>
      <c r="BL106" s="122">
        <v>1</v>
      </c>
      <c r="BM106" s="122">
        <v>0</v>
      </c>
      <c r="BN106" s="122" t="s">
        <v>221</v>
      </c>
      <c r="BO106" s="122" t="s">
        <v>221</v>
      </c>
      <c r="BP106" s="122" t="s">
        <v>221</v>
      </c>
      <c r="BQ106" s="122">
        <v>1</v>
      </c>
      <c r="BR106" s="122">
        <f>MIN(BM106:BQ106)</f>
        <v>0</v>
      </c>
      <c r="BT106" s="121" t="s">
        <v>226</v>
      </c>
      <c r="BU106" s="121">
        <f>(35-25)*(BR114)+25</f>
        <v>35</v>
      </c>
    </row>
    <row r="107" spans="1:73" s="84" customFormat="1" x14ac:dyDescent="0.3">
      <c r="T107" s="80"/>
      <c r="U107" s="35"/>
      <c r="V107" s="80"/>
      <c r="W107" s="80"/>
      <c r="Y107" s="80"/>
      <c r="Z107" s="20"/>
      <c r="AA107" s="80"/>
      <c r="AB107" s="80"/>
      <c r="AD107" s="80"/>
      <c r="AE107" s="20"/>
      <c r="BA107" s="122">
        <v>3</v>
      </c>
      <c r="BB107" s="122">
        <v>0</v>
      </c>
      <c r="BC107" s="122">
        <v>0</v>
      </c>
      <c r="BD107" s="122">
        <v>0.24</v>
      </c>
      <c r="BE107" s="45">
        <v>1</v>
      </c>
      <c r="BF107" s="45">
        <v>2</v>
      </c>
      <c r="BG107" s="122">
        <f t="shared" ref="BG107:BG112" si="33">MIN(BB107:BF107)</f>
        <v>0</v>
      </c>
      <c r="BI107" s="119"/>
      <c r="BJ107" s="119"/>
      <c r="BL107" s="122">
        <v>2</v>
      </c>
      <c r="BM107" s="122">
        <v>0</v>
      </c>
      <c r="BN107" s="122">
        <v>0</v>
      </c>
      <c r="BO107" s="122">
        <v>0</v>
      </c>
      <c r="BP107" s="122">
        <v>0</v>
      </c>
      <c r="BQ107" s="45">
        <v>1</v>
      </c>
      <c r="BR107" s="122">
        <f>MIN(BM107:BQ107)</f>
        <v>0</v>
      </c>
      <c r="BT107" s="121" t="s">
        <v>227</v>
      </c>
      <c r="BU107" s="121">
        <v>55</v>
      </c>
    </row>
    <row r="108" spans="1:73" x14ac:dyDescent="0.3"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94"/>
      <c r="V108" s="44"/>
      <c r="W108" s="44"/>
      <c r="X108" s="44"/>
      <c r="Y108" s="44"/>
      <c r="Z108" s="91"/>
      <c r="AA108" s="44"/>
      <c r="AB108" s="9"/>
      <c r="BA108" s="122">
        <v>4</v>
      </c>
      <c r="BB108" s="122">
        <v>0</v>
      </c>
      <c r="BC108" s="122">
        <v>0</v>
      </c>
      <c r="BD108" s="122">
        <v>0.76</v>
      </c>
      <c r="BE108" s="122" t="s">
        <v>221</v>
      </c>
      <c r="BF108" s="45">
        <v>2</v>
      </c>
      <c r="BG108" s="122">
        <f t="shared" si="33"/>
        <v>0</v>
      </c>
      <c r="BI108" s="181" t="s">
        <v>228</v>
      </c>
      <c r="BJ108" s="183"/>
      <c r="BL108" s="122">
        <v>3</v>
      </c>
      <c r="BM108" s="122">
        <v>0</v>
      </c>
      <c r="BN108" s="122">
        <v>0</v>
      </c>
      <c r="BO108" s="122">
        <v>0</v>
      </c>
      <c r="BP108" s="45">
        <v>1</v>
      </c>
      <c r="BQ108" s="45">
        <v>2</v>
      </c>
      <c r="BR108" s="122">
        <f t="shared" ref="BR108:BR113" si="34">MIN(BM108:BQ108)</f>
        <v>0</v>
      </c>
      <c r="BT108" s="119"/>
      <c r="BU108" s="119"/>
    </row>
    <row r="109" spans="1:73" x14ac:dyDescent="0.3">
      <c r="K109" s="44"/>
      <c r="L109" s="95"/>
      <c r="M109" s="44"/>
      <c r="N109" s="49"/>
      <c r="O109" s="44"/>
      <c r="P109" s="49"/>
      <c r="Q109" s="44"/>
      <c r="R109" s="44"/>
      <c r="S109" s="44"/>
      <c r="T109" s="44"/>
      <c r="U109" s="94"/>
      <c r="V109" s="44"/>
      <c r="W109" s="44"/>
      <c r="X109" s="44"/>
      <c r="Y109" s="44"/>
      <c r="Z109" s="91"/>
      <c r="AA109" s="44"/>
      <c r="AB109" s="9"/>
      <c r="BA109" s="122">
        <v>5</v>
      </c>
      <c r="BB109" s="122">
        <v>0</v>
      </c>
      <c r="BC109" s="122" t="s">
        <v>221</v>
      </c>
      <c r="BD109" s="122" t="s">
        <v>221</v>
      </c>
      <c r="BE109" s="122">
        <v>0</v>
      </c>
      <c r="BF109" s="45">
        <v>1</v>
      </c>
      <c r="BG109" s="122">
        <f t="shared" si="33"/>
        <v>0</v>
      </c>
      <c r="BI109" s="181">
        <f>(BJ105 + 55)*(BG113)/(3*BG113)</f>
        <v>30</v>
      </c>
      <c r="BJ109" s="183"/>
      <c r="BL109" s="122">
        <v>4</v>
      </c>
      <c r="BM109" s="122">
        <v>0</v>
      </c>
      <c r="BN109" s="122">
        <v>0</v>
      </c>
      <c r="BO109" s="122">
        <v>1</v>
      </c>
      <c r="BP109" s="122" t="s">
        <v>221</v>
      </c>
      <c r="BQ109" s="45">
        <v>2</v>
      </c>
      <c r="BR109" s="122">
        <f t="shared" si="34"/>
        <v>0</v>
      </c>
      <c r="BT109" s="181" t="s">
        <v>228</v>
      </c>
      <c r="BU109" s="183"/>
    </row>
    <row r="110" spans="1:73" x14ac:dyDescent="0.3">
      <c r="A110" s="44"/>
      <c r="B110" s="44"/>
      <c r="C110" s="44"/>
      <c r="K110" s="44"/>
      <c r="L110" s="49"/>
      <c r="M110" s="91"/>
      <c r="N110" s="44"/>
      <c r="O110" s="44"/>
      <c r="P110" s="49"/>
      <c r="Q110" s="44"/>
      <c r="R110" s="44"/>
      <c r="S110" s="44"/>
      <c r="T110" s="190"/>
      <c r="U110" s="190"/>
      <c r="V110" s="44"/>
      <c r="W110" s="44"/>
      <c r="X110" s="44"/>
      <c r="Y110" s="44"/>
      <c r="Z110" s="91"/>
      <c r="AA110" s="44"/>
      <c r="AB110" s="9"/>
      <c r="BA110" s="122">
        <v>6</v>
      </c>
      <c r="BB110" s="122">
        <v>0</v>
      </c>
      <c r="BC110" s="122">
        <v>1</v>
      </c>
      <c r="BD110" s="122">
        <v>0.24</v>
      </c>
      <c r="BE110" s="122">
        <v>1</v>
      </c>
      <c r="BF110" s="45">
        <v>2</v>
      </c>
      <c r="BG110" s="122">
        <f t="shared" si="33"/>
        <v>0</v>
      </c>
      <c r="BL110" s="122">
        <v>5</v>
      </c>
      <c r="BM110" s="122">
        <v>0</v>
      </c>
      <c r="BN110" s="122" t="s">
        <v>221</v>
      </c>
      <c r="BO110" s="122" t="s">
        <v>221</v>
      </c>
      <c r="BP110" s="122">
        <v>0</v>
      </c>
      <c r="BQ110" s="45">
        <v>1</v>
      </c>
      <c r="BR110" s="122">
        <f t="shared" si="34"/>
        <v>0</v>
      </c>
      <c r="BT110" s="130">
        <f>(BU106 + 55)*(BR114)/(3*BR114)</f>
        <v>30</v>
      </c>
      <c r="BU110" s="131"/>
    </row>
    <row r="111" spans="1:73" x14ac:dyDescent="0.3">
      <c r="A111" s="44"/>
      <c r="B111" s="44"/>
      <c r="C111" s="44"/>
      <c r="E111" s="44"/>
      <c r="F111" s="44"/>
      <c r="G111" s="44"/>
      <c r="K111" s="44"/>
      <c r="L111" s="49"/>
      <c r="M111" s="91"/>
      <c r="N111" s="44"/>
      <c r="O111" s="44"/>
      <c r="P111" s="49"/>
      <c r="Q111" s="44"/>
      <c r="R111" s="44"/>
      <c r="S111" s="44"/>
      <c r="T111" s="190"/>
      <c r="U111" s="190"/>
      <c r="V111" s="44"/>
      <c r="W111" s="44"/>
      <c r="X111" s="44"/>
      <c r="Y111" s="44"/>
      <c r="Z111" s="91"/>
      <c r="AA111" s="44"/>
      <c r="AB111" s="9"/>
      <c r="BA111" s="122">
        <v>7</v>
      </c>
      <c r="BB111" s="122">
        <v>0</v>
      </c>
      <c r="BC111" s="122">
        <v>1</v>
      </c>
      <c r="BD111" s="122">
        <v>0.76</v>
      </c>
      <c r="BE111" s="45">
        <v>1</v>
      </c>
      <c r="BF111" s="45">
        <v>2</v>
      </c>
      <c r="BG111" s="122">
        <f t="shared" si="33"/>
        <v>0</v>
      </c>
      <c r="BL111" s="122">
        <v>6</v>
      </c>
      <c r="BM111" s="122">
        <v>0</v>
      </c>
      <c r="BN111" s="122" t="s">
        <v>221</v>
      </c>
      <c r="BO111" s="122">
        <v>0</v>
      </c>
      <c r="BP111" s="122">
        <v>1</v>
      </c>
      <c r="BQ111" s="45">
        <v>2</v>
      </c>
      <c r="BR111" s="122">
        <f t="shared" si="34"/>
        <v>0</v>
      </c>
    </row>
    <row r="112" spans="1:73" x14ac:dyDescent="0.3">
      <c r="A112" s="44"/>
      <c r="B112" s="44"/>
      <c r="C112" s="44"/>
      <c r="E112" s="44"/>
      <c r="F112" s="44"/>
      <c r="G112" s="44"/>
      <c r="K112" s="44"/>
      <c r="L112" s="49"/>
      <c r="M112" s="91"/>
      <c r="N112" s="44"/>
      <c r="O112" s="44"/>
      <c r="P112" s="49"/>
      <c r="Q112" s="44"/>
      <c r="R112" s="44"/>
      <c r="S112" s="44"/>
      <c r="T112" s="190"/>
      <c r="U112" s="190"/>
      <c r="V112" s="44"/>
      <c r="W112" s="44"/>
      <c r="X112" s="44"/>
      <c r="Y112" s="44"/>
      <c r="Z112" s="44"/>
      <c r="AA112" s="44"/>
      <c r="BA112" s="122">
        <v>8</v>
      </c>
      <c r="BB112" s="45">
        <v>1</v>
      </c>
      <c r="BC112" s="122" t="s">
        <v>221</v>
      </c>
      <c r="BD112" s="122" t="s">
        <v>221</v>
      </c>
      <c r="BE112" s="122" t="s">
        <v>221</v>
      </c>
      <c r="BF112" s="45">
        <v>3</v>
      </c>
      <c r="BG112" s="122">
        <f t="shared" si="33"/>
        <v>1</v>
      </c>
      <c r="BL112" s="122">
        <v>7</v>
      </c>
      <c r="BM112" s="122">
        <v>0</v>
      </c>
      <c r="BN112" s="122"/>
      <c r="BO112" s="122">
        <v>1</v>
      </c>
      <c r="BP112" s="45">
        <v>1</v>
      </c>
      <c r="BQ112" s="45">
        <v>2</v>
      </c>
      <c r="BR112" s="122">
        <f t="shared" si="34"/>
        <v>0</v>
      </c>
    </row>
    <row r="113" spans="1:70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BA113" s="119"/>
      <c r="BB113" s="119"/>
      <c r="BC113" s="119"/>
      <c r="BD113" s="119"/>
      <c r="BE113" s="119"/>
      <c r="BF113" s="119" t="s">
        <v>223</v>
      </c>
      <c r="BG113" s="132">
        <f>MAX(BG105:BG112)</f>
        <v>1</v>
      </c>
      <c r="BL113" s="122">
        <v>8</v>
      </c>
      <c r="BM113" s="45">
        <v>1</v>
      </c>
      <c r="BN113" s="122" t="s">
        <v>221</v>
      </c>
      <c r="BO113" s="122" t="s">
        <v>221</v>
      </c>
      <c r="BP113" s="122" t="s">
        <v>221</v>
      </c>
      <c r="BQ113" s="45">
        <v>3</v>
      </c>
      <c r="BR113" s="122">
        <f t="shared" si="34"/>
        <v>1</v>
      </c>
    </row>
    <row r="114" spans="1:70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BL114" s="119"/>
      <c r="BM114" s="119"/>
      <c r="BN114" s="119"/>
      <c r="BO114" s="119"/>
      <c r="BP114" s="119"/>
      <c r="BQ114" s="119" t="s">
        <v>223</v>
      </c>
      <c r="BR114" s="132">
        <f>MAX(BR106:BR113)</f>
        <v>1</v>
      </c>
    </row>
    <row r="115" spans="1:70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</row>
    <row r="116" spans="1:70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</row>
    <row r="117" spans="1:70" x14ac:dyDescent="0.3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</row>
    <row r="118" spans="1:70" x14ac:dyDescent="0.3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</row>
    <row r="119" spans="1:70" x14ac:dyDescent="0.3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spans="1:70" x14ac:dyDescent="0.3"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70" x14ac:dyDescent="0.3">
      <c r="D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spans="1:70" x14ac:dyDescent="0.3">
      <c r="D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spans="1:70" x14ac:dyDescent="0.3">
      <c r="AV123" s="194" t="s">
        <v>91</v>
      </c>
      <c r="AW123" s="194"/>
      <c r="AX123" s="194"/>
      <c r="AY123">
        <f>-((4/9)*LOG((4/9),2))-((4/9)*LOG((4/9),2))-((1/9)*LOG((1/9),2))</f>
        <v>1.3921472236645345</v>
      </c>
    </row>
    <row r="124" spans="1:70" x14ac:dyDescent="0.3">
      <c r="AV124" s="194" t="s">
        <v>127</v>
      </c>
      <c r="AW124" s="194"/>
      <c r="AX124" s="194"/>
      <c r="AY124">
        <f>(AY123)-((AN136)/(9)*AR126)-((AO136)/(9)*AR127)</f>
        <v>8.7832278364160521E-3</v>
      </c>
    </row>
    <row r="125" spans="1:70" x14ac:dyDescent="0.3">
      <c r="AQ125" t="s">
        <v>68</v>
      </c>
      <c r="AV125" s="194" t="s">
        <v>67</v>
      </c>
      <c r="AW125" s="194"/>
      <c r="AX125" s="194"/>
      <c r="AY125">
        <f>(AY123)-((AN149)/(9)*AR139)-((AO149)/(9)*AR140)</f>
        <v>1.1672435322757524E-2</v>
      </c>
    </row>
    <row r="126" spans="1:70" x14ac:dyDescent="0.3">
      <c r="AL126" s="87" t="s">
        <v>46</v>
      </c>
      <c r="AM126" s="86" t="s">
        <v>4</v>
      </c>
      <c r="AN126" s="86" t="s">
        <v>55</v>
      </c>
      <c r="AO126" s="86" t="s">
        <v>43</v>
      </c>
      <c r="AP126" s="88" t="s">
        <v>79</v>
      </c>
      <c r="AQ126" t="s">
        <v>55</v>
      </c>
      <c r="AR126">
        <f>-((AN128+AN129+AN130+AN135)/(AN136)*LOG((AN128+AN129+AN130+AN135)/(AN136),2))-((AN127+AN131+AN133+AN134)/(AN136)*LOG((AN127+AN131+AN133+AN134)/(AN136),2))-((AN132)/(AN136)*LOG((AN132)/(AN136),2))</f>
        <v>1.3367501412296379</v>
      </c>
      <c r="AV126" s="194" t="s">
        <v>73</v>
      </c>
      <c r="AW126" s="194"/>
      <c r="AX126" s="194"/>
      <c r="AY126">
        <f>(AY123)-((AN162)/(9)*AR152)-((AO162)/(9)*AR153)</f>
        <v>2.919797955533876E-2</v>
      </c>
      <c r="AZ126" t="s">
        <v>128</v>
      </c>
    </row>
    <row r="127" spans="1:70" x14ac:dyDescent="0.3">
      <c r="AL127" s="87">
        <v>1</v>
      </c>
      <c r="AM127" s="89">
        <v>52</v>
      </c>
      <c r="AN127" s="86">
        <v>0.12</v>
      </c>
      <c r="AO127" s="86">
        <v>0.88</v>
      </c>
      <c r="AP127" s="89">
        <v>2</v>
      </c>
      <c r="AQ127" t="s">
        <v>43</v>
      </c>
      <c r="AR127">
        <f>-((AO128+AO129+AO130+AO135)/(AO136)*LOG((AO128+AO129+AO130+AO135)/(AO136),2))-((AO127+AO131+AO133+AO134)/(AO136)*LOG((AO127+AO131+AO133+AO134)/(AO136),2))-((AO132)/(AO136)*LOG((AO132)/(AO136),2))</f>
        <v>1.4587049933768255</v>
      </c>
    </row>
    <row r="128" spans="1:70" x14ac:dyDescent="0.3">
      <c r="AL128" s="87">
        <v>3</v>
      </c>
      <c r="AM128" s="89">
        <v>56</v>
      </c>
      <c r="AN128" s="86">
        <v>0</v>
      </c>
      <c r="AO128" s="86">
        <v>1</v>
      </c>
      <c r="AP128" s="89">
        <v>1</v>
      </c>
    </row>
    <row r="129" spans="28:44" x14ac:dyDescent="0.3">
      <c r="AL129" s="87">
        <v>4</v>
      </c>
      <c r="AM129" s="89">
        <v>38</v>
      </c>
      <c r="AN129" s="86">
        <v>0.68</v>
      </c>
      <c r="AO129" s="86">
        <v>0.32</v>
      </c>
      <c r="AP129" s="89">
        <v>1</v>
      </c>
    </row>
    <row r="130" spans="28:44" x14ac:dyDescent="0.3">
      <c r="AL130" s="45">
        <v>5</v>
      </c>
      <c r="AM130" s="89">
        <v>36</v>
      </c>
      <c r="AN130" s="86">
        <f>IF(AM130&lt;=$V$2,1,IF(AND($V$2&lt;AM130,AM130&lt;$W$2),($W$2-AM130)/($W$2-$V$2),IF(AM130&gt;=$W$2,0)))</f>
        <v>0.76</v>
      </c>
      <c r="AO130" s="86">
        <f>IF(AM130&lt;=$V$2,0,IF(AND($V$2&lt;AM130,AM130&lt;$W$2),(AM130-$V$2)/($W$2-$V$2),IF(AM130&gt;=$W$2,1)))</f>
        <v>0.24</v>
      </c>
      <c r="AP130" s="85">
        <v>1</v>
      </c>
    </row>
    <row r="131" spans="28:44" x14ac:dyDescent="0.3">
      <c r="AG131" s="87" t="s">
        <v>46</v>
      </c>
      <c r="AH131" s="7" t="s">
        <v>58</v>
      </c>
      <c r="AI131" s="37" t="s">
        <v>79</v>
      </c>
      <c r="AL131" s="87">
        <v>6</v>
      </c>
      <c r="AM131" s="89">
        <v>31</v>
      </c>
      <c r="AN131" s="86">
        <v>0.96</v>
      </c>
      <c r="AO131" s="86">
        <v>0.04</v>
      </c>
      <c r="AP131" s="89">
        <v>2</v>
      </c>
    </row>
    <row r="132" spans="28:44" x14ac:dyDescent="0.3">
      <c r="AB132" s="40" t="s">
        <v>46</v>
      </c>
      <c r="AC132" s="7" t="s">
        <v>129</v>
      </c>
      <c r="AD132" s="37" t="s">
        <v>79</v>
      </c>
      <c r="AG132" s="87">
        <v>1</v>
      </c>
      <c r="AH132" s="32">
        <v>0.8666666666666667</v>
      </c>
      <c r="AI132" s="89">
        <v>2</v>
      </c>
      <c r="AL132" s="87">
        <v>7</v>
      </c>
      <c r="AM132" s="89">
        <v>43</v>
      </c>
      <c r="AN132" s="86">
        <v>0.48</v>
      </c>
      <c r="AO132" s="86">
        <v>0.52</v>
      </c>
      <c r="AP132" s="89">
        <v>3</v>
      </c>
    </row>
    <row r="133" spans="28:44" x14ac:dyDescent="0.3">
      <c r="AB133" s="40">
        <v>1</v>
      </c>
      <c r="AC133" s="32">
        <v>0.13333333333333333</v>
      </c>
      <c r="AD133" s="18">
        <v>2</v>
      </c>
      <c r="AG133" s="87">
        <v>3</v>
      </c>
      <c r="AH133" s="32">
        <v>1</v>
      </c>
      <c r="AI133" s="89">
        <v>1</v>
      </c>
      <c r="AL133" s="87">
        <v>11</v>
      </c>
      <c r="AM133" s="89">
        <v>35</v>
      </c>
      <c r="AN133" s="86">
        <v>0.8</v>
      </c>
      <c r="AO133" s="86">
        <v>0.2</v>
      </c>
      <c r="AP133" s="89">
        <v>2</v>
      </c>
    </row>
    <row r="134" spans="28:44" x14ac:dyDescent="0.3">
      <c r="AB134" s="40">
        <v>11</v>
      </c>
      <c r="AC134" s="32">
        <v>0.6</v>
      </c>
      <c r="AD134" s="18">
        <v>2</v>
      </c>
      <c r="AG134" s="87">
        <v>4</v>
      </c>
      <c r="AH134" s="31">
        <v>1</v>
      </c>
      <c r="AI134" s="89">
        <v>1</v>
      </c>
      <c r="AL134" s="87">
        <v>12</v>
      </c>
      <c r="AM134" s="89">
        <v>36</v>
      </c>
      <c r="AN134" s="86">
        <v>0.76</v>
      </c>
      <c r="AO134" s="86">
        <v>0.24</v>
      </c>
      <c r="AP134" s="89">
        <v>2</v>
      </c>
    </row>
    <row r="135" spans="28:44" x14ac:dyDescent="0.3">
      <c r="AB135" s="40">
        <v>15</v>
      </c>
      <c r="AC135" s="33">
        <v>0.66666666666666663</v>
      </c>
      <c r="AD135" s="18">
        <v>1</v>
      </c>
      <c r="AG135" s="45">
        <v>5</v>
      </c>
      <c r="AH135" s="31">
        <v>1</v>
      </c>
      <c r="AI135" s="87">
        <v>1</v>
      </c>
      <c r="AL135" s="87">
        <v>15</v>
      </c>
      <c r="AM135" s="89">
        <v>22</v>
      </c>
      <c r="AN135" s="86">
        <v>1</v>
      </c>
      <c r="AO135" s="86">
        <v>0</v>
      </c>
      <c r="AP135" s="89">
        <v>1</v>
      </c>
    </row>
    <row r="136" spans="28:44" x14ac:dyDescent="0.3">
      <c r="AG136" s="87">
        <v>6</v>
      </c>
      <c r="AH136" s="31">
        <v>1</v>
      </c>
      <c r="AI136" s="89">
        <v>2</v>
      </c>
      <c r="AN136">
        <f>SUM(AN127:AN135)</f>
        <v>5.56</v>
      </c>
      <c r="AO136">
        <f>SUM(AO127:AO135)</f>
        <v>3.4399999999999995</v>
      </c>
    </row>
    <row r="137" spans="28:44" x14ac:dyDescent="0.3">
      <c r="AG137" s="87">
        <v>7</v>
      </c>
      <c r="AH137" s="32">
        <v>1</v>
      </c>
      <c r="AI137" s="89">
        <v>3</v>
      </c>
    </row>
    <row r="138" spans="28:44" x14ac:dyDescent="0.3">
      <c r="AG138" s="87">
        <v>11</v>
      </c>
      <c r="AH138" s="32">
        <v>0.4</v>
      </c>
      <c r="AI138" s="89">
        <v>2</v>
      </c>
      <c r="AQ138" t="s">
        <v>69</v>
      </c>
    </row>
    <row r="139" spans="28:44" x14ac:dyDescent="0.3">
      <c r="AG139" s="87">
        <v>12</v>
      </c>
      <c r="AH139" s="31">
        <v>1</v>
      </c>
      <c r="AI139" s="89">
        <v>2</v>
      </c>
      <c r="AL139" s="40" t="s">
        <v>46</v>
      </c>
      <c r="AM139" s="7" t="s">
        <v>10</v>
      </c>
      <c r="AN139" s="7" t="s">
        <v>44</v>
      </c>
      <c r="AO139" s="7" t="s">
        <v>47</v>
      </c>
      <c r="AP139" s="37" t="s">
        <v>79</v>
      </c>
      <c r="AQ139" t="s">
        <v>44</v>
      </c>
      <c r="AR139">
        <f>-((AN141+AN142+AN143+AN148)/(AN149)*LOG((AN141+AN142+AN143+AN148)/(AN149),2))-((AN140+AN144+AN146+AN147)/(AN149)*LOG((AN140+AN144+AN146+AN147)/(AN149),2))-(0)</f>
        <v>0.89073900175637866</v>
      </c>
    </row>
    <row r="140" spans="28:44" x14ac:dyDescent="0.3">
      <c r="AG140" s="50">
        <v>15</v>
      </c>
      <c r="AH140" s="31">
        <v>0.33333333333333331</v>
      </c>
      <c r="AI140" s="89">
        <v>1</v>
      </c>
      <c r="AL140" s="40">
        <v>1</v>
      </c>
      <c r="AM140" s="7">
        <f>H8/(G8*G8)</f>
        <v>23.598931085099178</v>
      </c>
      <c r="AN140" s="86">
        <v>0</v>
      </c>
      <c r="AO140" s="86">
        <v>1</v>
      </c>
      <c r="AP140" s="18">
        <v>2</v>
      </c>
      <c r="AQ140" t="s">
        <v>70</v>
      </c>
      <c r="AR140">
        <f>-((AO141+AO142+AO143+AO148)/(AO149)*LOG((AO141+AO142+AO143+AO148)/(AO149),2))-((AO140+AO144+AO146+AO147)/(AO149)*LOG((AO140+AO144+AO146+AO147)/(AO149),2))-((AO145)/(AO149)*LOG((AO145)/(AO149),2))</f>
        <v>1.4011592664932115</v>
      </c>
    </row>
    <row r="141" spans="28:44" x14ac:dyDescent="0.3">
      <c r="AG141" s="98"/>
      <c r="AH141" s="99"/>
      <c r="AI141" s="100"/>
      <c r="AL141" s="40">
        <v>3</v>
      </c>
      <c r="AM141" s="7">
        <f>H10/(G10*G10)</f>
        <v>26.840928029472394</v>
      </c>
      <c r="AN141" s="86">
        <v>0</v>
      </c>
      <c r="AO141" s="86">
        <v>1</v>
      </c>
      <c r="AP141" s="18">
        <v>1</v>
      </c>
    </row>
    <row r="142" spans="28:44" x14ac:dyDescent="0.3">
      <c r="AL142" s="40">
        <v>4</v>
      </c>
      <c r="AM142" s="7">
        <f>H11/(G11*G11)</f>
        <v>32.456398197138938</v>
      </c>
      <c r="AN142" s="86">
        <v>0</v>
      </c>
      <c r="AO142" s="86">
        <v>1</v>
      </c>
      <c r="AP142" s="18">
        <v>1</v>
      </c>
    </row>
    <row r="143" spans="28:44" x14ac:dyDescent="0.3">
      <c r="AC143" t="s">
        <v>130</v>
      </c>
      <c r="AL143" s="45">
        <v>5</v>
      </c>
      <c r="AM143" s="86">
        <f>H12/(G12*G12)</f>
        <v>23.59729780446613</v>
      </c>
      <c r="AN143" s="86">
        <v>0</v>
      </c>
      <c r="AO143" s="86">
        <v>1</v>
      </c>
      <c r="AP143" s="85">
        <v>1</v>
      </c>
    </row>
    <row r="144" spans="28:44" x14ac:dyDescent="0.3">
      <c r="AC144" s="46" t="s">
        <v>101</v>
      </c>
      <c r="AD144" s="47"/>
      <c r="AG144" s="46" t="s">
        <v>102</v>
      </c>
      <c r="AH144" s="47"/>
      <c r="AL144" s="40">
        <v>6</v>
      </c>
      <c r="AM144" s="7">
        <f>H13/(G13*G13)</f>
        <v>31.301350186727948</v>
      </c>
      <c r="AN144" s="86">
        <v>0</v>
      </c>
      <c r="AO144" s="86">
        <v>1</v>
      </c>
      <c r="AP144" s="18">
        <v>2</v>
      </c>
    </row>
    <row r="145" spans="27:44" x14ac:dyDescent="0.3">
      <c r="AC145" t="s">
        <v>81</v>
      </c>
      <c r="AE145" t="s">
        <v>85</v>
      </c>
      <c r="AG145" t="s">
        <v>81</v>
      </c>
      <c r="AI145" t="s">
        <v>85</v>
      </c>
      <c r="AL145" s="40">
        <v>7</v>
      </c>
      <c r="AM145" s="7">
        <f>H14/(G14*G14)</f>
        <v>26.134122287968442</v>
      </c>
      <c r="AN145" s="86">
        <v>0</v>
      </c>
      <c r="AO145" s="86">
        <v>1</v>
      </c>
      <c r="AP145" s="18">
        <v>3</v>
      </c>
    </row>
    <row r="146" spans="27:44" x14ac:dyDescent="0.3">
      <c r="AC146" t="s">
        <v>82</v>
      </c>
      <c r="AD146">
        <f>SUM(AC135)</f>
        <v>0.66666666666666663</v>
      </c>
      <c r="AE146">
        <f>((AD146)/(AD146+AD147+AD148))*(100)</f>
        <v>47.61904761904762</v>
      </c>
      <c r="AG146" t="s">
        <v>82</v>
      </c>
      <c r="AH146">
        <f>SUM(AH133,AH134,AH135,AH140)</f>
        <v>3.3333333333333335</v>
      </c>
      <c r="AI146">
        <f>((AH146)/(AH146+AH147+AH148))*(100)</f>
        <v>43.859649122807021</v>
      </c>
      <c r="AL146" s="40">
        <v>11</v>
      </c>
      <c r="AM146" s="7">
        <f>H18/(G18*G18)</f>
        <v>19.438507030643446</v>
      </c>
      <c r="AN146" s="86">
        <v>0.11229859387131072</v>
      </c>
      <c r="AO146" s="86">
        <v>0.88770140612868931</v>
      </c>
      <c r="AP146" s="18">
        <v>2</v>
      </c>
    </row>
    <row r="147" spans="27:44" x14ac:dyDescent="0.3">
      <c r="AA147" s="193"/>
      <c r="AB147" s="193"/>
      <c r="AC147" s="90" t="s">
        <v>83</v>
      </c>
      <c r="AD147" s="90">
        <f>SUM(AC133,AC134)</f>
        <v>0.73333333333333328</v>
      </c>
      <c r="AE147" s="90">
        <f>((AD147)/(AD146+AD147+AD148))*(100)</f>
        <v>52.380952380952387</v>
      </c>
      <c r="AG147" t="s">
        <v>83</v>
      </c>
      <c r="AH147">
        <f>SUM(AH132,AH136,AH138,AH139)</f>
        <v>3.2666666666666666</v>
      </c>
      <c r="AI147">
        <f>((AH147)/(AH146+AH147+AH148))*(100)</f>
        <v>42.982456140350877</v>
      </c>
      <c r="AL147" s="40">
        <v>12</v>
      </c>
      <c r="AM147" s="7">
        <f>H19/(G19*G19)</f>
        <v>29.453124999999996</v>
      </c>
      <c r="AN147" s="86">
        <v>0</v>
      </c>
      <c r="AO147" s="86">
        <v>1</v>
      </c>
      <c r="AP147" s="18">
        <v>2</v>
      </c>
    </row>
    <row r="148" spans="27:44" x14ac:dyDescent="0.3">
      <c r="AC148" t="s">
        <v>84</v>
      </c>
      <c r="AD148">
        <v>0</v>
      </c>
      <c r="AE148">
        <f>((AD148)/(AD146+AD147+AD148))*(100)</f>
        <v>0</v>
      </c>
      <c r="AG148" t="s">
        <v>84</v>
      </c>
      <c r="AH148">
        <f>SUM(AH137)</f>
        <v>1</v>
      </c>
      <c r="AI148">
        <f>((AH148)/(AH146+AH147+AH148))*(100)</f>
        <v>13.157894736842104</v>
      </c>
      <c r="AL148" s="40">
        <v>15</v>
      </c>
      <c r="AM148" s="7">
        <f>H22/(G22*G22)</f>
        <v>18.737894689428405</v>
      </c>
      <c r="AN148" s="86">
        <v>0.25242106211431903</v>
      </c>
      <c r="AO148" s="86">
        <v>0.74757893788568097</v>
      </c>
      <c r="AP148" s="18">
        <v>1</v>
      </c>
    </row>
    <row r="149" spans="27:44" x14ac:dyDescent="0.3">
      <c r="AN149">
        <f>SUM(AN140:AN148)</f>
        <v>0.36471965598562972</v>
      </c>
      <c r="AO149">
        <f>SUM(AO140:AO148)</f>
        <v>8.6352803440143706</v>
      </c>
    </row>
    <row r="151" spans="27:44" x14ac:dyDescent="0.3">
      <c r="AQ151" t="s">
        <v>74</v>
      </c>
    </row>
    <row r="152" spans="27:44" x14ac:dyDescent="0.3">
      <c r="AL152" s="87" t="s">
        <v>46</v>
      </c>
      <c r="AM152" s="86" t="s">
        <v>7</v>
      </c>
      <c r="AN152" s="86" t="s">
        <v>57</v>
      </c>
      <c r="AO152" s="86" t="s">
        <v>58</v>
      </c>
      <c r="AP152" s="88" t="s">
        <v>79</v>
      </c>
      <c r="AQ152" t="s">
        <v>57</v>
      </c>
      <c r="AR152">
        <f>-((AN161)/(AN162)*LOG((AN161)/(AN162),2))-((AN153+AN159)/(AN162)*LOG((AN153+AN159)/(AN162),2))-(0)</f>
        <v>0.99836367259381298</v>
      </c>
    </row>
    <row r="153" spans="27:44" x14ac:dyDescent="0.3">
      <c r="AL153" s="87">
        <v>1</v>
      </c>
      <c r="AM153" s="24">
        <v>78</v>
      </c>
      <c r="AN153" s="32">
        <v>0.13333333333333333</v>
      </c>
      <c r="AO153" s="32">
        <v>0.8666666666666667</v>
      </c>
      <c r="AP153" s="89">
        <v>2</v>
      </c>
      <c r="AQ153" t="s">
        <v>58</v>
      </c>
      <c r="AR153">
        <f>-((AO155+AO154+AO156+AO161)/(AO162)*LOG((AO155+AO154+AO156+AO161)/(AO162),2))-((AO153+AO159+AO160+AO157)/(AO162)*LOG((AO153+AO159+AO160+AO157)/(AO162),2))-((AO158)/(AO162)*LOG((AO158)/(AO162),2))</f>
        <v>1.4301097441251871</v>
      </c>
    </row>
    <row r="154" spans="27:44" x14ac:dyDescent="0.3">
      <c r="AL154" s="87">
        <v>3</v>
      </c>
      <c r="AM154" s="24">
        <v>98</v>
      </c>
      <c r="AN154" s="32">
        <v>0</v>
      </c>
      <c r="AO154" s="32">
        <v>1</v>
      </c>
      <c r="AP154" s="89">
        <v>1</v>
      </c>
    </row>
    <row r="155" spans="27:44" x14ac:dyDescent="0.3">
      <c r="AL155" s="87">
        <v>4</v>
      </c>
      <c r="AM155" s="27">
        <v>99</v>
      </c>
      <c r="AN155" s="31">
        <v>0</v>
      </c>
      <c r="AO155" s="31">
        <v>1</v>
      </c>
      <c r="AP155" s="89">
        <v>1</v>
      </c>
    </row>
    <row r="156" spans="27:44" x14ac:dyDescent="0.3">
      <c r="AL156" s="45">
        <v>5</v>
      </c>
      <c r="AM156" s="97">
        <v>88</v>
      </c>
      <c r="AN156" s="31">
        <v>0</v>
      </c>
      <c r="AO156" s="31">
        <v>1</v>
      </c>
      <c r="AP156" s="87">
        <v>1</v>
      </c>
    </row>
    <row r="157" spans="27:44" x14ac:dyDescent="0.3">
      <c r="AL157" s="87">
        <v>6</v>
      </c>
      <c r="AM157" s="27">
        <v>89</v>
      </c>
      <c r="AN157" s="31">
        <v>0</v>
      </c>
      <c r="AO157" s="31">
        <v>1</v>
      </c>
      <c r="AP157" s="89">
        <v>2</v>
      </c>
    </row>
    <row r="158" spans="27:44" x14ac:dyDescent="0.3">
      <c r="AL158" s="87">
        <v>7</v>
      </c>
      <c r="AM158" s="24">
        <v>89</v>
      </c>
      <c r="AN158" s="32">
        <v>0</v>
      </c>
      <c r="AO158" s="32">
        <v>1</v>
      </c>
      <c r="AP158" s="89">
        <v>3</v>
      </c>
    </row>
    <row r="159" spans="27:44" x14ac:dyDescent="0.3">
      <c r="AL159" s="87">
        <v>11</v>
      </c>
      <c r="AM159" s="24">
        <v>71</v>
      </c>
      <c r="AN159" s="32">
        <v>0.6</v>
      </c>
      <c r="AO159" s="32">
        <v>0.4</v>
      </c>
      <c r="AP159" s="89">
        <v>2</v>
      </c>
    </row>
    <row r="160" spans="27:44" x14ac:dyDescent="0.3">
      <c r="AL160" s="87">
        <v>12</v>
      </c>
      <c r="AM160" s="27">
        <v>101</v>
      </c>
      <c r="AN160" s="31">
        <v>0</v>
      </c>
      <c r="AO160" s="31">
        <v>1</v>
      </c>
      <c r="AP160" s="89">
        <v>2</v>
      </c>
    </row>
    <row r="161" spans="38:52" x14ac:dyDescent="0.3">
      <c r="AL161" s="87">
        <v>15</v>
      </c>
      <c r="AM161" s="27">
        <v>70</v>
      </c>
      <c r="AN161" s="31">
        <v>0.66666666666666663</v>
      </c>
      <c r="AO161" s="31">
        <v>0.33333333333333331</v>
      </c>
      <c r="AP161" s="89">
        <v>1</v>
      </c>
    </row>
    <row r="162" spans="38:52" x14ac:dyDescent="0.3">
      <c r="AN162" s="86">
        <f>SUM(AN153:AN161)</f>
        <v>1.4</v>
      </c>
      <c r="AO162" s="86">
        <f>SUM(AO153:AO161)</f>
        <v>7.6000000000000005</v>
      </c>
    </row>
    <row r="167" spans="38:52" s="84" customFormat="1" x14ac:dyDescent="0.3"/>
    <row r="168" spans="38:52" s="84" customFormat="1" x14ac:dyDescent="0.3">
      <c r="AL168" s="87" t="s">
        <v>46</v>
      </c>
      <c r="AM168" s="86" t="s">
        <v>4</v>
      </c>
      <c r="AN168" s="86" t="s">
        <v>55</v>
      </c>
      <c r="AO168" s="86" t="s">
        <v>43</v>
      </c>
      <c r="AP168" s="88" t="s">
        <v>79</v>
      </c>
      <c r="AQ168" s="84" t="s">
        <v>68</v>
      </c>
      <c r="AU168" s="194" t="s">
        <v>91</v>
      </c>
      <c r="AV168" s="194"/>
      <c r="AW168" s="194"/>
      <c r="AX168" s="84">
        <f>-((1/3)*LOG((1/3),2))-((2/3)*LOG((2/3),2))-(0)</f>
        <v>0.91829583405448956</v>
      </c>
    </row>
    <row r="169" spans="38:52" s="84" customFormat="1" x14ac:dyDescent="0.3">
      <c r="AL169" s="87">
        <v>1</v>
      </c>
      <c r="AM169" s="89">
        <v>52</v>
      </c>
      <c r="AN169" s="86">
        <v>0.12</v>
      </c>
      <c r="AO169" s="86">
        <v>0.88</v>
      </c>
      <c r="AP169" s="89">
        <v>2</v>
      </c>
      <c r="AQ169" s="84" t="s">
        <v>55</v>
      </c>
      <c r="AR169" s="84">
        <f>-((AN171)/(AN172)*LOG((AN171)/(AN172),2))-((AN169+AN170)/(AN172)*LOG((AN169+AN170)/(AN172),2))-(0)</f>
        <v>0.99874729793616857</v>
      </c>
      <c r="AU169" s="195" t="s">
        <v>127</v>
      </c>
      <c r="AV169" s="195"/>
      <c r="AW169" s="195"/>
      <c r="AX169" s="101">
        <f>(AX168)-((AN172)/(3)*AR169)-((AO172)/(3)*AR170)</f>
        <v>0.27909756337534164</v>
      </c>
      <c r="AY169" s="101" t="s">
        <v>166</v>
      </c>
      <c r="AZ169" s="101"/>
    </row>
    <row r="170" spans="38:52" s="84" customFormat="1" x14ac:dyDescent="0.3">
      <c r="AL170" s="87">
        <v>11</v>
      </c>
      <c r="AM170" s="89">
        <v>35</v>
      </c>
      <c r="AN170" s="86">
        <v>0.8</v>
      </c>
      <c r="AO170" s="86">
        <v>0.2</v>
      </c>
      <c r="AP170" s="89">
        <v>2</v>
      </c>
      <c r="AQ170" s="84" t="s">
        <v>43</v>
      </c>
      <c r="AR170" s="84">
        <f>-(0)-((AO169+AO170)/(AO172)*LOG((AO169+AO170)/(AO172),2))-(0)</f>
        <v>0</v>
      </c>
      <c r="AU170" s="194" t="s">
        <v>67</v>
      </c>
      <c r="AV170" s="194"/>
      <c r="AW170" s="194"/>
      <c r="AX170" s="84">
        <f>(AX168)-((AN178)/(3)*AR175)-((AO178/(3)*AR176))</f>
        <v>5.4191555745661479E-2</v>
      </c>
    </row>
    <row r="171" spans="38:52" s="84" customFormat="1" x14ac:dyDescent="0.3">
      <c r="AL171" s="87">
        <v>15</v>
      </c>
      <c r="AM171" s="89">
        <v>22</v>
      </c>
      <c r="AN171" s="86">
        <v>1</v>
      </c>
      <c r="AO171" s="86">
        <v>0</v>
      </c>
      <c r="AP171" s="89">
        <v>1</v>
      </c>
    </row>
    <row r="172" spans="38:52" s="84" customFormat="1" x14ac:dyDescent="0.3">
      <c r="AN172" s="84">
        <f>SUM(AN169:AN171)</f>
        <v>1.92</v>
      </c>
      <c r="AO172" s="84">
        <f>SUM(AO169:AO171)</f>
        <v>1.08</v>
      </c>
    </row>
    <row r="173" spans="38:52" s="84" customFormat="1" x14ac:dyDescent="0.3"/>
    <row r="174" spans="38:52" s="84" customFormat="1" x14ac:dyDescent="0.3">
      <c r="AL174" s="87" t="s">
        <v>46</v>
      </c>
      <c r="AM174" s="84" t="s">
        <v>10</v>
      </c>
      <c r="AN174" s="86" t="s">
        <v>44</v>
      </c>
      <c r="AO174" s="86" t="s">
        <v>47</v>
      </c>
      <c r="AP174" s="88" t="s">
        <v>79</v>
      </c>
      <c r="AQ174" s="84" t="s">
        <v>69</v>
      </c>
    </row>
    <row r="175" spans="38:52" s="84" customFormat="1" x14ac:dyDescent="0.3">
      <c r="AL175" s="87">
        <v>1</v>
      </c>
      <c r="AM175" s="86">
        <v>23.598931085099178</v>
      </c>
      <c r="AN175" s="86">
        <v>0</v>
      </c>
      <c r="AO175" s="86">
        <v>1</v>
      </c>
      <c r="AP175" s="89">
        <v>2</v>
      </c>
      <c r="AQ175" s="84" t="s">
        <v>44</v>
      </c>
      <c r="AR175" s="84">
        <f>-((AN177)/(AN178)*LOG((AN177)/(AN178),2))-((AN175+AN176)/(AN178)*LOG((AN175+AN176)/(AN178),2))-(0)</f>
        <v>0.89073900175637866</v>
      </c>
    </row>
    <row r="176" spans="38:52" s="84" customFormat="1" x14ac:dyDescent="0.3">
      <c r="AL176" s="87">
        <v>11</v>
      </c>
      <c r="AM176" s="86">
        <v>19.438507030643446</v>
      </c>
      <c r="AN176" s="86">
        <v>0.11229859387131072</v>
      </c>
      <c r="AO176" s="86">
        <v>0.88770140612868931</v>
      </c>
      <c r="AP176" s="89">
        <v>2</v>
      </c>
      <c r="AQ176" s="84" t="s">
        <v>70</v>
      </c>
      <c r="AR176" s="84">
        <f>-((AO177)/(AO178)*LOG((AO177)/(AO178),2))-((AO175+AO176)/(AO178)*LOG((AO175+AO176)/(AO178),2))-(0)</f>
        <v>0.86041806435624912</v>
      </c>
    </row>
    <row r="177" spans="37:45" s="84" customFormat="1" x14ac:dyDescent="0.3">
      <c r="AL177" s="87">
        <v>15</v>
      </c>
      <c r="AM177" s="86">
        <v>18.737894689428405</v>
      </c>
      <c r="AN177" s="86">
        <v>0.25242106211431903</v>
      </c>
      <c r="AO177" s="86">
        <v>0.74757893788568097</v>
      </c>
      <c r="AP177" s="89">
        <v>1</v>
      </c>
    </row>
    <row r="178" spans="37:45" s="84" customFormat="1" x14ac:dyDescent="0.3">
      <c r="AN178" s="84">
        <f>SUM(AN175:AN177)</f>
        <v>0.36471965598562972</v>
      </c>
      <c r="AO178" s="84">
        <f>SUM(AO175:AO177)</f>
        <v>2.6352803440143702</v>
      </c>
    </row>
    <row r="179" spans="37:45" s="84" customFormat="1" x14ac:dyDescent="0.3">
      <c r="AK179" s="44"/>
      <c r="AL179" s="44"/>
      <c r="AM179" s="44"/>
      <c r="AN179" s="44"/>
      <c r="AO179" s="44"/>
      <c r="AP179" s="44"/>
      <c r="AQ179" s="44"/>
      <c r="AR179" s="44"/>
      <c r="AS179" s="44"/>
    </row>
    <row r="180" spans="37:45" s="84" customFormat="1" x14ac:dyDescent="0.3">
      <c r="AK180" s="44"/>
      <c r="AL180" s="96"/>
      <c r="AM180" s="44"/>
      <c r="AN180" s="44"/>
      <c r="AO180" s="44"/>
      <c r="AP180" s="44"/>
      <c r="AQ180" s="44"/>
      <c r="AR180" s="44"/>
      <c r="AS180" s="44"/>
    </row>
    <row r="181" spans="37:45" x14ac:dyDescent="0.3">
      <c r="AK181" s="44"/>
      <c r="AL181" s="96"/>
      <c r="AM181" s="91"/>
      <c r="AN181" s="44"/>
      <c r="AO181" s="44"/>
      <c r="AP181" s="91"/>
      <c r="AQ181" s="44"/>
      <c r="AR181" s="44"/>
      <c r="AS181" s="44"/>
    </row>
    <row r="182" spans="37:45" x14ac:dyDescent="0.3">
      <c r="AK182" s="44"/>
      <c r="AL182" s="96"/>
      <c r="AM182" s="91"/>
      <c r="AN182" s="44"/>
      <c r="AO182" s="44"/>
      <c r="AP182" s="91"/>
      <c r="AQ182" s="44"/>
      <c r="AR182" s="44"/>
      <c r="AS182" s="44"/>
    </row>
    <row r="183" spans="37:45" x14ac:dyDescent="0.3">
      <c r="AK183" s="44"/>
      <c r="AL183" s="96"/>
      <c r="AM183" s="91"/>
      <c r="AN183" s="44"/>
      <c r="AO183" s="44"/>
      <c r="AP183" s="91"/>
      <c r="AQ183" s="44"/>
      <c r="AR183" s="44"/>
      <c r="AS183" s="44"/>
    </row>
    <row r="184" spans="37:45" x14ac:dyDescent="0.3">
      <c r="AK184" s="44"/>
      <c r="AL184" s="44"/>
      <c r="AM184" s="44"/>
      <c r="AN184" s="44"/>
      <c r="AO184" s="44"/>
      <c r="AP184" s="44"/>
      <c r="AQ184" s="44"/>
      <c r="AR184" s="44"/>
      <c r="AS184" s="44"/>
    </row>
    <row r="192" spans="37:45" s="84" customFormat="1" x14ac:dyDescent="0.3"/>
    <row r="193" spans="26:45" s="84" customFormat="1" x14ac:dyDescent="0.3">
      <c r="Z193" s="87" t="s">
        <v>46</v>
      </c>
      <c r="AA193" s="86" t="s">
        <v>55</v>
      </c>
      <c r="AB193" s="88" t="s">
        <v>79</v>
      </c>
      <c r="AD193" s="87" t="s">
        <v>46</v>
      </c>
      <c r="AE193" s="86" t="s">
        <v>43</v>
      </c>
      <c r="AF193" s="88" t="s">
        <v>79</v>
      </c>
    </row>
    <row r="194" spans="26:45" s="84" customFormat="1" x14ac:dyDescent="0.3">
      <c r="Z194" s="87">
        <v>1</v>
      </c>
      <c r="AA194" s="86">
        <v>0.12</v>
      </c>
      <c r="AB194" s="89">
        <v>2</v>
      </c>
      <c r="AD194" s="87">
        <v>1</v>
      </c>
      <c r="AE194" s="86">
        <v>0.88</v>
      </c>
      <c r="AF194" s="89">
        <v>2</v>
      </c>
    </row>
    <row r="195" spans="26:45" s="84" customFormat="1" x14ac:dyDescent="0.3">
      <c r="Z195" s="87">
        <v>11</v>
      </c>
      <c r="AA195" s="86">
        <v>0.8</v>
      </c>
      <c r="AB195" s="89">
        <v>2</v>
      </c>
      <c r="AD195" s="87">
        <v>11</v>
      </c>
      <c r="AE195" s="86">
        <v>0.2</v>
      </c>
      <c r="AF195" s="89">
        <v>2</v>
      </c>
    </row>
    <row r="196" spans="26:45" s="84" customFormat="1" x14ac:dyDescent="0.3">
      <c r="Z196" s="87">
        <v>15</v>
      </c>
      <c r="AA196" s="86">
        <v>1</v>
      </c>
      <c r="AB196" s="89">
        <v>1</v>
      </c>
    </row>
    <row r="197" spans="26:45" s="84" customFormat="1" x14ac:dyDescent="0.3"/>
    <row r="198" spans="26:45" s="84" customFormat="1" x14ac:dyDescent="0.3">
      <c r="AA198" s="84" t="s">
        <v>130</v>
      </c>
    </row>
    <row r="199" spans="26:45" s="84" customFormat="1" x14ac:dyDescent="0.3">
      <c r="AA199" s="46" t="s">
        <v>101</v>
      </c>
      <c r="AB199" s="47"/>
      <c r="AE199" s="46" t="s">
        <v>102</v>
      </c>
      <c r="AF199" s="47"/>
    </row>
    <row r="200" spans="26:45" s="84" customFormat="1" x14ac:dyDescent="0.3">
      <c r="AA200" s="84" t="s">
        <v>81</v>
      </c>
      <c r="AC200" s="84" t="s">
        <v>85</v>
      </c>
      <c r="AE200" s="84" t="s">
        <v>81</v>
      </c>
      <c r="AG200" s="84" t="s">
        <v>85</v>
      </c>
    </row>
    <row r="201" spans="26:45" s="84" customFormat="1" x14ac:dyDescent="0.3">
      <c r="AA201" s="84" t="s">
        <v>82</v>
      </c>
      <c r="AB201" s="84">
        <f>SUM(AA196)</f>
        <v>1</v>
      </c>
      <c r="AC201" s="84">
        <f>((AB201)/(AB201+AB202+AB203))*(100)</f>
        <v>52.083333333333336</v>
      </c>
      <c r="AE201" s="84" t="s">
        <v>82</v>
      </c>
      <c r="AF201" s="84">
        <v>0</v>
      </c>
      <c r="AG201" s="84">
        <f>((AF201)/(AF201+AF202+AF203))*(100)</f>
        <v>0</v>
      </c>
    </row>
    <row r="202" spans="26:45" s="84" customFormat="1" x14ac:dyDescent="0.3">
      <c r="AA202" s="90" t="s">
        <v>83</v>
      </c>
      <c r="AB202" s="90">
        <f>SUM(AA194:AA195)</f>
        <v>0.92</v>
      </c>
      <c r="AC202" s="90">
        <f>((AB202)/(AB201+AB202+AB203))*(100)</f>
        <v>47.916666666666671</v>
      </c>
      <c r="AE202" s="101" t="s">
        <v>83</v>
      </c>
      <c r="AF202" s="101">
        <f>SUM(AE194:AE195)</f>
        <v>1.08</v>
      </c>
      <c r="AG202" s="101">
        <f>((AF202)/(AF201+AF202+AF203))*(100)</f>
        <v>100</v>
      </c>
      <c r="AH202" s="84" t="s">
        <v>90</v>
      </c>
    </row>
    <row r="203" spans="26:45" s="84" customFormat="1" x14ac:dyDescent="0.3">
      <c r="AA203" s="84" t="s">
        <v>84</v>
      </c>
      <c r="AB203" s="84">
        <v>0</v>
      </c>
      <c r="AC203" s="84">
        <v>0</v>
      </c>
      <c r="AE203" s="84" t="s">
        <v>84</v>
      </c>
      <c r="AF203" s="84">
        <f>SUM(AF192)</f>
        <v>0</v>
      </c>
      <c r="AG203" s="84">
        <f>((AF203)/(AF201+AF202+AF203))*(100)</f>
        <v>0</v>
      </c>
    </row>
    <row r="204" spans="26:45" s="84" customFormat="1" x14ac:dyDescent="0.3"/>
    <row r="205" spans="26:45" s="84" customFormat="1" x14ac:dyDescent="0.3"/>
    <row r="206" spans="26:45" s="84" customFormat="1" x14ac:dyDescent="0.3"/>
    <row r="207" spans="26:45" s="84" customFormat="1" x14ac:dyDescent="0.3">
      <c r="AM207" s="87" t="s">
        <v>46</v>
      </c>
      <c r="AN207" s="84" t="s">
        <v>10</v>
      </c>
      <c r="AO207" s="86" t="s">
        <v>44</v>
      </c>
      <c r="AP207" s="86" t="s">
        <v>47</v>
      </c>
      <c r="AQ207" s="88" t="s">
        <v>79</v>
      </c>
      <c r="AR207" s="84" t="s">
        <v>69</v>
      </c>
    </row>
    <row r="208" spans="26:45" s="84" customFormat="1" x14ac:dyDescent="0.3">
      <c r="AM208" s="87">
        <v>1</v>
      </c>
      <c r="AN208" s="86">
        <v>23.598931085099178</v>
      </c>
      <c r="AO208" s="86">
        <v>0</v>
      </c>
      <c r="AP208" s="86">
        <v>1</v>
      </c>
      <c r="AQ208" s="89">
        <v>2</v>
      </c>
      <c r="AR208" s="84" t="s">
        <v>44</v>
      </c>
      <c r="AS208" s="84">
        <f>-((AO210)/(AO211)*LOG((AO210)/(AO211),2))-((AO208+AO209)/(AO211)*LOG((AO208+AO209)/(AO211),2))-(0)</f>
        <v>0.89073900175637866</v>
      </c>
    </row>
    <row r="209" spans="39:45" s="84" customFormat="1" x14ac:dyDescent="0.3">
      <c r="AM209" s="87">
        <v>11</v>
      </c>
      <c r="AN209" s="86">
        <v>19.438507030643446</v>
      </c>
      <c r="AO209" s="86">
        <v>0.11229859387131072</v>
      </c>
      <c r="AP209" s="86">
        <v>0.88770140612868931</v>
      </c>
      <c r="AQ209" s="89">
        <v>2</v>
      </c>
      <c r="AR209" s="84" t="s">
        <v>70</v>
      </c>
      <c r="AS209" s="84">
        <f>-((AP210)/(AP211)*LOG((AP210)/(AP211),2))-((AP208+AP209)/(AP211)*LOG((AP208+AP209)/(AP211),2))-(0)</f>
        <v>0.86041806435624912</v>
      </c>
    </row>
    <row r="210" spans="39:45" s="84" customFormat="1" x14ac:dyDescent="0.3">
      <c r="AM210" s="87">
        <v>15</v>
      </c>
      <c r="AN210" s="86">
        <v>18.737894689428405</v>
      </c>
      <c r="AO210" s="86">
        <v>0.25242106211431903</v>
      </c>
      <c r="AP210" s="86">
        <v>0.74757893788568097</v>
      </c>
      <c r="AQ210" s="89">
        <v>1</v>
      </c>
    </row>
    <row r="211" spans="39:45" s="84" customFormat="1" x14ac:dyDescent="0.3">
      <c r="AO211" s="84">
        <f>SUM(AO208:AO210)</f>
        <v>0.36471965598562972</v>
      </c>
      <c r="AP211" s="84">
        <f>SUM(AP208:AP210)</f>
        <v>2.6352803440143702</v>
      </c>
    </row>
    <row r="212" spans="39:45" s="84" customFormat="1" x14ac:dyDescent="0.3"/>
    <row r="213" spans="39:45" s="84" customFormat="1" x14ac:dyDescent="0.3"/>
    <row r="214" spans="39:45" s="84" customFormat="1" x14ac:dyDescent="0.3"/>
    <row r="215" spans="39:45" s="84" customFormat="1" x14ac:dyDescent="0.3"/>
    <row r="216" spans="39:45" s="84" customFormat="1" x14ac:dyDescent="0.3"/>
    <row r="217" spans="39:45" s="84" customFormat="1" x14ac:dyDescent="0.3"/>
    <row r="218" spans="39:45" s="84" customFormat="1" x14ac:dyDescent="0.3"/>
    <row r="219" spans="39:45" s="84" customFormat="1" x14ac:dyDescent="0.3"/>
    <row r="220" spans="39:45" s="84" customFormat="1" x14ac:dyDescent="0.3">
      <c r="AM220" s="84" t="s">
        <v>130</v>
      </c>
    </row>
    <row r="221" spans="39:45" s="84" customFormat="1" x14ac:dyDescent="0.3">
      <c r="AM221" s="46" t="s">
        <v>101</v>
      </c>
      <c r="AN221" s="47"/>
      <c r="AQ221" s="46" t="s">
        <v>102</v>
      </c>
      <c r="AR221" s="47"/>
    </row>
    <row r="222" spans="39:45" s="84" customFormat="1" x14ac:dyDescent="0.3">
      <c r="AM222" s="84" t="s">
        <v>81</v>
      </c>
      <c r="AO222" s="84" t="s">
        <v>85</v>
      </c>
      <c r="AQ222" s="84" t="s">
        <v>81</v>
      </c>
      <c r="AS222" s="84" t="s">
        <v>85</v>
      </c>
    </row>
    <row r="223" spans="39:45" s="84" customFormat="1" x14ac:dyDescent="0.3">
      <c r="AM223" s="101" t="s">
        <v>82</v>
      </c>
      <c r="AN223" s="101">
        <f>SUM(AA240)</f>
        <v>0.25242106211431903</v>
      </c>
      <c r="AO223" s="101">
        <f>((AN223)/(AN223+AN224+AN225))*(100)</f>
        <v>69.209612909994803</v>
      </c>
      <c r="AQ223" s="84" t="s">
        <v>82</v>
      </c>
      <c r="AR223" s="84">
        <f>SUM(AE239)</f>
        <v>1</v>
      </c>
      <c r="AS223" s="84">
        <f>((AR223)/(AR223+AR224+AR225))*(100)</f>
        <v>34.629619180073753</v>
      </c>
    </row>
    <row r="224" spans="39:45" s="84" customFormat="1" x14ac:dyDescent="0.3">
      <c r="AM224" s="90" t="s">
        <v>83</v>
      </c>
      <c r="AN224" s="90">
        <f>SUM(AA239)</f>
        <v>0.11229859387131072</v>
      </c>
      <c r="AO224" s="90">
        <f>((AN224)/(AN223+AN224+AN225))*(100)</f>
        <v>30.790387090005201</v>
      </c>
      <c r="AQ224" s="101" t="s">
        <v>83</v>
      </c>
      <c r="AR224" s="101">
        <f>SUM(AE239:AE240)</f>
        <v>1.8877014061286892</v>
      </c>
      <c r="AS224" s="101">
        <f>((AR224)/(AR223+AR224+AR225))*(100)</f>
        <v>65.37038081992624</v>
      </c>
    </row>
    <row r="225" spans="26:45" s="84" customFormat="1" x14ac:dyDescent="0.3">
      <c r="AM225" s="84" t="s">
        <v>84</v>
      </c>
      <c r="AN225" s="84">
        <v>0</v>
      </c>
      <c r="AO225" s="84">
        <v>0</v>
      </c>
      <c r="AQ225" s="84" t="s">
        <v>84</v>
      </c>
      <c r="AR225" s="84">
        <f>SUM(AR214)</f>
        <v>0</v>
      </c>
      <c r="AS225" s="84">
        <f>((AR225)/(AR223+AR224+AR225))*(100)</f>
        <v>0</v>
      </c>
    </row>
    <row r="226" spans="26:45" s="84" customFormat="1" x14ac:dyDescent="0.3"/>
    <row r="227" spans="26:45" s="84" customFormat="1" x14ac:dyDescent="0.3"/>
    <row r="228" spans="26:45" s="84" customFormat="1" x14ac:dyDescent="0.3"/>
    <row r="229" spans="26:45" s="84" customFormat="1" x14ac:dyDescent="0.3"/>
    <row r="232" spans="26:45" s="84" customFormat="1" x14ac:dyDescent="0.3"/>
    <row r="233" spans="26:45" s="84" customFormat="1" x14ac:dyDescent="0.3"/>
    <row r="234" spans="26:45" s="84" customFormat="1" x14ac:dyDescent="0.3"/>
    <row r="235" spans="26:45" s="84" customFormat="1" x14ac:dyDescent="0.3"/>
    <row r="236" spans="26:45" s="84" customFormat="1" x14ac:dyDescent="0.3"/>
    <row r="237" spans="26:45" s="84" customFormat="1" x14ac:dyDescent="0.3"/>
    <row r="238" spans="26:45" s="84" customFormat="1" x14ac:dyDescent="0.3">
      <c r="Z238" s="87" t="s">
        <v>46</v>
      </c>
      <c r="AA238" s="86" t="s">
        <v>44</v>
      </c>
      <c r="AB238" s="88" t="s">
        <v>79</v>
      </c>
      <c r="AD238" s="87" t="s">
        <v>46</v>
      </c>
      <c r="AE238" s="86" t="s">
        <v>47</v>
      </c>
      <c r="AF238" s="88" t="s">
        <v>79</v>
      </c>
    </row>
    <row r="239" spans="26:45" s="84" customFormat="1" x14ac:dyDescent="0.3">
      <c r="Z239" s="87">
        <v>11</v>
      </c>
      <c r="AA239" s="86">
        <v>0.11229859387131072</v>
      </c>
      <c r="AB239" s="89">
        <v>2</v>
      </c>
      <c r="AD239" s="87">
        <v>1</v>
      </c>
      <c r="AE239" s="86">
        <v>1</v>
      </c>
      <c r="AF239" s="89">
        <v>2</v>
      </c>
    </row>
    <row r="240" spans="26:45" x14ac:dyDescent="0.3">
      <c r="Z240" s="87">
        <v>15</v>
      </c>
      <c r="AA240" s="86">
        <v>0.25242106211431903</v>
      </c>
      <c r="AB240" s="89">
        <v>1</v>
      </c>
      <c r="AD240" s="87">
        <v>11</v>
      </c>
      <c r="AE240" s="86">
        <v>0.88770140612868931</v>
      </c>
      <c r="AF240" s="89">
        <v>2</v>
      </c>
    </row>
    <row r="241" spans="26:32" s="84" customFormat="1" x14ac:dyDescent="0.3">
      <c r="Z241" s="68"/>
      <c r="AA241" s="80"/>
      <c r="AB241" s="20"/>
      <c r="AD241" s="87">
        <v>15</v>
      </c>
      <c r="AE241" s="86">
        <v>0.74757893788568097</v>
      </c>
      <c r="AF241" s="89">
        <v>1</v>
      </c>
    </row>
    <row r="242" spans="26:32" s="84" customFormat="1" x14ac:dyDescent="0.3">
      <c r="Z242" s="68"/>
      <c r="AA242" s="80"/>
      <c r="AB242" s="20"/>
      <c r="AD242" s="68"/>
      <c r="AE242" s="80"/>
      <c r="AF242" s="20"/>
    </row>
    <row r="243" spans="26:32" s="84" customFormat="1" x14ac:dyDescent="0.3">
      <c r="Z243" s="68"/>
      <c r="AA243" s="80"/>
      <c r="AB243" s="20"/>
      <c r="AD243" s="68"/>
      <c r="AE243" s="80"/>
      <c r="AF243" s="20"/>
    </row>
    <row r="244" spans="26:32" s="84" customFormat="1" x14ac:dyDescent="0.3">
      <c r="Z244" s="68"/>
      <c r="AA244" s="80"/>
      <c r="AB244" s="20"/>
      <c r="AD244" s="68"/>
      <c r="AE244" s="80"/>
      <c r="AF244" s="20"/>
    </row>
    <row r="245" spans="26:32" s="84" customFormat="1" x14ac:dyDescent="0.3">
      <c r="Z245" s="68"/>
      <c r="AA245" s="80"/>
      <c r="AB245" s="20"/>
      <c r="AD245" s="68"/>
      <c r="AE245" s="80"/>
      <c r="AF245" s="20"/>
    </row>
    <row r="246" spans="26:32" s="84" customFormat="1" x14ac:dyDescent="0.3">
      <c r="Z246" s="68"/>
      <c r="AA246" s="80"/>
      <c r="AB246" s="20"/>
      <c r="AD246" s="68"/>
      <c r="AE246" s="80"/>
      <c r="AF246" s="20"/>
    </row>
    <row r="247" spans="26:32" s="84" customFormat="1" x14ac:dyDescent="0.3">
      <c r="Z247" s="68"/>
      <c r="AA247" s="80"/>
      <c r="AB247" s="20"/>
      <c r="AD247" s="68"/>
      <c r="AE247" s="80"/>
      <c r="AF247" s="20"/>
    </row>
    <row r="248" spans="26:32" s="84" customFormat="1" x14ac:dyDescent="0.3">
      <c r="Z248" s="68"/>
      <c r="AA248" s="80"/>
      <c r="AB248" s="20"/>
      <c r="AD248" s="68"/>
      <c r="AE248" s="80"/>
      <c r="AF248" s="20"/>
    </row>
    <row r="249" spans="26:32" s="84" customFormat="1" x14ac:dyDescent="0.3">
      <c r="Z249" s="68"/>
      <c r="AA249" s="80"/>
      <c r="AB249" s="20"/>
      <c r="AD249" s="68"/>
      <c r="AE249" s="80"/>
      <c r="AF249" s="20"/>
    </row>
    <row r="250" spans="26:32" s="84" customFormat="1" x14ac:dyDescent="0.3">
      <c r="Z250" s="68"/>
      <c r="AA250" s="80"/>
      <c r="AB250" s="20"/>
      <c r="AD250" s="68"/>
      <c r="AE250" s="80"/>
      <c r="AF250" s="20"/>
    </row>
    <row r="251" spans="26:32" s="84" customFormat="1" x14ac:dyDescent="0.3">
      <c r="Z251" s="68"/>
      <c r="AA251" s="80"/>
      <c r="AB251" s="20"/>
      <c r="AD251" s="68"/>
      <c r="AE251" s="80"/>
      <c r="AF251" s="20"/>
    </row>
    <row r="252" spans="26:32" s="84" customFormat="1" x14ac:dyDescent="0.3">
      <c r="Z252" s="68"/>
      <c r="AA252" s="80"/>
      <c r="AB252" s="20"/>
      <c r="AD252" s="68"/>
      <c r="AE252" s="80"/>
      <c r="AF252" s="20"/>
    </row>
    <row r="253" spans="26:32" s="84" customFormat="1" x14ac:dyDescent="0.3">
      <c r="Z253" s="68"/>
      <c r="AA253" s="80"/>
      <c r="AB253" s="20"/>
      <c r="AD253" s="68"/>
      <c r="AE253" s="80"/>
      <c r="AF253" s="20"/>
    </row>
    <row r="274" spans="31:53" x14ac:dyDescent="0.3">
      <c r="AT274" t="s">
        <v>68</v>
      </c>
      <c r="AX274" s="194" t="s">
        <v>91</v>
      </c>
      <c r="AY274" s="194"/>
      <c r="AZ274" s="194"/>
      <c r="BA274">
        <f>-((4/9)*LOG((4/9),2))-((4/9)*LOG((4/9),2))-((1/9)*LOG((1/9),2))</f>
        <v>1.3921472236645345</v>
      </c>
    </row>
    <row r="275" spans="31:53" x14ac:dyDescent="0.3">
      <c r="AO275" s="87" t="s">
        <v>46</v>
      </c>
      <c r="AP275" s="86" t="s">
        <v>4</v>
      </c>
      <c r="AQ275" s="86" t="s">
        <v>55</v>
      </c>
      <c r="AR275" s="86" t="s">
        <v>43</v>
      </c>
      <c r="AS275" s="88" t="s">
        <v>79</v>
      </c>
      <c r="AT275" t="s">
        <v>55</v>
      </c>
      <c r="AU275">
        <f>-((AQ284+AQ278+AQ279)/(AQ285)*LOG((AQ284+AQ278+AQ279)/(AQ285),2))-((AQ276+AQ280+AQ282+AQ283)/(AQ285)*LOG((AQ276+AQ280+AQ282+AQ283)/(AQ285),2))-((AQ281)/(AQ285)*LOG((AQ281)/(AQ285),2))</f>
        <v>1.3367501412296379</v>
      </c>
      <c r="AX275" s="194" t="s">
        <v>127</v>
      </c>
      <c r="AY275" s="194"/>
      <c r="AZ275" s="194"/>
      <c r="BA275">
        <f>(BA274)-((AQ285)/(9)*AU275)-((AR285)/(9)*AU276)</f>
        <v>8.7832278364160521E-3</v>
      </c>
    </row>
    <row r="276" spans="31:53" x14ac:dyDescent="0.3">
      <c r="AO276" s="87">
        <v>1</v>
      </c>
      <c r="AP276" s="89">
        <v>52</v>
      </c>
      <c r="AQ276" s="86">
        <v>0.12</v>
      </c>
      <c r="AR276" s="86">
        <v>0.88</v>
      </c>
      <c r="AS276" s="89">
        <v>2</v>
      </c>
      <c r="AT276" t="s">
        <v>43</v>
      </c>
      <c r="AU276">
        <f>-((AR277+AR278+AR279)/(AR285)*LOG((AR277+AR278+AR279)/(AR285),2))-((AR276+AR280+AR282+AR283)/(AR285)*LOG((AR276+AR280+AR282+AR283)/(AR285),2))-((AR281)/(AR285)*LOG((AR281)/(AR285),2))</f>
        <v>1.4587049933768255</v>
      </c>
      <c r="AX276" s="194" t="s">
        <v>67</v>
      </c>
      <c r="AY276" s="194"/>
      <c r="AZ276" s="194"/>
      <c r="BA276">
        <f>(BA274)-((AQ298)/(9)*AU288)-((AR298)/(9)*AU289)</f>
        <v>1.1672435322757524E-2</v>
      </c>
    </row>
    <row r="277" spans="31:53" x14ac:dyDescent="0.3">
      <c r="AO277" s="87">
        <v>3</v>
      </c>
      <c r="AP277" s="89">
        <v>56</v>
      </c>
      <c r="AQ277" s="86">
        <v>0</v>
      </c>
      <c r="AR277" s="86">
        <v>1</v>
      </c>
      <c r="AS277" s="89">
        <v>1</v>
      </c>
    </row>
    <row r="278" spans="31:53" x14ac:dyDescent="0.3">
      <c r="AO278" s="87">
        <v>4</v>
      </c>
      <c r="AP278" s="89">
        <v>38</v>
      </c>
      <c r="AQ278" s="86">
        <v>0.68</v>
      </c>
      <c r="AR278" s="86">
        <v>0.32</v>
      </c>
      <c r="AS278" s="89">
        <v>1</v>
      </c>
    </row>
    <row r="279" spans="31:53" x14ac:dyDescent="0.3">
      <c r="AO279" s="45">
        <v>5</v>
      </c>
      <c r="AP279" s="89">
        <v>36</v>
      </c>
      <c r="AQ279" s="86">
        <f>IF(AP279&lt;=$V$2,1,IF(AND($V$2&lt;AP279,AP279&lt;$W$2),($W$2-AP279)/($W$2-$V$2),IF(AP279&gt;=$W$2,0)))</f>
        <v>0.76</v>
      </c>
      <c r="AR279" s="86">
        <f>IF(AP279&lt;=$V$2,0,IF(AND($V$2&lt;AP279,AP279&lt;$W$2),(AP279-$V$2)/($W$2-$V$2),IF(AP279&gt;=$W$2,1)))</f>
        <v>0.24</v>
      </c>
      <c r="AS279" s="85">
        <v>1</v>
      </c>
    </row>
    <row r="280" spans="31:53" x14ac:dyDescent="0.3">
      <c r="AO280" s="87">
        <v>6</v>
      </c>
      <c r="AP280" s="89">
        <v>31</v>
      </c>
      <c r="AQ280" s="86">
        <v>0.96</v>
      </c>
      <c r="AR280" s="86">
        <v>0.04</v>
      </c>
      <c r="AS280" s="89">
        <v>2</v>
      </c>
    </row>
    <row r="281" spans="31:53" x14ac:dyDescent="0.3">
      <c r="AO281" s="87">
        <v>7</v>
      </c>
      <c r="AP281" s="89">
        <v>43</v>
      </c>
      <c r="AQ281" s="86">
        <v>0.48</v>
      </c>
      <c r="AR281" s="86">
        <v>0.52</v>
      </c>
      <c r="AS281" s="89">
        <v>3</v>
      </c>
    </row>
    <row r="282" spans="31:53" x14ac:dyDescent="0.3">
      <c r="AO282" s="87">
        <v>11</v>
      </c>
      <c r="AP282" s="89">
        <v>35</v>
      </c>
      <c r="AQ282" s="86">
        <v>0.8</v>
      </c>
      <c r="AR282" s="86">
        <v>0.2</v>
      </c>
      <c r="AS282" s="89">
        <v>2</v>
      </c>
    </row>
    <row r="283" spans="31:53" x14ac:dyDescent="0.3">
      <c r="AO283" s="87">
        <v>12</v>
      </c>
      <c r="AP283" s="89">
        <v>36</v>
      </c>
      <c r="AQ283" s="86">
        <v>0.76</v>
      </c>
      <c r="AR283" s="86">
        <v>0.24</v>
      </c>
      <c r="AS283" s="89">
        <v>2</v>
      </c>
    </row>
    <row r="284" spans="31:53" x14ac:dyDescent="0.3">
      <c r="AE284" s="40" t="s">
        <v>46</v>
      </c>
      <c r="AF284" s="7" t="s">
        <v>126</v>
      </c>
      <c r="AG284" s="7" t="s">
        <v>79</v>
      </c>
      <c r="AK284" s="87" t="s">
        <v>46</v>
      </c>
      <c r="AL284" s="7" t="s">
        <v>47</v>
      </c>
      <c r="AM284" s="37" t="s">
        <v>79</v>
      </c>
      <c r="AO284" s="87">
        <v>15</v>
      </c>
      <c r="AP284" s="89">
        <v>22</v>
      </c>
      <c r="AQ284" s="86">
        <v>1</v>
      </c>
      <c r="AR284" s="86">
        <v>0</v>
      </c>
      <c r="AS284" s="89">
        <v>1</v>
      </c>
    </row>
    <row r="285" spans="31:53" x14ac:dyDescent="0.3">
      <c r="AE285" s="40">
        <v>11</v>
      </c>
      <c r="AF285" s="86">
        <v>0.11229859387131072</v>
      </c>
      <c r="AG285" s="18">
        <v>2</v>
      </c>
      <c r="AK285" s="87">
        <v>1</v>
      </c>
      <c r="AL285" s="86">
        <v>1</v>
      </c>
      <c r="AM285" s="89">
        <v>2</v>
      </c>
      <c r="AO285" s="84"/>
      <c r="AP285" s="84"/>
      <c r="AQ285" s="84">
        <f>SUM(AQ276:AQ284)</f>
        <v>5.56</v>
      </c>
      <c r="AR285" s="84">
        <f>SUM(AR276:AR284)</f>
        <v>3.4399999999999995</v>
      </c>
      <c r="AS285" s="84"/>
    </row>
    <row r="286" spans="31:53" x14ac:dyDescent="0.3">
      <c r="AE286" s="40">
        <v>15</v>
      </c>
      <c r="AF286" s="86">
        <v>0.25242106211431903</v>
      </c>
      <c r="AG286" s="18">
        <v>1</v>
      </c>
      <c r="AK286" s="87">
        <v>3</v>
      </c>
      <c r="AL286" s="86">
        <v>1</v>
      </c>
      <c r="AM286" s="89">
        <v>1</v>
      </c>
    </row>
    <row r="287" spans="31:53" x14ac:dyDescent="0.3">
      <c r="AK287" s="87">
        <v>4</v>
      </c>
      <c r="AL287" s="86">
        <v>1</v>
      </c>
      <c r="AM287" s="89">
        <v>1</v>
      </c>
      <c r="AT287" t="s">
        <v>69</v>
      </c>
    </row>
    <row r="288" spans="31:53" x14ac:dyDescent="0.3">
      <c r="AK288" s="45">
        <v>5</v>
      </c>
      <c r="AL288" s="86">
        <v>1</v>
      </c>
      <c r="AM288" s="85">
        <v>1</v>
      </c>
      <c r="AO288" s="87" t="s">
        <v>46</v>
      </c>
      <c r="AP288" s="86" t="s">
        <v>10</v>
      </c>
      <c r="AQ288" s="86" t="s">
        <v>44</v>
      </c>
      <c r="AR288" s="86" t="s">
        <v>47</v>
      </c>
      <c r="AS288" s="88" t="s">
        <v>79</v>
      </c>
      <c r="AT288" t="s">
        <v>44</v>
      </c>
      <c r="AU288">
        <f>-((AQ297)/(AQ298)*LOG((AQ297)/(AQ298),2))-((AQ295)/(AQ298)*LOG((AQ295)/(AQ298),2))-(0)</f>
        <v>0.89073900175637866</v>
      </c>
    </row>
    <row r="289" spans="30:47" x14ac:dyDescent="0.3">
      <c r="AK289" s="87">
        <v>6</v>
      </c>
      <c r="AL289" s="86">
        <v>1</v>
      </c>
      <c r="AM289" s="89">
        <v>2</v>
      </c>
      <c r="AO289" s="87">
        <v>1</v>
      </c>
      <c r="AP289" s="86">
        <v>23.598931085099178</v>
      </c>
      <c r="AQ289" s="86">
        <v>0</v>
      </c>
      <c r="AR289" s="86">
        <v>1</v>
      </c>
      <c r="AS289" s="89">
        <v>2</v>
      </c>
      <c r="AT289" t="s">
        <v>70</v>
      </c>
      <c r="AU289">
        <f>-((AR290+AR291+AR292+AR297)/(AR298)*LOG((AR290+AR291+AR292+AR297)/(AR298),2))-((AR289+AR293+AR295+AR296)/(AR298)*LOG((AR289+AR293+AR295+AR296)/(AR298),2))-((AR294)/(AR298)*LOG((AR294)/(AR298),2))</f>
        <v>1.4011592664932115</v>
      </c>
    </row>
    <row r="290" spans="30:47" x14ac:dyDescent="0.3">
      <c r="AK290" s="87">
        <v>7</v>
      </c>
      <c r="AL290" s="86">
        <v>1</v>
      </c>
      <c r="AM290" s="89">
        <v>3</v>
      </c>
      <c r="AO290" s="87">
        <v>3</v>
      </c>
      <c r="AP290" s="86">
        <v>26.840928029472394</v>
      </c>
      <c r="AQ290" s="86">
        <v>0</v>
      </c>
      <c r="AR290" s="86">
        <v>1</v>
      </c>
      <c r="AS290" s="89">
        <v>1</v>
      </c>
    </row>
    <row r="291" spans="30:47" x14ac:dyDescent="0.3">
      <c r="AK291" s="87">
        <v>11</v>
      </c>
      <c r="AL291" s="86">
        <v>0.88770140612868931</v>
      </c>
      <c r="AM291" s="89">
        <v>2</v>
      </c>
      <c r="AO291" s="87">
        <v>4</v>
      </c>
      <c r="AP291" s="86">
        <v>32.456398197138938</v>
      </c>
      <c r="AQ291" s="86">
        <v>0</v>
      </c>
      <c r="AR291" s="86">
        <v>1</v>
      </c>
      <c r="AS291" s="89">
        <v>1</v>
      </c>
    </row>
    <row r="292" spans="30:47" x14ac:dyDescent="0.3">
      <c r="AK292" s="87">
        <v>12</v>
      </c>
      <c r="AL292" s="86">
        <v>1</v>
      </c>
      <c r="AM292" s="89">
        <v>2</v>
      </c>
      <c r="AO292" s="45">
        <v>5</v>
      </c>
      <c r="AP292" s="86">
        <v>23.59729780446613</v>
      </c>
      <c r="AQ292" s="86">
        <v>0</v>
      </c>
      <c r="AR292" s="86">
        <v>1</v>
      </c>
      <c r="AS292" s="85">
        <v>1</v>
      </c>
    </row>
    <row r="293" spans="30:47" x14ac:dyDescent="0.3">
      <c r="AK293" s="67">
        <v>15</v>
      </c>
      <c r="AL293" s="86">
        <v>0.74757893788568097</v>
      </c>
      <c r="AM293" s="89">
        <v>1</v>
      </c>
      <c r="AO293" s="87">
        <v>6</v>
      </c>
      <c r="AP293" s="86">
        <v>31.301350186727948</v>
      </c>
      <c r="AQ293" s="86">
        <v>0</v>
      </c>
      <c r="AR293" s="86">
        <v>1</v>
      </c>
      <c r="AS293" s="89">
        <v>2</v>
      </c>
    </row>
    <row r="294" spans="30:47" x14ac:dyDescent="0.3">
      <c r="AK294" s="68"/>
      <c r="AL294" s="80"/>
      <c r="AM294" s="20"/>
      <c r="AO294" s="87">
        <v>7</v>
      </c>
      <c r="AP294" s="86">
        <v>26.134122287968442</v>
      </c>
      <c r="AQ294" s="86">
        <v>0</v>
      </c>
      <c r="AR294" s="86">
        <v>1</v>
      </c>
      <c r="AS294" s="89">
        <v>3</v>
      </c>
    </row>
    <row r="295" spans="30:47" x14ac:dyDescent="0.3">
      <c r="AO295" s="87">
        <v>11</v>
      </c>
      <c r="AP295" s="86">
        <v>19.438507030643446</v>
      </c>
      <c r="AQ295" s="86">
        <v>0.11229859387131072</v>
      </c>
      <c r="AR295" s="86">
        <v>0.88770140612868931</v>
      </c>
      <c r="AS295" s="89">
        <v>2</v>
      </c>
    </row>
    <row r="296" spans="30:47" x14ac:dyDescent="0.3">
      <c r="AO296" s="87">
        <v>12</v>
      </c>
      <c r="AP296" s="86">
        <v>29.453124999999996</v>
      </c>
      <c r="AQ296" s="86">
        <v>0</v>
      </c>
      <c r="AR296" s="86">
        <v>1</v>
      </c>
      <c r="AS296" s="89">
        <v>2</v>
      </c>
    </row>
    <row r="297" spans="30:47" x14ac:dyDescent="0.3">
      <c r="AF297" t="s">
        <v>130</v>
      </c>
      <c r="AO297" s="87">
        <v>15</v>
      </c>
      <c r="AP297" s="86">
        <v>18.737894689428405</v>
      </c>
      <c r="AQ297" s="86">
        <v>0.25242106211431903</v>
      </c>
      <c r="AR297" s="86">
        <v>0.74757893788568097</v>
      </c>
      <c r="AS297" s="89">
        <v>1</v>
      </c>
    </row>
    <row r="298" spans="30:47" x14ac:dyDescent="0.3">
      <c r="AF298" s="46" t="s">
        <v>98</v>
      </c>
      <c r="AG298" s="47"/>
      <c r="AJ298" s="46" t="s">
        <v>109</v>
      </c>
      <c r="AK298" s="47"/>
      <c r="AO298" s="84"/>
      <c r="AP298" s="84"/>
      <c r="AQ298" s="84">
        <f>SUM(AQ289:AQ297)</f>
        <v>0.36471965598562972</v>
      </c>
      <c r="AR298" s="84">
        <f>SUM(AR289:AR297)</f>
        <v>8.6352803440143706</v>
      </c>
      <c r="AS298" s="84"/>
    </row>
    <row r="299" spans="30:47" x14ac:dyDescent="0.3">
      <c r="AF299" t="s">
        <v>81</v>
      </c>
      <c r="AH299" t="s">
        <v>85</v>
      </c>
      <c r="AJ299" t="s">
        <v>81</v>
      </c>
      <c r="AL299" t="s">
        <v>85</v>
      </c>
    </row>
    <row r="300" spans="30:47" x14ac:dyDescent="0.3">
      <c r="AD300" s="193" t="s">
        <v>132</v>
      </c>
      <c r="AE300" s="193"/>
      <c r="AF300" s="101" t="s">
        <v>82</v>
      </c>
      <c r="AG300" s="101">
        <f>SUM(AF286)</f>
        <v>0.25242106211431903</v>
      </c>
      <c r="AH300" s="101">
        <f>((AG300)/(AG300+AG301+AG302))*(100)</f>
        <v>69.209612909994803</v>
      </c>
      <c r="AJ300" t="s">
        <v>82</v>
      </c>
      <c r="AK300">
        <f>SUM(AL286,AL287,AL294)</f>
        <v>2</v>
      </c>
      <c r="AL300">
        <f>((AK300)/(AK300+AK301+AK302))*(100)</f>
        <v>23.16079988516319</v>
      </c>
    </row>
    <row r="301" spans="30:47" x14ac:dyDescent="0.3">
      <c r="AF301" s="90" t="s">
        <v>83</v>
      </c>
      <c r="AG301" s="90">
        <f>SUM(AF285)</f>
        <v>0.11229859387131072</v>
      </c>
      <c r="AH301" s="90">
        <f>((AG301)/(AG300+AG301+AG302))*(100)</f>
        <v>30.790387090005201</v>
      </c>
      <c r="AJ301" t="s">
        <v>83</v>
      </c>
      <c r="AK301">
        <f>SUM(AL285,AL291,AL292,AL293,AL288)</f>
        <v>4.6352803440143706</v>
      </c>
      <c r="AL301">
        <f>((AK301)/(AK300+AK301+AK302))*(100)</f>
        <v>53.67840022967362</v>
      </c>
    </row>
    <row r="302" spans="30:47" x14ac:dyDescent="0.3">
      <c r="AF302" t="s">
        <v>84</v>
      </c>
      <c r="AG302">
        <v>0</v>
      </c>
      <c r="AH302">
        <f>((AG302)/(AG300+AG301+AG302))*(100)</f>
        <v>0</v>
      </c>
      <c r="AJ302" t="s">
        <v>84</v>
      </c>
      <c r="AK302">
        <f>SUM(AL289,AL290)</f>
        <v>2</v>
      </c>
      <c r="AL302">
        <f>((AK302)/(AK300+AK301+AK302))*(100)</f>
        <v>23.16079988516319</v>
      </c>
    </row>
    <row r="348" spans="41:47" x14ac:dyDescent="0.3">
      <c r="AT348" t="s">
        <v>68</v>
      </c>
    </row>
    <row r="349" spans="41:47" x14ac:dyDescent="0.3">
      <c r="AO349" s="87" t="s">
        <v>46</v>
      </c>
      <c r="AP349" s="86" t="s">
        <v>4</v>
      </c>
      <c r="AQ349" s="86" t="s">
        <v>55</v>
      </c>
      <c r="AR349" s="86" t="s">
        <v>43</v>
      </c>
      <c r="AS349" s="88" t="s">
        <v>79</v>
      </c>
      <c r="AT349" t="s">
        <v>55</v>
      </c>
      <c r="AU349">
        <f>-((AQ352)/(AQ359)*LOG((AQ352)/(AQ359),2))-((AQ353+AQ357+AQ358)/(AQ359)*LOG((AQ353+AQ357+AQ358)/(AQ359),2))-((AQ354+AQ355)/(AQ359)*LOG((AQ354+AQ355)/(AQ359),2))</f>
        <v>1.3442857648512252</v>
      </c>
    </row>
    <row r="350" spans="41:47" x14ac:dyDescent="0.3">
      <c r="AO350" s="87">
        <v>1</v>
      </c>
      <c r="AP350" s="89">
        <v>52</v>
      </c>
      <c r="AQ350" s="86">
        <v>0</v>
      </c>
      <c r="AR350" s="86">
        <v>1</v>
      </c>
      <c r="AS350" s="89">
        <v>2</v>
      </c>
      <c r="AT350" t="s">
        <v>43</v>
      </c>
      <c r="AU350">
        <f>-((AR351+AR352)/(AR359)*LOG((AR351+AR352)/(AR359),2))-((AR350+AR356+AR358)/(AR359)*LOG((AR350+AR356+AR358)/(AR359),2))-((AR354)/(AR359)*LOG((AR354)/(AR359),2))</f>
        <v>1.4793559414885662</v>
      </c>
    </row>
    <row r="351" spans="41:47" x14ac:dyDescent="0.3">
      <c r="AO351" s="87">
        <v>3</v>
      </c>
      <c r="AP351" s="89">
        <v>56</v>
      </c>
      <c r="AQ351" s="86">
        <v>0</v>
      </c>
      <c r="AR351" s="86">
        <v>1</v>
      </c>
      <c r="AS351" s="89">
        <v>1</v>
      </c>
    </row>
    <row r="352" spans="41:47" x14ac:dyDescent="0.3">
      <c r="AO352" s="87">
        <v>4</v>
      </c>
      <c r="AP352" s="89">
        <v>38</v>
      </c>
      <c r="AQ352" s="86">
        <v>0.7</v>
      </c>
      <c r="AR352" s="86">
        <v>0.3</v>
      </c>
      <c r="AS352" s="89">
        <v>1</v>
      </c>
    </row>
    <row r="353" spans="34:45" x14ac:dyDescent="0.3">
      <c r="AO353" s="45">
        <v>5</v>
      </c>
      <c r="AP353" s="89">
        <v>31</v>
      </c>
      <c r="AQ353" s="86">
        <v>1</v>
      </c>
      <c r="AR353" s="86">
        <v>0</v>
      </c>
      <c r="AS353" s="89">
        <v>2</v>
      </c>
    </row>
    <row r="354" spans="34:45" x14ac:dyDescent="0.3">
      <c r="AO354" s="87">
        <v>6</v>
      </c>
      <c r="AP354" s="89">
        <v>43</v>
      </c>
      <c r="AQ354" s="86">
        <v>0.2</v>
      </c>
      <c r="AR354" s="86">
        <v>0.8</v>
      </c>
      <c r="AS354" s="89">
        <v>3</v>
      </c>
    </row>
    <row r="355" spans="34:45" x14ac:dyDescent="0.3">
      <c r="AO355" s="87">
        <v>7</v>
      </c>
      <c r="AP355" s="89">
        <v>27</v>
      </c>
      <c r="AQ355" s="86">
        <v>1</v>
      </c>
      <c r="AR355" s="86">
        <v>0</v>
      </c>
      <c r="AS355" s="89">
        <v>3</v>
      </c>
    </row>
    <row r="356" spans="34:45" x14ac:dyDescent="0.3">
      <c r="AO356" s="87">
        <v>11</v>
      </c>
      <c r="AP356" s="89">
        <v>80</v>
      </c>
      <c r="AQ356" s="86">
        <v>0</v>
      </c>
      <c r="AR356" s="86">
        <v>1</v>
      </c>
      <c r="AS356" s="89">
        <v>2</v>
      </c>
    </row>
    <row r="357" spans="34:45" x14ac:dyDescent="0.3">
      <c r="AO357" s="87">
        <v>12</v>
      </c>
      <c r="AP357" s="89">
        <v>35</v>
      </c>
      <c r="AQ357" s="86">
        <v>1</v>
      </c>
      <c r="AR357" s="86">
        <v>0</v>
      </c>
      <c r="AS357" s="89">
        <v>2</v>
      </c>
    </row>
    <row r="358" spans="34:45" x14ac:dyDescent="0.3">
      <c r="AO358" s="87">
        <v>15</v>
      </c>
      <c r="AP358" s="89">
        <v>36</v>
      </c>
      <c r="AQ358" s="86">
        <v>0.9</v>
      </c>
      <c r="AR358" s="86">
        <v>0.1</v>
      </c>
      <c r="AS358" s="89">
        <v>2</v>
      </c>
    </row>
    <row r="359" spans="34:45" x14ac:dyDescent="0.3">
      <c r="AQ359" s="8">
        <f>SUM(AQ350:AQ358)</f>
        <v>4.8</v>
      </c>
      <c r="AR359" s="8">
        <f>SUM(AR350:AR358)</f>
        <v>4.1999999999999993</v>
      </c>
    </row>
    <row r="364" spans="34:45" x14ac:dyDescent="0.3">
      <c r="AH364" s="67" t="s">
        <v>46</v>
      </c>
      <c r="AI364" s="22" t="s">
        <v>92</v>
      </c>
      <c r="AJ364" s="103" t="s">
        <v>79</v>
      </c>
      <c r="AN364" s="87" t="s">
        <v>46</v>
      </c>
      <c r="AO364" s="86" t="s">
        <v>93</v>
      </c>
      <c r="AP364" s="88" t="s">
        <v>79</v>
      </c>
    </row>
    <row r="365" spans="34:45" x14ac:dyDescent="0.3">
      <c r="AH365" s="87">
        <v>4</v>
      </c>
      <c r="AI365" s="86">
        <v>0.7</v>
      </c>
      <c r="AJ365" s="89">
        <v>1</v>
      </c>
      <c r="AN365" s="87">
        <v>1</v>
      </c>
      <c r="AO365" s="86">
        <v>1</v>
      </c>
      <c r="AP365" s="89">
        <v>2</v>
      </c>
      <c r="AQ365" s="68"/>
    </row>
    <row r="366" spans="34:45" x14ac:dyDescent="0.3">
      <c r="AH366" s="45">
        <v>5</v>
      </c>
      <c r="AI366" s="86">
        <v>1</v>
      </c>
      <c r="AJ366" s="89">
        <v>2</v>
      </c>
      <c r="AN366" s="87">
        <v>3</v>
      </c>
      <c r="AO366" s="86">
        <v>1</v>
      </c>
      <c r="AP366" s="89">
        <v>1</v>
      </c>
      <c r="AQ366" s="68"/>
    </row>
    <row r="367" spans="34:45" x14ac:dyDescent="0.3">
      <c r="AH367" s="87">
        <v>6</v>
      </c>
      <c r="AI367" s="86">
        <v>0.2</v>
      </c>
      <c r="AJ367" s="89">
        <v>3</v>
      </c>
      <c r="AN367" s="87">
        <v>4</v>
      </c>
      <c r="AO367" s="86">
        <v>0.3</v>
      </c>
      <c r="AP367" s="89">
        <v>1</v>
      </c>
      <c r="AQ367" s="68"/>
    </row>
    <row r="368" spans="34:45" x14ac:dyDescent="0.3">
      <c r="AH368" s="87">
        <v>7</v>
      </c>
      <c r="AI368" s="86">
        <v>1</v>
      </c>
      <c r="AJ368" s="89">
        <v>3</v>
      </c>
      <c r="AN368" s="87">
        <v>6</v>
      </c>
      <c r="AO368" s="86">
        <v>0.8</v>
      </c>
      <c r="AP368" s="89">
        <v>3</v>
      </c>
      <c r="AQ368" s="68"/>
    </row>
    <row r="369" spans="34:43" x14ac:dyDescent="0.3">
      <c r="AH369" s="87">
        <v>12</v>
      </c>
      <c r="AI369" s="86">
        <v>1</v>
      </c>
      <c r="AJ369" s="89">
        <v>2</v>
      </c>
      <c r="AN369" s="87">
        <v>11</v>
      </c>
      <c r="AO369" s="86">
        <v>1</v>
      </c>
      <c r="AP369" s="89">
        <v>2</v>
      </c>
      <c r="AQ369" s="68"/>
    </row>
    <row r="370" spans="34:43" x14ac:dyDescent="0.3">
      <c r="AH370" s="87">
        <v>15</v>
      </c>
      <c r="AI370" s="86">
        <v>0.9</v>
      </c>
      <c r="AJ370" s="89">
        <v>2</v>
      </c>
      <c r="AN370" s="87">
        <v>15</v>
      </c>
      <c r="AO370" s="86">
        <v>0.1</v>
      </c>
      <c r="AP370" s="89">
        <v>2</v>
      </c>
      <c r="AQ370" s="68"/>
    </row>
    <row r="371" spans="34:43" x14ac:dyDescent="0.3">
      <c r="AH371" s="68"/>
      <c r="AI371" s="80"/>
      <c r="AJ371" s="20"/>
      <c r="AQ371" s="68"/>
    </row>
    <row r="375" spans="34:43" x14ac:dyDescent="0.3">
      <c r="AH375" t="s">
        <v>130</v>
      </c>
    </row>
    <row r="376" spans="34:43" x14ac:dyDescent="0.3">
      <c r="AH376" s="46" t="s">
        <v>111</v>
      </c>
      <c r="AI376" s="47"/>
      <c r="AL376" s="46" t="s">
        <v>112</v>
      </c>
      <c r="AM376" s="47"/>
    </row>
    <row r="377" spans="34:43" x14ac:dyDescent="0.3">
      <c r="AH377" t="s">
        <v>81</v>
      </c>
      <c r="AJ377" t="s">
        <v>85</v>
      </c>
      <c r="AL377" t="s">
        <v>81</v>
      </c>
      <c r="AN377" t="s">
        <v>85</v>
      </c>
    </row>
    <row r="378" spans="34:43" x14ac:dyDescent="0.3">
      <c r="AH378" s="75" t="s">
        <v>82</v>
      </c>
      <c r="AI378" s="75">
        <f>SUM(AI365)</f>
        <v>0.7</v>
      </c>
      <c r="AJ378" s="75">
        <f>((AI378)/(AI378+AI379+AI380))*(100)</f>
        <v>14.583333333333334</v>
      </c>
      <c r="AL378" t="s">
        <v>82</v>
      </c>
      <c r="AM378">
        <f>SUM(AO366,AO367)</f>
        <v>1.3</v>
      </c>
      <c r="AN378">
        <f>((AM378)/(AM378+AM379+AM380))*(100)</f>
        <v>30.952380952380953</v>
      </c>
    </row>
    <row r="379" spans="34:43" x14ac:dyDescent="0.3">
      <c r="AH379" s="101" t="s">
        <v>83</v>
      </c>
      <c r="AI379" s="101">
        <f>SUM(AI366,AI369:AI370)</f>
        <v>2.9</v>
      </c>
      <c r="AJ379" s="101">
        <f>((AI379)/(AI378+AI379+AI380))*(100)</f>
        <v>60.416666666666664</v>
      </c>
      <c r="AL379" t="s">
        <v>83</v>
      </c>
      <c r="AM379">
        <f>SUM(AO365,AO369,AO370)</f>
        <v>2.1</v>
      </c>
      <c r="AN379">
        <f>((AM379)/(AM378+AM379+AM380))*(100)</f>
        <v>50</v>
      </c>
    </row>
    <row r="380" spans="34:43" x14ac:dyDescent="0.3">
      <c r="AH380" s="75" t="s">
        <v>84</v>
      </c>
      <c r="AI380" s="75">
        <f>SUM(AI367,AI368)</f>
        <v>1.2</v>
      </c>
      <c r="AJ380" s="75">
        <f>((AI380)/(AI378+AI379+AI380))*(100)</f>
        <v>25</v>
      </c>
      <c r="AL380" t="s">
        <v>84</v>
      </c>
      <c r="AM380">
        <f>SUM(AO368)</f>
        <v>0.8</v>
      </c>
      <c r="AN380">
        <f>((AM380)/(AM378+AM379+AM380))*(100)</f>
        <v>19.047619047619047</v>
      </c>
    </row>
    <row r="386" spans="39:50" x14ac:dyDescent="0.3">
      <c r="AM386" s="104" t="s">
        <v>77</v>
      </c>
      <c r="AN386" s="192" t="s">
        <v>167</v>
      </c>
      <c r="AO386" s="192"/>
      <c r="AP386" s="192"/>
      <c r="AQ386" s="192"/>
      <c r="AR386" s="192"/>
      <c r="AS386" s="192"/>
      <c r="AT386" s="192"/>
      <c r="AU386" s="192"/>
      <c r="AV386" s="192"/>
      <c r="AW386" s="192"/>
      <c r="AX386" s="192"/>
    </row>
    <row r="387" spans="39:50" x14ac:dyDescent="0.3">
      <c r="AM387" s="87">
        <v>1</v>
      </c>
      <c r="AN387" s="189" t="s">
        <v>168</v>
      </c>
      <c r="AO387" s="189"/>
      <c r="AP387" s="189"/>
      <c r="AQ387" s="189"/>
      <c r="AR387" s="189"/>
      <c r="AS387" s="189"/>
      <c r="AT387" s="189"/>
      <c r="AU387" s="189"/>
      <c r="AV387" s="189"/>
      <c r="AW387" s="189"/>
      <c r="AX387" s="189"/>
    </row>
    <row r="388" spans="39:50" x14ac:dyDescent="0.3">
      <c r="AM388" s="87">
        <v>2</v>
      </c>
      <c r="AN388" s="189" t="s">
        <v>169</v>
      </c>
      <c r="AO388" s="189"/>
      <c r="AP388" s="189"/>
      <c r="AQ388" s="189"/>
      <c r="AR388" s="189"/>
      <c r="AS388" s="189"/>
      <c r="AT388" s="189"/>
      <c r="AU388" s="189"/>
      <c r="AV388" s="189"/>
      <c r="AW388" s="189"/>
      <c r="AX388" s="189"/>
    </row>
    <row r="389" spans="39:50" x14ac:dyDescent="0.3">
      <c r="AM389" s="87">
        <v>3</v>
      </c>
      <c r="AN389" s="189" t="s">
        <v>170</v>
      </c>
      <c r="AO389" s="189"/>
      <c r="AP389" s="189"/>
      <c r="AQ389" s="189"/>
      <c r="AR389" s="189"/>
      <c r="AS389" s="189"/>
      <c r="AT389" s="189"/>
      <c r="AU389" s="189"/>
      <c r="AV389" s="189"/>
      <c r="AW389" s="189"/>
      <c r="AX389" s="189"/>
    </row>
    <row r="390" spans="39:50" x14ac:dyDescent="0.3">
      <c r="AM390" s="87">
        <v>4</v>
      </c>
      <c r="AN390" s="189" t="s">
        <v>171</v>
      </c>
      <c r="AO390" s="189"/>
      <c r="AP390" s="189"/>
      <c r="AQ390" s="189"/>
      <c r="AR390" s="189"/>
      <c r="AS390" s="189"/>
      <c r="AT390" s="189"/>
      <c r="AU390" s="189"/>
      <c r="AV390" s="189"/>
      <c r="AW390" s="189"/>
      <c r="AX390" s="189"/>
    </row>
    <row r="391" spans="39:50" x14ac:dyDescent="0.3">
      <c r="AM391" s="87">
        <v>5</v>
      </c>
      <c r="AN391" s="189" t="s">
        <v>172</v>
      </c>
      <c r="AO391" s="189"/>
      <c r="AP391" s="189"/>
      <c r="AQ391" s="189"/>
      <c r="AR391" s="189"/>
      <c r="AS391" s="189"/>
      <c r="AT391" s="189"/>
      <c r="AU391" s="189"/>
      <c r="AV391" s="189"/>
      <c r="AW391" s="189"/>
      <c r="AX391" s="189"/>
    </row>
    <row r="392" spans="39:50" x14ac:dyDescent="0.3">
      <c r="AM392" s="87">
        <v>6</v>
      </c>
      <c r="AN392" s="189" t="s">
        <v>173</v>
      </c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</row>
    <row r="393" spans="39:50" x14ac:dyDescent="0.3">
      <c r="AM393" s="87">
        <v>7</v>
      </c>
      <c r="AN393" s="189" t="s">
        <v>174</v>
      </c>
      <c r="AO393" s="189"/>
      <c r="AP393" s="189"/>
      <c r="AQ393" s="189"/>
      <c r="AR393" s="189"/>
      <c r="AS393" s="189"/>
      <c r="AT393" s="189"/>
      <c r="AU393" s="189"/>
      <c r="AV393" s="189"/>
      <c r="AW393" s="189"/>
      <c r="AX393" s="189"/>
    </row>
    <row r="394" spans="39:50" x14ac:dyDescent="0.3">
      <c r="AM394" s="87">
        <v>8</v>
      </c>
      <c r="AN394" s="189" t="s">
        <v>175</v>
      </c>
      <c r="AO394" s="189"/>
      <c r="AP394" s="189"/>
      <c r="AQ394" s="189"/>
      <c r="AR394" s="189"/>
      <c r="AS394" s="189"/>
      <c r="AT394" s="189"/>
      <c r="AU394" s="189"/>
      <c r="AV394" s="189"/>
      <c r="AW394" s="189"/>
      <c r="AX394" s="189"/>
    </row>
    <row r="395" spans="39:50" x14ac:dyDescent="0.3">
      <c r="AM395" s="84"/>
    </row>
    <row r="396" spans="39:50" x14ac:dyDescent="0.3">
      <c r="AM396" s="84"/>
    </row>
    <row r="397" spans="39:50" x14ac:dyDescent="0.3">
      <c r="AM397" s="86"/>
      <c r="AN397" s="189" t="s">
        <v>4</v>
      </c>
      <c r="AO397" s="189"/>
      <c r="AP397" s="189" t="s">
        <v>56</v>
      </c>
      <c r="AQ397" s="189"/>
      <c r="AR397" s="189" t="s">
        <v>10</v>
      </c>
      <c r="AS397" s="189"/>
      <c r="AT397" s="189" t="s">
        <v>59</v>
      </c>
      <c r="AU397" s="189"/>
      <c r="AV397" s="189"/>
    </row>
    <row r="398" spans="39:50" x14ac:dyDescent="0.3">
      <c r="AM398" s="85"/>
      <c r="AN398" s="85" t="s">
        <v>55</v>
      </c>
      <c r="AO398" s="85" t="s">
        <v>43</v>
      </c>
      <c r="AP398" s="85" t="s">
        <v>57</v>
      </c>
      <c r="AQ398" s="85" t="s">
        <v>58</v>
      </c>
      <c r="AR398" s="87" t="s">
        <v>44</v>
      </c>
      <c r="AS398" s="87" t="s">
        <v>47</v>
      </c>
      <c r="AT398" s="85" t="s">
        <v>44</v>
      </c>
      <c r="AU398" s="85" t="s">
        <v>155</v>
      </c>
      <c r="AV398" s="85" t="s">
        <v>61</v>
      </c>
    </row>
    <row r="399" spans="39:50" x14ac:dyDescent="0.3">
      <c r="AM399" s="86" t="s">
        <v>139</v>
      </c>
      <c r="AN399" s="86" t="s">
        <v>140</v>
      </c>
      <c r="AO399" s="86" t="s">
        <v>141</v>
      </c>
      <c r="AP399" s="86" t="s">
        <v>142</v>
      </c>
      <c r="AQ399" s="86" t="s">
        <v>143</v>
      </c>
      <c r="AR399" s="86" t="s">
        <v>145</v>
      </c>
      <c r="AS399" s="86" t="s">
        <v>144</v>
      </c>
      <c r="AT399" s="86" t="s">
        <v>146</v>
      </c>
      <c r="AU399" s="86" t="s">
        <v>147</v>
      </c>
      <c r="AV399" s="86" t="s">
        <v>154</v>
      </c>
    </row>
    <row r="400" spans="39:50" x14ac:dyDescent="0.3">
      <c r="AM400" s="86" t="s">
        <v>148</v>
      </c>
      <c r="AN400" s="86">
        <v>30</v>
      </c>
      <c r="AO400" s="86">
        <v>55</v>
      </c>
      <c r="AP400" s="86">
        <v>65</v>
      </c>
      <c r="AQ400" s="86">
        <v>80</v>
      </c>
      <c r="AR400" s="86">
        <v>15</v>
      </c>
      <c r="AS400" s="86">
        <v>20</v>
      </c>
      <c r="AT400" s="86">
        <v>190</v>
      </c>
      <c r="AU400" s="86">
        <v>210</v>
      </c>
      <c r="AV400" s="86">
        <v>250</v>
      </c>
    </row>
    <row r="403" spans="41:48" x14ac:dyDescent="0.3">
      <c r="AO403" s="80"/>
      <c r="AP403" s="80"/>
      <c r="AQ403" s="80"/>
    </row>
    <row r="404" spans="41:48" x14ac:dyDescent="0.3">
      <c r="AO404" s="80"/>
      <c r="AP404" s="80"/>
      <c r="AQ404" s="80"/>
    </row>
    <row r="405" spans="41:48" x14ac:dyDescent="0.3">
      <c r="AO405" s="80"/>
      <c r="AP405" s="80"/>
      <c r="AQ405" s="80"/>
    </row>
    <row r="406" spans="41:48" x14ac:dyDescent="0.3">
      <c r="AO406" s="80"/>
      <c r="AP406" s="187"/>
      <c r="AQ406" s="187"/>
      <c r="AR406" s="80"/>
      <c r="AS406" s="80"/>
      <c r="AT406" s="80"/>
      <c r="AU406" s="80"/>
      <c r="AV406" s="80"/>
    </row>
    <row r="407" spans="41:48" x14ac:dyDescent="0.3">
      <c r="AO407" s="80"/>
      <c r="AP407" s="80"/>
      <c r="AQ407" s="80"/>
      <c r="AR407" s="80"/>
      <c r="AS407" s="80"/>
      <c r="AT407" s="80"/>
      <c r="AU407" s="80"/>
      <c r="AV407" s="80"/>
    </row>
    <row r="408" spans="41:48" x14ac:dyDescent="0.3">
      <c r="AO408" s="20"/>
      <c r="AP408" s="20"/>
      <c r="AQ408" s="80"/>
      <c r="AR408" s="80"/>
      <c r="AS408" s="80"/>
      <c r="AT408" s="20"/>
      <c r="AU408" s="80"/>
      <c r="AV408" s="80"/>
    </row>
    <row r="410" spans="41:48" x14ac:dyDescent="0.3">
      <c r="AR410" s="20"/>
      <c r="AS410" s="20"/>
      <c r="AT410" s="80"/>
    </row>
  </sheetData>
  <mergeCells count="116">
    <mergeCell ref="T110:U110"/>
    <mergeCell ref="T111:U111"/>
    <mergeCell ref="T112:U112"/>
    <mergeCell ref="E27:G27"/>
    <mergeCell ref="AA147:AB147"/>
    <mergeCell ref="AD300:AE300"/>
    <mergeCell ref="AX274:AZ274"/>
    <mergeCell ref="AX275:AZ275"/>
    <mergeCell ref="AX276:AZ276"/>
    <mergeCell ref="AV123:AX123"/>
    <mergeCell ref="AV124:AX124"/>
    <mergeCell ref="AV125:AX125"/>
    <mergeCell ref="AV126:AX126"/>
    <mergeCell ref="AU168:AW168"/>
    <mergeCell ref="AU169:AW169"/>
    <mergeCell ref="AU170:AW170"/>
    <mergeCell ref="AL49:AV49"/>
    <mergeCell ref="AL41:AV41"/>
    <mergeCell ref="AL42:AV42"/>
    <mergeCell ref="AL43:AV43"/>
    <mergeCell ref="AL44:AV44"/>
    <mergeCell ref="AL45:AV45"/>
    <mergeCell ref="AN386:AX386"/>
    <mergeCell ref="AN387:AX387"/>
    <mergeCell ref="E26:G26"/>
    <mergeCell ref="H26:J26"/>
    <mergeCell ref="A5:P5"/>
    <mergeCell ref="A6:A7"/>
    <mergeCell ref="B6:B7"/>
    <mergeCell ref="C6:C7"/>
    <mergeCell ref="D6:E6"/>
    <mergeCell ref="F6:F7"/>
    <mergeCell ref="G6:G7"/>
    <mergeCell ref="H6:H7"/>
    <mergeCell ref="J6:J7"/>
    <mergeCell ref="K6:K7"/>
    <mergeCell ref="L6:L7"/>
    <mergeCell ref="M6:M7"/>
    <mergeCell ref="N6:N7"/>
    <mergeCell ref="O6:O7"/>
    <mergeCell ref="P6:P7"/>
    <mergeCell ref="H27:J27"/>
    <mergeCell ref="E28:G28"/>
    <mergeCell ref="AL46:AV46"/>
    <mergeCell ref="AL47:AV47"/>
    <mergeCell ref="AL48:AV48"/>
    <mergeCell ref="AN393:AX393"/>
    <mergeCell ref="AN394:AX394"/>
    <mergeCell ref="AP406:AQ406"/>
    <mergeCell ref="AN397:AO397"/>
    <mergeCell ref="AP397:AQ397"/>
    <mergeCell ref="AR397:AS397"/>
    <mergeCell ref="AT397:AV397"/>
    <mergeCell ref="AN388:AX388"/>
    <mergeCell ref="AN389:AX389"/>
    <mergeCell ref="AN390:AX390"/>
    <mergeCell ref="AN391:AX391"/>
    <mergeCell ref="AN392:AX392"/>
    <mergeCell ref="A1:N1"/>
    <mergeCell ref="BI20:BJ20"/>
    <mergeCell ref="BI24:BJ24"/>
    <mergeCell ref="BI25:BJ25"/>
    <mergeCell ref="BI32:BJ32"/>
    <mergeCell ref="BO15:BP15"/>
    <mergeCell ref="AL20:AM20"/>
    <mergeCell ref="AN20:AO20"/>
    <mergeCell ref="AP20:AQ20"/>
    <mergeCell ref="AR20:AT20"/>
    <mergeCell ref="AU20:AX20"/>
    <mergeCell ref="BL19:BM19"/>
    <mergeCell ref="BL14:BM14"/>
    <mergeCell ref="BL15:BM15"/>
    <mergeCell ref="BL16:BM16"/>
    <mergeCell ref="BL17:BM17"/>
    <mergeCell ref="BL18:BM18"/>
    <mergeCell ref="H28:J28"/>
    <mergeCell ref="E29:G29"/>
    <mergeCell ref="H29:J29"/>
    <mergeCell ref="E30:G30"/>
    <mergeCell ref="H30:J30"/>
    <mergeCell ref="BI108:BJ108"/>
    <mergeCell ref="BI109:BJ109"/>
    <mergeCell ref="BI73:BJ73"/>
    <mergeCell ref="BI80:BJ80"/>
    <mergeCell ref="BI84:BJ84"/>
    <mergeCell ref="BI85:BJ85"/>
    <mergeCell ref="BI92:BJ92"/>
    <mergeCell ref="BI56:BJ56"/>
    <mergeCell ref="BI60:BJ60"/>
    <mergeCell ref="BI61:BJ61"/>
    <mergeCell ref="BI68:BJ68"/>
    <mergeCell ref="BI72:BJ72"/>
    <mergeCell ref="BI96:BJ96"/>
    <mergeCell ref="BI97:BJ97"/>
    <mergeCell ref="BI104:BJ104"/>
    <mergeCell ref="BI36:BJ36"/>
    <mergeCell ref="BI37:BJ37"/>
    <mergeCell ref="BI44:BJ44"/>
    <mergeCell ref="BI48:BJ48"/>
    <mergeCell ref="BI49:BJ49"/>
    <mergeCell ref="BT84:BU84"/>
    <mergeCell ref="BT92:BU92"/>
    <mergeCell ref="BT96:BU96"/>
    <mergeCell ref="BT105:BU105"/>
    <mergeCell ref="BT109:BU109"/>
    <mergeCell ref="BT56:BU56"/>
    <mergeCell ref="BT60:BU60"/>
    <mergeCell ref="BT68:BU68"/>
    <mergeCell ref="BT72:BU72"/>
    <mergeCell ref="BT80:BU80"/>
    <mergeCell ref="BT21:BU21"/>
    <mergeCell ref="BT25:BU25"/>
    <mergeCell ref="BT32:BU32"/>
    <mergeCell ref="BT36:BU36"/>
    <mergeCell ref="BT44:BU44"/>
    <mergeCell ref="BT48:BU4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28"/>
  <sheetViews>
    <sheetView zoomScale="10" zoomScaleNormal="10" workbookViewId="0">
      <selection activeCell="P30" sqref="P30:R45"/>
    </sheetView>
  </sheetViews>
  <sheetFormatPr defaultRowHeight="14.4" x14ac:dyDescent="0.3"/>
  <cols>
    <col min="1" max="1" width="8.88671875" style="84"/>
    <col min="2" max="2" width="10.6640625" style="84" customWidth="1"/>
    <col min="3" max="12" width="8.88671875" style="84"/>
    <col min="13" max="13" width="8.21875" style="84" customWidth="1"/>
    <col min="14" max="14" width="7.6640625" style="84" customWidth="1"/>
    <col min="15" max="15" width="11.6640625" style="84" customWidth="1"/>
    <col min="16" max="16" width="7.6640625" style="84" customWidth="1"/>
    <col min="17" max="21" width="8.88671875" style="84"/>
    <col min="22" max="22" width="13.33203125" style="84" bestFit="1" customWidth="1"/>
    <col min="23" max="16384" width="8.88671875" style="84"/>
  </cols>
  <sheetData>
    <row r="1" spans="1:68" x14ac:dyDescent="0.3">
      <c r="B1" s="186" t="s">
        <v>156</v>
      </c>
      <c r="C1" s="186"/>
      <c r="D1" s="186"/>
      <c r="E1" s="186"/>
      <c r="F1" s="186"/>
      <c r="G1" s="186"/>
      <c r="H1" s="186"/>
      <c r="I1" s="186"/>
      <c r="J1" s="186"/>
      <c r="V1" s="84" t="s">
        <v>53</v>
      </c>
      <c r="W1" s="84" t="s">
        <v>54</v>
      </c>
    </row>
    <row r="2" spans="1:68" x14ac:dyDescent="0.3">
      <c r="A2" s="86" t="s">
        <v>139</v>
      </c>
      <c r="B2" s="86" t="s">
        <v>140</v>
      </c>
      <c r="C2" s="86" t="s">
        <v>141</v>
      </c>
      <c r="D2" s="86" t="s">
        <v>142</v>
      </c>
      <c r="E2" s="86" t="s">
        <v>143</v>
      </c>
      <c r="F2" s="86" t="s">
        <v>145</v>
      </c>
      <c r="G2" s="86" t="s">
        <v>144</v>
      </c>
      <c r="H2" s="86" t="s">
        <v>146</v>
      </c>
      <c r="I2" s="86" t="s">
        <v>147</v>
      </c>
      <c r="J2" s="86" t="s">
        <v>154</v>
      </c>
      <c r="U2" s="84" t="s">
        <v>4</v>
      </c>
      <c r="V2" s="84">
        <v>42</v>
      </c>
      <c r="W2" s="84">
        <v>50</v>
      </c>
      <c r="Z2" s="84" t="s">
        <v>25</v>
      </c>
      <c r="AA2" s="84">
        <v>1</v>
      </c>
      <c r="AB2" s="84">
        <v>0</v>
      </c>
      <c r="AE2" s="20" t="s">
        <v>28</v>
      </c>
      <c r="AF2" s="80">
        <v>1</v>
      </c>
      <c r="AG2" s="80">
        <v>0</v>
      </c>
    </row>
    <row r="3" spans="1:68" x14ac:dyDescent="0.3">
      <c r="A3" s="86" t="s">
        <v>149</v>
      </c>
      <c r="B3" s="86">
        <v>42</v>
      </c>
      <c r="C3" s="86">
        <v>50</v>
      </c>
      <c r="D3" s="86">
        <v>70</v>
      </c>
      <c r="E3" s="86">
        <v>82</v>
      </c>
      <c r="F3" s="86">
        <v>17</v>
      </c>
      <c r="G3" s="86">
        <v>27</v>
      </c>
      <c r="H3" s="86">
        <v>185</v>
      </c>
      <c r="I3" s="86">
        <v>200</v>
      </c>
      <c r="J3" s="86">
        <v>260</v>
      </c>
      <c r="Z3" s="84" t="s">
        <v>34</v>
      </c>
      <c r="AA3" s="84">
        <v>0</v>
      </c>
      <c r="AB3" s="84">
        <v>1</v>
      </c>
      <c r="AE3" s="20" t="s">
        <v>33</v>
      </c>
      <c r="AF3" s="80">
        <v>0</v>
      </c>
      <c r="AG3" s="80">
        <v>1</v>
      </c>
    </row>
    <row r="4" spans="1:68" x14ac:dyDescent="0.3">
      <c r="A4" s="85" t="s">
        <v>152</v>
      </c>
      <c r="B4" s="85" t="s">
        <v>55</v>
      </c>
      <c r="C4" s="85" t="s">
        <v>43</v>
      </c>
      <c r="D4" s="85" t="s">
        <v>57</v>
      </c>
      <c r="E4" s="85" t="s">
        <v>58</v>
      </c>
      <c r="F4" s="87" t="s">
        <v>44</v>
      </c>
      <c r="G4" s="87" t="s">
        <v>47</v>
      </c>
      <c r="H4" s="85" t="s">
        <v>44</v>
      </c>
      <c r="I4" s="85" t="s">
        <v>155</v>
      </c>
      <c r="J4" s="85" t="s">
        <v>61</v>
      </c>
      <c r="S4" s="85" t="s">
        <v>46</v>
      </c>
      <c r="T4" s="86" t="s">
        <v>79</v>
      </c>
      <c r="U4" s="86" t="s">
        <v>42</v>
      </c>
      <c r="V4" s="86" t="s">
        <v>55</v>
      </c>
      <c r="W4" s="86" t="s">
        <v>43</v>
      </c>
      <c r="Y4" s="86" t="s">
        <v>46</v>
      </c>
      <c r="Z4" s="86" t="s">
        <v>11</v>
      </c>
      <c r="AA4" s="86" t="s">
        <v>25</v>
      </c>
      <c r="AB4" s="86" t="s">
        <v>34</v>
      </c>
      <c r="AD4" s="86" t="s">
        <v>46</v>
      </c>
      <c r="AE4" s="86" t="s">
        <v>52</v>
      </c>
      <c r="AF4" s="21" t="s">
        <v>28</v>
      </c>
      <c r="AG4" s="21" t="s">
        <v>33</v>
      </c>
      <c r="AL4" s="104" t="s">
        <v>77</v>
      </c>
      <c r="AM4" s="192" t="s">
        <v>167</v>
      </c>
      <c r="AN4" s="192"/>
      <c r="AO4" s="192"/>
      <c r="AP4" s="192"/>
      <c r="AQ4" s="192"/>
      <c r="AR4" s="192"/>
      <c r="AS4" s="192"/>
      <c r="AT4" s="192"/>
      <c r="AU4" s="192"/>
      <c r="AV4" s="192"/>
      <c r="AW4" s="192"/>
    </row>
    <row r="5" spans="1:68" x14ac:dyDescent="0.3">
      <c r="A5" s="168" t="s">
        <v>0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S5" s="86">
        <v>1</v>
      </c>
      <c r="T5" s="89">
        <v>2</v>
      </c>
      <c r="U5" s="89">
        <v>52</v>
      </c>
      <c r="V5" s="86">
        <f>IF(U5&lt;=$V$2,1,IF(AND($V$2&lt;U5,U5&lt;$W$2),($W$2-U5)/($W$2-$V$2),IF(U5&gt;=$W$2,0)))</f>
        <v>0</v>
      </c>
      <c r="W5" s="86">
        <f>IF(U5&lt;=$V$2,0,IF(AND($V$2&lt;U5,U5&lt;$W$2),(U5-$V$2)/($W$2-$V$2),IF(U5&gt;=$W$2,1)))</f>
        <v>1</v>
      </c>
      <c r="Y5" s="86">
        <v>1</v>
      </c>
      <c r="Z5" s="85">
        <v>1</v>
      </c>
      <c r="AA5" s="86">
        <f>($AB$2-Z5)/($AB$2-$AA$2)</f>
        <v>1</v>
      </c>
      <c r="AB5" s="86">
        <f>(Z5-$AA$3)/($AB$3-$AA$3)</f>
        <v>1</v>
      </c>
      <c r="AD5" s="86">
        <v>1</v>
      </c>
      <c r="AE5" s="89">
        <v>1</v>
      </c>
      <c r="AF5" s="86">
        <f>($AG$2-AE5)/(AG$2-$AF$2)</f>
        <v>1</v>
      </c>
      <c r="AG5" s="86">
        <f>(AE5-$AF$3)/($AG$3-$AF$3)</f>
        <v>1</v>
      </c>
      <c r="AL5" s="87">
        <v>1</v>
      </c>
      <c r="AM5" s="189" t="s">
        <v>168</v>
      </c>
      <c r="AN5" s="189"/>
      <c r="AO5" s="189"/>
      <c r="AP5" s="189"/>
      <c r="AQ5" s="189"/>
      <c r="AR5" s="189"/>
      <c r="AS5" s="189"/>
      <c r="AT5" s="189"/>
      <c r="AU5" s="189"/>
      <c r="AV5" s="189"/>
      <c r="AW5" s="189"/>
    </row>
    <row r="6" spans="1:68" x14ac:dyDescent="0.3">
      <c r="A6" s="169" t="s">
        <v>3</v>
      </c>
      <c r="B6" s="169" t="s">
        <v>4</v>
      </c>
      <c r="C6" s="169" t="s">
        <v>5</v>
      </c>
      <c r="D6" s="169" t="s">
        <v>6</v>
      </c>
      <c r="E6" s="169"/>
      <c r="F6" s="170" t="s">
        <v>7</v>
      </c>
      <c r="G6" s="169" t="s">
        <v>8</v>
      </c>
      <c r="H6" s="169" t="s">
        <v>9</v>
      </c>
      <c r="I6" s="89" t="s">
        <v>10</v>
      </c>
      <c r="J6" s="169" t="s">
        <v>11</v>
      </c>
      <c r="K6" s="170" t="s">
        <v>12</v>
      </c>
      <c r="L6" s="169" t="s">
        <v>13</v>
      </c>
      <c r="M6" s="169" t="s">
        <v>14</v>
      </c>
      <c r="N6" s="169" t="s">
        <v>15</v>
      </c>
      <c r="O6" s="175" t="s">
        <v>16</v>
      </c>
      <c r="P6" s="175" t="s">
        <v>17</v>
      </c>
      <c r="S6" s="86">
        <v>2</v>
      </c>
      <c r="T6" s="89">
        <v>3</v>
      </c>
      <c r="U6" s="89">
        <v>66</v>
      </c>
      <c r="V6" s="86">
        <f t="shared" ref="V6:V19" si="0">IF(U6&lt;=$V$2,1,IF(AND($V$2&lt;U6,U6&lt;$W$2),($W$2-U6)/($W$2-$V$2),IF(U6&gt;=$W$2,0)))</f>
        <v>0</v>
      </c>
      <c r="W6" s="86">
        <f t="shared" ref="W6:W19" si="1">IF(U6&lt;=$V$2,0,IF(AND($V$2&lt;U6,U6&lt;$W$2),(U6-$V$2)/($W$2-$V$2),IF(U6&gt;=$W$2,1)))</f>
        <v>1</v>
      </c>
      <c r="Y6" s="86">
        <v>2</v>
      </c>
      <c r="Z6" s="85">
        <v>0</v>
      </c>
      <c r="AA6" s="86">
        <f t="shared" ref="AA6:AA19" si="2">($AB$2-Z6)/($AB$2-$AA$2)</f>
        <v>0</v>
      </c>
      <c r="AB6" s="86">
        <f t="shared" ref="AB6:AB19" si="3">(Z6-$AA$3)/($AB$3-$AA$3)</f>
        <v>0</v>
      </c>
      <c r="AD6" s="86">
        <v>2</v>
      </c>
      <c r="AE6" s="89">
        <v>0</v>
      </c>
      <c r="AF6" s="86">
        <f t="shared" ref="AF6:AF19" si="4">($AG$2-AE6)/(AG$2-$AF$2)</f>
        <v>0</v>
      </c>
      <c r="AG6" s="86">
        <f t="shared" ref="AG6:AG19" si="5">(AE6-$AF$3)/($AG$3-$AF$3)</f>
        <v>0</v>
      </c>
      <c r="AL6" s="87">
        <v>2</v>
      </c>
      <c r="AM6" s="189" t="s">
        <v>169</v>
      </c>
      <c r="AN6" s="189"/>
      <c r="AO6" s="189"/>
      <c r="AP6" s="189"/>
      <c r="AQ6" s="189"/>
      <c r="AR6" s="189"/>
      <c r="AS6" s="189"/>
      <c r="AT6" s="189"/>
      <c r="AU6" s="189"/>
      <c r="AV6" s="189"/>
      <c r="AW6" s="189"/>
    </row>
    <row r="7" spans="1:68" x14ac:dyDescent="0.3">
      <c r="A7" s="169"/>
      <c r="B7" s="169"/>
      <c r="C7" s="169"/>
      <c r="D7" s="89" t="s">
        <v>19</v>
      </c>
      <c r="E7" s="89" t="s">
        <v>20</v>
      </c>
      <c r="F7" s="171"/>
      <c r="G7" s="169"/>
      <c r="H7" s="169"/>
      <c r="I7" s="3" t="s">
        <v>21</v>
      </c>
      <c r="J7" s="169"/>
      <c r="K7" s="171"/>
      <c r="L7" s="169"/>
      <c r="M7" s="169"/>
      <c r="N7" s="169"/>
      <c r="O7" s="175"/>
      <c r="P7" s="175"/>
      <c r="S7" s="86">
        <v>3</v>
      </c>
      <c r="T7" s="89">
        <v>1</v>
      </c>
      <c r="U7" s="89">
        <v>56</v>
      </c>
      <c r="V7" s="86">
        <f t="shared" si="0"/>
        <v>0</v>
      </c>
      <c r="W7" s="86">
        <f t="shared" si="1"/>
        <v>1</v>
      </c>
      <c r="Y7" s="86">
        <v>3</v>
      </c>
      <c r="Z7" s="85">
        <v>1</v>
      </c>
      <c r="AA7" s="86">
        <f t="shared" si="2"/>
        <v>1</v>
      </c>
      <c r="AB7" s="86">
        <f t="shared" si="3"/>
        <v>1</v>
      </c>
      <c r="AD7" s="86">
        <v>3</v>
      </c>
      <c r="AE7" s="89">
        <v>1</v>
      </c>
      <c r="AF7" s="86">
        <f t="shared" si="4"/>
        <v>1</v>
      </c>
      <c r="AG7" s="86">
        <f t="shared" si="5"/>
        <v>1</v>
      </c>
      <c r="AL7" s="87">
        <v>3</v>
      </c>
      <c r="AM7" s="189" t="s">
        <v>170</v>
      </c>
      <c r="AN7" s="189"/>
      <c r="AO7" s="189"/>
      <c r="AP7" s="189"/>
      <c r="AQ7" s="189"/>
      <c r="AR7" s="189"/>
      <c r="AS7" s="189"/>
      <c r="AT7" s="189"/>
      <c r="AU7" s="189"/>
      <c r="AV7" s="189"/>
      <c r="AW7" s="189"/>
    </row>
    <row r="8" spans="1:68" x14ac:dyDescent="0.3">
      <c r="A8" s="89">
        <v>1</v>
      </c>
      <c r="B8" s="89">
        <v>52</v>
      </c>
      <c r="C8" s="24" t="s">
        <v>24</v>
      </c>
      <c r="D8" s="89">
        <v>125</v>
      </c>
      <c r="E8" s="89">
        <v>90</v>
      </c>
      <c r="F8" s="89">
        <v>78</v>
      </c>
      <c r="G8" s="89">
        <v>1.63</v>
      </c>
      <c r="H8" s="89">
        <v>62.7</v>
      </c>
      <c r="I8" s="4">
        <f>H8/(G8*G8)</f>
        <v>23.598931085099178</v>
      </c>
      <c r="J8" s="85" t="s">
        <v>25</v>
      </c>
      <c r="K8" s="89" t="s">
        <v>26</v>
      </c>
      <c r="L8" s="89" t="s">
        <v>27</v>
      </c>
      <c r="M8" s="89" t="s">
        <v>28</v>
      </c>
      <c r="N8" s="89" t="s">
        <v>25</v>
      </c>
      <c r="O8" s="89" t="s">
        <v>29</v>
      </c>
      <c r="P8" s="89" t="s">
        <v>30</v>
      </c>
      <c r="S8" s="86">
        <v>4</v>
      </c>
      <c r="T8" s="89">
        <v>1</v>
      </c>
      <c r="U8" s="89">
        <v>38</v>
      </c>
      <c r="V8" s="86">
        <f t="shared" si="0"/>
        <v>1</v>
      </c>
      <c r="W8" s="86">
        <f t="shared" si="1"/>
        <v>0</v>
      </c>
      <c r="Y8" s="86">
        <v>4</v>
      </c>
      <c r="Z8" s="85">
        <v>0</v>
      </c>
      <c r="AA8" s="86">
        <f t="shared" si="2"/>
        <v>0</v>
      </c>
      <c r="AB8" s="86">
        <f t="shared" si="3"/>
        <v>0</v>
      </c>
      <c r="AD8" s="86">
        <v>4</v>
      </c>
      <c r="AE8" s="89">
        <v>0</v>
      </c>
      <c r="AF8" s="86">
        <f t="shared" si="4"/>
        <v>0</v>
      </c>
      <c r="AG8" s="86">
        <f t="shared" si="5"/>
        <v>0</v>
      </c>
      <c r="AL8" s="87">
        <v>4</v>
      </c>
      <c r="AM8" s="189" t="s">
        <v>171</v>
      </c>
      <c r="AN8" s="189"/>
      <c r="AO8" s="189"/>
      <c r="AP8" s="189"/>
      <c r="AQ8" s="189"/>
      <c r="AR8" s="189"/>
      <c r="AS8" s="189"/>
      <c r="AT8" s="189"/>
      <c r="AU8" s="189"/>
      <c r="AV8" s="189"/>
      <c r="AW8" s="189"/>
    </row>
    <row r="9" spans="1:68" x14ac:dyDescent="0.3">
      <c r="A9" s="89">
        <v>2</v>
      </c>
      <c r="B9" s="89">
        <v>66</v>
      </c>
      <c r="C9" s="24" t="s">
        <v>24</v>
      </c>
      <c r="D9" s="89">
        <v>194</v>
      </c>
      <c r="E9" s="89">
        <v>114</v>
      </c>
      <c r="F9" s="89">
        <v>98</v>
      </c>
      <c r="G9" s="89">
        <v>1.63</v>
      </c>
      <c r="H9" s="89">
        <v>72.2</v>
      </c>
      <c r="I9" s="4">
        <f t="shared" ref="I9:I22" si="6">H9/(G9*G9)</f>
        <v>27.174526704053598</v>
      </c>
      <c r="J9" s="85" t="s">
        <v>31</v>
      </c>
      <c r="K9" s="89" t="s">
        <v>26</v>
      </c>
      <c r="L9" s="89" t="s">
        <v>32</v>
      </c>
      <c r="M9" s="89" t="s">
        <v>33</v>
      </c>
      <c r="N9" s="89" t="s">
        <v>25</v>
      </c>
      <c r="O9" s="89" t="s">
        <v>34</v>
      </c>
      <c r="P9" s="89" t="s">
        <v>35</v>
      </c>
      <c r="S9" s="86">
        <v>5</v>
      </c>
      <c r="T9" s="89">
        <v>1</v>
      </c>
      <c r="U9" s="89">
        <v>36</v>
      </c>
      <c r="V9" s="86">
        <f t="shared" si="0"/>
        <v>1</v>
      </c>
      <c r="W9" s="86">
        <f t="shared" si="1"/>
        <v>0</v>
      </c>
      <c r="Y9" s="86">
        <v>5</v>
      </c>
      <c r="Z9" s="85">
        <v>0</v>
      </c>
      <c r="AA9" s="86">
        <f t="shared" si="2"/>
        <v>0</v>
      </c>
      <c r="AB9" s="86">
        <f t="shared" si="3"/>
        <v>0</v>
      </c>
      <c r="AD9" s="86">
        <v>5</v>
      </c>
      <c r="AE9" s="89">
        <v>1</v>
      </c>
      <c r="AF9" s="86">
        <f t="shared" si="4"/>
        <v>1</v>
      </c>
      <c r="AG9" s="86">
        <f t="shared" si="5"/>
        <v>1</v>
      </c>
      <c r="AL9" s="87">
        <v>5</v>
      </c>
      <c r="AM9" s="189" t="s">
        <v>172</v>
      </c>
      <c r="AN9" s="189"/>
      <c r="AO9" s="189"/>
      <c r="AP9" s="189"/>
      <c r="AQ9" s="189"/>
      <c r="AR9" s="189"/>
      <c r="AS9" s="189"/>
      <c r="AT9" s="189"/>
      <c r="AU9" s="189"/>
      <c r="AV9" s="189"/>
      <c r="AW9" s="189"/>
    </row>
    <row r="10" spans="1:68" x14ac:dyDescent="0.3">
      <c r="A10" s="89">
        <v>3</v>
      </c>
      <c r="B10" s="89">
        <v>56</v>
      </c>
      <c r="C10" s="24" t="s">
        <v>24</v>
      </c>
      <c r="D10" s="89">
        <v>129</v>
      </c>
      <c r="E10" s="89">
        <v>80</v>
      </c>
      <c r="F10" s="89">
        <v>98</v>
      </c>
      <c r="G10" s="89">
        <v>1.51</v>
      </c>
      <c r="H10" s="89">
        <v>61.2</v>
      </c>
      <c r="I10" s="4">
        <f t="shared" si="6"/>
        <v>26.840928029472394</v>
      </c>
      <c r="J10" s="85" t="s">
        <v>25</v>
      </c>
      <c r="K10" s="89" t="s">
        <v>26</v>
      </c>
      <c r="L10" s="89" t="s">
        <v>27</v>
      </c>
      <c r="M10" s="89" t="s">
        <v>28</v>
      </c>
      <c r="N10" s="89" t="s">
        <v>25</v>
      </c>
      <c r="O10" s="89" t="s">
        <v>34</v>
      </c>
      <c r="P10" s="89" t="s">
        <v>36</v>
      </c>
      <c r="S10" s="86">
        <v>6</v>
      </c>
      <c r="T10" s="89">
        <v>2</v>
      </c>
      <c r="U10" s="89">
        <v>31</v>
      </c>
      <c r="V10" s="86">
        <f t="shared" si="0"/>
        <v>1</v>
      </c>
      <c r="W10" s="86">
        <f t="shared" si="1"/>
        <v>0</v>
      </c>
      <c r="Y10" s="86">
        <v>6</v>
      </c>
      <c r="Z10" s="89">
        <v>0</v>
      </c>
      <c r="AA10" s="86">
        <f t="shared" si="2"/>
        <v>0</v>
      </c>
      <c r="AB10" s="86">
        <f t="shared" si="3"/>
        <v>0</v>
      </c>
      <c r="AD10" s="86">
        <v>6</v>
      </c>
      <c r="AE10" s="89">
        <v>1</v>
      </c>
      <c r="AF10" s="86">
        <f t="shared" si="4"/>
        <v>1</v>
      </c>
      <c r="AG10" s="86">
        <f t="shared" si="5"/>
        <v>1</v>
      </c>
      <c r="AL10" s="87">
        <v>6</v>
      </c>
      <c r="AM10" s="189" t="s">
        <v>173</v>
      </c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</row>
    <row r="11" spans="1:68" ht="15.6" x14ac:dyDescent="0.3">
      <c r="A11" s="89">
        <v>32</v>
      </c>
      <c r="B11" s="89">
        <v>38</v>
      </c>
      <c r="C11" s="25" t="s">
        <v>37</v>
      </c>
      <c r="D11" s="89">
        <v>116</v>
      </c>
      <c r="E11" s="89">
        <v>87</v>
      </c>
      <c r="F11" s="89">
        <v>99</v>
      </c>
      <c r="G11" s="89">
        <v>1.512</v>
      </c>
      <c r="H11" s="89">
        <v>74.2</v>
      </c>
      <c r="I11" s="4">
        <f t="shared" si="6"/>
        <v>32.456398197138938</v>
      </c>
      <c r="J11" s="85" t="s">
        <v>31</v>
      </c>
      <c r="K11" s="89" t="s">
        <v>39</v>
      </c>
      <c r="L11" s="89" t="s">
        <v>32</v>
      </c>
      <c r="M11" s="89" t="s">
        <v>33</v>
      </c>
      <c r="N11" s="89" t="s">
        <v>25</v>
      </c>
      <c r="O11" s="89" t="s">
        <v>34</v>
      </c>
      <c r="P11" s="89" t="s">
        <v>36</v>
      </c>
      <c r="S11" s="86">
        <v>7</v>
      </c>
      <c r="T11" s="89">
        <v>3</v>
      </c>
      <c r="U11" s="89">
        <v>43</v>
      </c>
      <c r="V11" s="86">
        <f t="shared" si="0"/>
        <v>0.875</v>
      </c>
      <c r="W11" s="86">
        <f t="shared" si="1"/>
        <v>0.125</v>
      </c>
      <c r="Y11" s="86">
        <v>7</v>
      </c>
      <c r="Z11" s="89">
        <v>0</v>
      </c>
      <c r="AA11" s="86">
        <f t="shared" si="2"/>
        <v>0</v>
      </c>
      <c r="AB11" s="86">
        <f t="shared" si="3"/>
        <v>0</v>
      </c>
      <c r="AD11" s="86">
        <v>7</v>
      </c>
      <c r="AE11" s="89">
        <v>0</v>
      </c>
      <c r="AF11" s="86">
        <f t="shared" si="4"/>
        <v>0</v>
      </c>
      <c r="AG11" s="86">
        <f t="shared" si="5"/>
        <v>0</v>
      </c>
      <c r="AL11" s="87">
        <v>7</v>
      </c>
      <c r="AM11" s="189" t="s">
        <v>174</v>
      </c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</row>
    <row r="12" spans="1:68" ht="15.6" x14ac:dyDescent="0.3">
      <c r="A12" s="89">
        <v>34</v>
      </c>
      <c r="B12" s="89">
        <v>36</v>
      </c>
      <c r="C12" s="25" t="s">
        <v>37</v>
      </c>
      <c r="D12" s="89">
        <v>115</v>
      </c>
      <c r="E12" s="89">
        <v>83</v>
      </c>
      <c r="F12" s="89">
        <v>88</v>
      </c>
      <c r="G12" s="89">
        <v>1.46</v>
      </c>
      <c r="H12" s="89">
        <v>50.3</v>
      </c>
      <c r="I12" s="4">
        <f t="shared" si="6"/>
        <v>23.59729780446613</v>
      </c>
      <c r="J12" s="85" t="s">
        <v>31</v>
      </c>
      <c r="K12" s="89" t="s">
        <v>39</v>
      </c>
      <c r="L12" s="89" t="s">
        <v>27</v>
      </c>
      <c r="M12" s="89" t="s">
        <v>28</v>
      </c>
      <c r="N12" s="89" t="s">
        <v>25</v>
      </c>
      <c r="O12" s="89" t="s">
        <v>34</v>
      </c>
      <c r="P12" s="89" t="s">
        <v>36</v>
      </c>
      <c r="S12" s="86">
        <v>8</v>
      </c>
      <c r="T12" s="89">
        <v>3</v>
      </c>
      <c r="U12" s="89">
        <v>49</v>
      </c>
      <c r="V12" s="86">
        <f t="shared" si="0"/>
        <v>0.125</v>
      </c>
      <c r="W12" s="86">
        <f t="shared" si="1"/>
        <v>0.875</v>
      </c>
      <c r="Y12" s="86">
        <v>8</v>
      </c>
      <c r="Z12" s="89">
        <v>1</v>
      </c>
      <c r="AA12" s="86">
        <f t="shared" si="2"/>
        <v>1</v>
      </c>
      <c r="AB12" s="86">
        <f t="shared" si="3"/>
        <v>1</v>
      </c>
      <c r="AD12" s="86">
        <v>8</v>
      </c>
      <c r="AE12" s="89">
        <v>0</v>
      </c>
      <c r="AF12" s="86">
        <f t="shared" si="4"/>
        <v>0</v>
      </c>
      <c r="AG12" s="86">
        <f t="shared" si="5"/>
        <v>0</v>
      </c>
      <c r="AL12" s="87">
        <v>8</v>
      </c>
      <c r="AM12" s="189" t="s">
        <v>175</v>
      </c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</row>
    <row r="13" spans="1:68" ht="15.6" x14ac:dyDescent="0.3">
      <c r="A13" s="89">
        <v>38</v>
      </c>
      <c r="B13" s="89">
        <v>31</v>
      </c>
      <c r="C13" s="25" t="s">
        <v>37</v>
      </c>
      <c r="D13" s="89">
        <v>122</v>
      </c>
      <c r="E13" s="89">
        <v>83</v>
      </c>
      <c r="F13" s="89">
        <v>89</v>
      </c>
      <c r="G13" s="89">
        <v>1.4750000000000001</v>
      </c>
      <c r="H13" s="89">
        <v>68.099999999999994</v>
      </c>
      <c r="I13" s="4">
        <f t="shared" si="6"/>
        <v>31.301350186727948</v>
      </c>
      <c r="J13" s="89" t="s">
        <v>31</v>
      </c>
      <c r="K13" s="89" t="s">
        <v>39</v>
      </c>
      <c r="L13" s="89" t="s">
        <v>32</v>
      </c>
      <c r="M13" s="89" t="s">
        <v>28</v>
      </c>
      <c r="N13" s="89" t="s">
        <v>31</v>
      </c>
      <c r="O13" s="89" t="s">
        <v>29</v>
      </c>
      <c r="P13" s="89" t="s">
        <v>30</v>
      </c>
      <c r="S13" s="86">
        <v>9</v>
      </c>
      <c r="T13" s="89">
        <v>3</v>
      </c>
      <c r="U13" s="89">
        <v>27</v>
      </c>
      <c r="V13" s="86">
        <f t="shared" si="0"/>
        <v>1</v>
      </c>
      <c r="W13" s="86">
        <f t="shared" si="1"/>
        <v>0</v>
      </c>
      <c r="Y13" s="86">
        <v>9</v>
      </c>
      <c r="Z13" s="89">
        <v>1</v>
      </c>
      <c r="AA13" s="86">
        <f t="shared" si="2"/>
        <v>1</v>
      </c>
      <c r="AB13" s="86">
        <f t="shared" si="3"/>
        <v>1</v>
      </c>
      <c r="AD13" s="86">
        <v>9</v>
      </c>
      <c r="AE13" s="89">
        <v>0</v>
      </c>
      <c r="AF13" s="86">
        <f t="shared" si="4"/>
        <v>0</v>
      </c>
      <c r="AG13" s="86">
        <f t="shared" si="5"/>
        <v>0</v>
      </c>
    </row>
    <row r="14" spans="1:68" ht="15.6" x14ac:dyDescent="0.3">
      <c r="A14" s="89">
        <v>71</v>
      </c>
      <c r="B14" s="89">
        <v>43</v>
      </c>
      <c r="C14" s="26" t="s">
        <v>24</v>
      </c>
      <c r="D14" s="89">
        <v>130</v>
      </c>
      <c r="E14" s="89">
        <v>77</v>
      </c>
      <c r="F14" s="89">
        <v>89</v>
      </c>
      <c r="G14" s="89">
        <v>1.56</v>
      </c>
      <c r="H14" s="89">
        <v>63.6</v>
      </c>
      <c r="I14" s="4">
        <f t="shared" si="6"/>
        <v>26.134122287968442</v>
      </c>
      <c r="J14" s="89" t="s">
        <v>31</v>
      </c>
      <c r="K14" s="89" t="s">
        <v>39</v>
      </c>
      <c r="L14" s="89" t="s">
        <v>27</v>
      </c>
      <c r="M14" s="89" t="s">
        <v>33</v>
      </c>
      <c r="N14" s="89" t="s">
        <v>31</v>
      </c>
      <c r="O14" s="89" t="s">
        <v>38</v>
      </c>
      <c r="P14" s="89" t="s">
        <v>35</v>
      </c>
      <c r="S14" s="86">
        <v>10</v>
      </c>
      <c r="T14" s="89">
        <v>2</v>
      </c>
      <c r="U14" s="89">
        <v>80</v>
      </c>
      <c r="V14" s="86">
        <f t="shared" si="0"/>
        <v>0</v>
      </c>
      <c r="W14" s="86">
        <f t="shared" si="1"/>
        <v>1</v>
      </c>
      <c r="Y14" s="86">
        <v>10</v>
      </c>
      <c r="Z14" s="89">
        <v>0</v>
      </c>
      <c r="AA14" s="86">
        <f t="shared" si="2"/>
        <v>0</v>
      </c>
      <c r="AB14" s="86">
        <f t="shared" si="3"/>
        <v>0</v>
      </c>
      <c r="AD14" s="86">
        <v>10</v>
      </c>
      <c r="AE14" s="89">
        <v>1</v>
      </c>
      <c r="AF14" s="86">
        <f t="shared" si="4"/>
        <v>1</v>
      </c>
      <c r="AG14" s="86">
        <f t="shared" si="5"/>
        <v>1</v>
      </c>
      <c r="BK14" s="86" t="s">
        <v>178</v>
      </c>
      <c r="BL14" s="189" t="s">
        <v>177</v>
      </c>
      <c r="BM14" s="189"/>
    </row>
    <row r="15" spans="1:68" ht="15.6" x14ac:dyDescent="0.3">
      <c r="A15" s="89">
        <v>74</v>
      </c>
      <c r="B15" s="89">
        <v>49</v>
      </c>
      <c r="C15" s="26" t="s">
        <v>24</v>
      </c>
      <c r="D15" s="89">
        <v>176</v>
      </c>
      <c r="E15" s="89">
        <v>114</v>
      </c>
      <c r="F15" s="89">
        <v>91</v>
      </c>
      <c r="G15" s="89">
        <v>1.536</v>
      </c>
      <c r="H15" s="89">
        <v>62.3</v>
      </c>
      <c r="I15" s="4">
        <f t="shared" si="6"/>
        <v>26.406182183159721</v>
      </c>
      <c r="J15" s="89" t="s">
        <v>25</v>
      </c>
      <c r="K15" s="89" t="s">
        <v>39</v>
      </c>
      <c r="L15" s="89" t="s">
        <v>27</v>
      </c>
      <c r="M15" s="89" t="s">
        <v>33</v>
      </c>
      <c r="N15" s="89" t="s">
        <v>25</v>
      </c>
      <c r="O15" s="89" t="s">
        <v>38</v>
      </c>
      <c r="P15" s="89" t="s">
        <v>35</v>
      </c>
      <c r="S15" s="86">
        <v>11</v>
      </c>
      <c r="T15" s="89">
        <v>2</v>
      </c>
      <c r="U15" s="89">
        <v>35</v>
      </c>
      <c r="V15" s="86">
        <f t="shared" si="0"/>
        <v>1</v>
      </c>
      <c r="W15" s="86">
        <f t="shared" si="1"/>
        <v>0</v>
      </c>
      <c r="Y15" s="86">
        <v>11</v>
      </c>
      <c r="Z15" s="89">
        <v>1</v>
      </c>
      <c r="AA15" s="86">
        <f t="shared" si="2"/>
        <v>1</v>
      </c>
      <c r="AB15" s="86">
        <f t="shared" si="3"/>
        <v>1</v>
      </c>
      <c r="AD15" s="86">
        <v>11</v>
      </c>
      <c r="AE15" s="89">
        <v>1</v>
      </c>
      <c r="AF15" s="86">
        <f t="shared" si="4"/>
        <v>1</v>
      </c>
      <c r="AG15" s="86">
        <f t="shared" si="5"/>
        <v>1</v>
      </c>
      <c r="AL15" s="85" t="s">
        <v>46</v>
      </c>
      <c r="AM15" s="86" t="s">
        <v>66</v>
      </c>
      <c r="AN15" s="86" t="s">
        <v>42</v>
      </c>
      <c r="AO15" s="86" t="s">
        <v>55</v>
      </c>
      <c r="AP15" s="86" t="s">
        <v>43</v>
      </c>
      <c r="AR15" s="86" t="s">
        <v>46</v>
      </c>
      <c r="AS15" s="88" t="s">
        <v>7</v>
      </c>
      <c r="AT15" s="88" t="s">
        <v>57</v>
      </c>
      <c r="AU15" s="88" t="s">
        <v>58</v>
      </c>
      <c r="AW15" s="86" t="s">
        <v>46</v>
      </c>
      <c r="AX15" s="86" t="s">
        <v>59</v>
      </c>
      <c r="AY15" s="105" t="s">
        <v>44</v>
      </c>
      <c r="AZ15" s="86" t="s">
        <v>62</v>
      </c>
      <c r="BA15" s="88" t="s">
        <v>61</v>
      </c>
      <c r="BC15" s="86" t="s">
        <v>46</v>
      </c>
      <c r="BD15" s="86" t="s">
        <v>10</v>
      </c>
      <c r="BE15" s="105" t="s">
        <v>44</v>
      </c>
      <c r="BF15" s="86" t="s">
        <v>47</v>
      </c>
      <c r="BK15" s="86">
        <v>1</v>
      </c>
      <c r="BL15" s="181" t="s">
        <v>180</v>
      </c>
      <c r="BM15" s="183"/>
      <c r="BO15" s="181" t="s">
        <v>179</v>
      </c>
      <c r="BP15" s="183"/>
    </row>
    <row r="16" spans="1:68" ht="15.6" x14ac:dyDescent="0.3">
      <c r="A16" s="89">
        <v>62</v>
      </c>
      <c r="B16" s="89">
        <v>27</v>
      </c>
      <c r="C16" s="25" t="s">
        <v>37</v>
      </c>
      <c r="D16" s="89">
        <v>143</v>
      </c>
      <c r="E16" s="89">
        <v>107</v>
      </c>
      <c r="F16" s="89">
        <v>106</v>
      </c>
      <c r="G16" s="89">
        <v>1.44</v>
      </c>
      <c r="H16" s="89">
        <v>76.5</v>
      </c>
      <c r="I16" s="4">
        <f t="shared" si="6"/>
        <v>36.892361111111114</v>
      </c>
      <c r="J16" s="89" t="s">
        <v>25</v>
      </c>
      <c r="K16" s="89" t="s">
        <v>26</v>
      </c>
      <c r="L16" s="89" t="s">
        <v>32</v>
      </c>
      <c r="M16" s="89" t="s">
        <v>33</v>
      </c>
      <c r="N16" s="89" t="s">
        <v>31</v>
      </c>
      <c r="O16" s="89" t="s">
        <v>34</v>
      </c>
      <c r="P16" s="89" t="s">
        <v>35</v>
      </c>
      <c r="S16" s="86">
        <v>12</v>
      </c>
      <c r="T16" s="89">
        <v>2</v>
      </c>
      <c r="U16" s="89">
        <v>36</v>
      </c>
      <c r="V16" s="86">
        <f t="shared" si="0"/>
        <v>1</v>
      </c>
      <c r="W16" s="86">
        <f t="shared" si="1"/>
        <v>0</v>
      </c>
      <c r="Y16" s="86">
        <v>12</v>
      </c>
      <c r="Z16" s="89">
        <v>0</v>
      </c>
      <c r="AA16" s="86">
        <f t="shared" si="2"/>
        <v>0</v>
      </c>
      <c r="AB16" s="86">
        <f t="shared" si="3"/>
        <v>0</v>
      </c>
      <c r="AD16" s="86">
        <v>12</v>
      </c>
      <c r="AE16" s="89">
        <v>1</v>
      </c>
      <c r="AF16" s="86">
        <f t="shared" si="4"/>
        <v>1</v>
      </c>
      <c r="AG16" s="86">
        <f t="shared" si="5"/>
        <v>1</v>
      </c>
      <c r="AL16" s="86">
        <v>1</v>
      </c>
      <c r="AM16" s="89" t="s">
        <v>30</v>
      </c>
      <c r="AN16" s="89">
        <v>52</v>
      </c>
      <c r="AO16" s="86">
        <f>IF(AN16&lt;=$V$2,1,IF(AND($V$2&lt;AN16,AN16&lt;$W$2),($W$2-AN16)/($W$2-$V$2),IF(AN16&gt;=$W$2,0)))</f>
        <v>0</v>
      </c>
      <c r="AP16" s="86">
        <f>IF(AN16&lt;=$V$2,0,IF(AND($V$2&lt;AN16,AN16&lt;$W$2),(AN16-$V$2)/($W$2-$V$2),IF(AN16&gt;=$W$2,1)))</f>
        <v>1</v>
      </c>
      <c r="AR16" s="86">
        <v>1</v>
      </c>
      <c r="AS16" s="85">
        <v>78</v>
      </c>
      <c r="AT16" s="88">
        <f>IF(AS16&lt;=$V$29,1,IF(AND($V$29&lt;AS16,AS16&lt;$W$29),($W$29-AS16)/($W$29-$V$29),IF(AS16&gt;=$W$29,0)))</f>
        <v>0.33333333333333331</v>
      </c>
      <c r="AU16" s="88">
        <f>IF(AS16&lt;=$V$29,0,IF(AND($V$29&lt;AS16,AS16&lt;$W$29),(AS16-$V$29)/($W$29-$V$29),IF(AS16&gt;=$W$29,1)))</f>
        <v>0.66666666666666663</v>
      </c>
      <c r="AW16" s="86">
        <v>1</v>
      </c>
      <c r="AX16" s="86">
        <f>(D8+E8)</f>
        <v>215</v>
      </c>
      <c r="AY16" s="105">
        <f>IF(AX16&lt;=$O$27,1,IF(AND($O$27&lt;AX16,AX16&lt;$P$27),($P$27-AX16)/($P$27-$O$27),IF(AX16&gt;=$O$27,0)))</f>
        <v>0</v>
      </c>
      <c r="AZ16" s="86">
        <f>IF(AND($O$27&lt;AX16,AX16&lt;$P$27),(AX16-$O$27)/($P$27-$O$27),IF(AND($P$27&lt;=AX16,AX16&lt;$Q$27),($Q$27-AX16)/($Q$27-$P$27), IF(OR(AX16&lt;=$O$27,AX16&gt;=$Q$27),0,salah)))</f>
        <v>0.75</v>
      </c>
      <c r="BA16" s="86">
        <f>IF(AX16&lt;=$P$27,0,IF(AND($P$27&lt;AX16,AX16&lt;$Q$27),(AX16-$P$27)/($Q$27-$P$27),IF(AX16&gt;=$Q$27,1)))</f>
        <v>0.25</v>
      </c>
      <c r="BC16" s="86">
        <v>1</v>
      </c>
      <c r="BD16" s="4">
        <f>H8/(G8*G8)</f>
        <v>23.598931085099178</v>
      </c>
      <c r="BE16" s="105">
        <f>IF(BD16&lt;=$V$54,1,IF(AND($V$54&lt;BD16,BD16&lt;$W$54),($W$54-BD16)/($W$54-$V$54),IF(BD16&gt;=$W$54,0)))</f>
        <v>0.34010689149008222</v>
      </c>
      <c r="BF16" s="86">
        <f>IF(BD16&lt;=$V$54,0,IF(AND($V$54&lt;BD16,BD16&lt;$W$54),(BD16-$V$54)/($W$54-$V$54),IF(BD16&gt;=$W$54,1)))</f>
        <v>0.65989310850991778</v>
      </c>
      <c r="BK16" s="86"/>
      <c r="BL16" s="181"/>
      <c r="BM16" s="183"/>
    </row>
    <row r="17" spans="1:65" ht="15.6" x14ac:dyDescent="0.3">
      <c r="A17" s="89">
        <v>54</v>
      </c>
      <c r="B17" s="89">
        <v>80</v>
      </c>
      <c r="C17" s="26" t="s">
        <v>24</v>
      </c>
      <c r="D17" s="89">
        <v>167</v>
      </c>
      <c r="E17" s="89">
        <v>89</v>
      </c>
      <c r="F17" s="89">
        <v>78</v>
      </c>
      <c r="G17" s="89">
        <v>1.55</v>
      </c>
      <c r="H17" s="89">
        <v>50.2</v>
      </c>
      <c r="I17" s="4">
        <f t="shared" si="6"/>
        <v>20.894901144640997</v>
      </c>
      <c r="J17" s="89" t="s">
        <v>31</v>
      </c>
      <c r="K17" s="89" t="s">
        <v>26</v>
      </c>
      <c r="L17" s="89" t="s">
        <v>27</v>
      </c>
      <c r="M17" s="89" t="s">
        <v>28</v>
      </c>
      <c r="N17" s="89" t="s">
        <v>31</v>
      </c>
      <c r="O17" s="89" t="s">
        <v>29</v>
      </c>
      <c r="P17" s="89" t="s">
        <v>30</v>
      </c>
      <c r="S17" s="86">
        <v>13</v>
      </c>
      <c r="T17" s="89">
        <v>3</v>
      </c>
      <c r="U17" s="89">
        <v>66</v>
      </c>
      <c r="V17" s="86">
        <f t="shared" si="0"/>
        <v>0</v>
      </c>
      <c r="W17" s="86">
        <f t="shared" si="1"/>
        <v>1</v>
      </c>
      <c r="Y17" s="86">
        <v>13</v>
      </c>
      <c r="Z17" s="85">
        <v>0</v>
      </c>
      <c r="AA17" s="86">
        <f t="shared" si="2"/>
        <v>0</v>
      </c>
      <c r="AB17" s="86">
        <f t="shared" si="3"/>
        <v>0</v>
      </c>
      <c r="AD17" s="86">
        <v>13</v>
      </c>
      <c r="AE17" s="89">
        <v>1</v>
      </c>
      <c r="AF17" s="86">
        <f t="shared" si="4"/>
        <v>1</v>
      </c>
      <c r="AG17" s="86">
        <f t="shared" si="5"/>
        <v>1</v>
      </c>
      <c r="BK17" s="86"/>
      <c r="BL17" s="181"/>
      <c r="BM17" s="183"/>
    </row>
    <row r="18" spans="1:65" ht="15.6" x14ac:dyDescent="0.3">
      <c r="A18" s="89">
        <v>41</v>
      </c>
      <c r="B18" s="89">
        <v>35</v>
      </c>
      <c r="C18" s="26" t="s">
        <v>24</v>
      </c>
      <c r="D18" s="89">
        <v>123</v>
      </c>
      <c r="E18" s="89">
        <v>86</v>
      </c>
      <c r="F18" s="89">
        <v>71</v>
      </c>
      <c r="G18" s="89">
        <v>1.615</v>
      </c>
      <c r="H18" s="89">
        <v>50.7</v>
      </c>
      <c r="I18" s="4">
        <f t="shared" si="6"/>
        <v>19.438507030643446</v>
      </c>
      <c r="J18" s="89" t="s">
        <v>25</v>
      </c>
      <c r="K18" s="89" t="s">
        <v>39</v>
      </c>
      <c r="L18" s="89" t="s">
        <v>27</v>
      </c>
      <c r="M18" s="89" t="s">
        <v>28</v>
      </c>
      <c r="N18" s="89" t="s">
        <v>25</v>
      </c>
      <c r="O18" s="89" t="s">
        <v>34</v>
      </c>
      <c r="P18" s="89" t="s">
        <v>30</v>
      </c>
      <c r="S18" s="86">
        <v>14</v>
      </c>
      <c r="T18" s="89">
        <v>1</v>
      </c>
      <c r="U18" s="89">
        <v>54</v>
      </c>
      <c r="V18" s="86">
        <f t="shared" si="0"/>
        <v>0</v>
      </c>
      <c r="W18" s="86">
        <f t="shared" si="1"/>
        <v>1</v>
      </c>
      <c r="Y18" s="86">
        <v>14</v>
      </c>
      <c r="Z18" s="85">
        <v>0</v>
      </c>
      <c r="AA18" s="86">
        <f t="shared" si="2"/>
        <v>0</v>
      </c>
      <c r="AB18" s="86">
        <f t="shared" si="3"/>
        <v>0</v>
      </c>
      <c r="AD18" s="86">
        <v>14</v>
      </c>
      <c r="AE18" s="89">
        <v>1</v>
      </c>
      <c r="AF18" s="86">
        <f t="shared" si="4"/>
        <v>1</v>
      </c>
      <c r="AG18" s="86">
        <f t="shared" si="5"/>
        <v>1</v>
      </c>
      <c r="BK18" s="86"/>
      <c r="BL18" s="181"/>
      <c r="BM18" s="183"/>
    </row>
    <row r="19" spans="1:65" ht="15.6" x14ac:dyDescent="0.3">
      <c r="A19" s="89">
        <v>42</v>
      </c>
      <c r="B19" s="89">
        <v>36</v>
      </c>
      <c r="C19" s="25" t="s">
        <v>37</v>
      </c>
      <c r="D19" s="89">
        <v>127</v>
      </c>
      <c r="E19" s="89">
        <v>98</v>
      </c>
      <c r="F19" s="89">
        <v>101</v>
      </c>
      <c r="G19" s="89">
        <v>1.6</v>
      </c>
      <c r="H19" s="89">
        <v>75.400000000000006</v>
      </c>
      <c r="I19" s="4">
        <f t="shared" si="6"/>
        <v>29.453124999999996</v>
      </c>
      <c r="J19" s="89" t="s">
        <v>31</v>
      </c>
      <c r="K19" s="89" t="s">
        <v>39</v>
      </c>
      <c r="L19" s="89" t="s">
        <v>27</v>
      </c>
      <c r="M19" s="89" t="s">
        <v>28</v>
      </c>
      <c r="N19" s="89" t="s">
        <v>31</v>
      </c>
      <c r="O19" s="89" t="s">
        <v>34</v>
      </c>
      <c r="P19" s="89" t="s">
        <v>30</v>
      </c>
      <c r="S19" s="86">
        <v>15</v>
      </c>
      <c r="T19" s="89">
        <v>1</v>
      </c>
      <c r="U19" s="19">
        <v>22</v>
      </c>
      <c r="V19" s="22">
        <f t="shared" si="0"/>
        <v>1</v>
      </c>
      <c r="W19" s="86">
        <f t="shared" si="1"/>
        <v>0</v>
      </c>
      <c r="Y19" s="22">
        <v>15</v>
      </c>
      <c r="Z19" s="89">
        <v>0</v>
      </c>
      <c r="AA19" s="22">
        <f t="shared" si="2"/>
        <v>0</v>
      </c>
      <c r="AB19" s="22">
        <f t="shared" si="3"/>
        <v>0</v>
      </c>
      <c r="AD19" s="22">
        <v>15</v>
      </c>
      <c r="AE19" s="19">
        <v>1</v>
      </c>
      <c r="AF19" s="22">
        <f t="shared" si="4"/>
        <v>1</v>
      </c>
      <c r="AG19" s="22">
        <f t="shared" si="5"/>
        <v>1</v>
      </c>
      <c r="BK19" s="86"/>
      <c r="BL19" s="181"/>
      <c r="BM19" s="183"/>
    </row>
    <row r="20" spans="1:65" x14ac:dyDescent="0.3">
      <c r="A20" s="89">
        <v>16</v>
      </c>
      <c r="B20" s="89">
        <v>66</v>
      </c>
      <c r="C20" s="89" t="s">
        <v>37</v>
      </c>
      <c r="D20" s="89">
        <v>187</v>
      </c>
      <c r="E20" s="89">
        <v>108</v>
      </c>
      <c r="F20" s="89">
        <v>88</v>
      </c>
      <c r="G20" s="89">
        <v>1.47</v>
      </c>
      <c r="H20" s="89">
        <v>43.6</v>
      </c>
      <c r="I20" s="4">
        <f t="shared" si="6"/>
        <v>20.176778194270909</v>
      </c>
      <c r="J20" s="85" t="s">
        <v>31</v>
      </c>
      <c r="K20" s="89" t="s">
        <v>26</v>
      </c>
      <c r="L20" s="89" t="s">
        <v>27</v>
      </c>
      <c r="M20" s="89" t="s">
        <v>28</v>
      </c>
      <c r="N20" s="89" t="s">
        <v>25</v>
      </c>
      <c r="O20" s="89" t="s">
        <v>38</v>
      </c>
      <c r="P20" s="89" t="s">
        <v>35</v>
      </c>
      <c r="T20" s="80"/>
      <c r="U20" s="89" t="s">
        <v>64</v>
      </c>
      <c r="V20" s="86">
        <f>SUM(V5:V19)</f>
        <v>8</v>
      </c>
      <c r="W20" s="86">
        <f>SUM(W5:W19)</f>
        <v>7</v>
      </c>
      <c r="Y20" s="16"/>
      <c r="Z20" s="16"/>
      <c r="AA20" s="16">
        <f>SUM(AA5:AA19)</f>
        <v>5</v>
      </c>
      <c r="AB20" s="16">
        <f>SUM(AB5:AB19)</f>
        <v>5</v>
      </c>
      <c r="AD20" s="16"/>
      <c r="AE20" s="23"/>
      <c r="AF20" s="16"/>
      <c r="AG20" s="16"/>
      <c r="BK20" s="86"/>
      <c r="BL20" s="181"/>
      <c r="BM20" s="183"/>
    </row>
    <row r="21" spans="1:65" ht="14.4" customHeight="1" x14ac:dyDescent="0.3">
      <c r="A21" s="89">
        <v>22</v>
      </c>
      <c r="B21" s="89">
        <v>54</v>
      </c>
      <c r="C21" s="24" t="s">
        <v>24</v>
      </c>
      <c r="D21" s="89">
        <v>105</v>
      </c>
      <c r="E21" s="89">
        <v>67</v>
      </c>
      <c r="F21" s="89">
        <v>79</v>
      </c>
      <c r="G21" s="89">
        <v>1.58</v>
      </c>
      <c r="H21" s="89">
        <v>58.6</v>
      </c>
      <c r="I21" s="4">
        <f t="shared" si="6"/>
        <v>23.473802275276395</v>
      </c>
      <c r="J21" s="85" t="s">
        <v>31</v>
      </c>
      <c r="K21" s="89" t="s">
        <v>26</v>
      </c>
      <c r="L21" s="89" t="s">
        <v>27</v>
      </c>
      <c r="M21" s="89" t="s">
        <v>28</v>
      </c>
      <c r="N21" s="89" t="s">
        <v>25</v>
      </c>
      <c r="O21" s="89" t="s">
        <v>29</v>
      </c>
      <c r="P21" s="89" t="s">
        <v>36</v>
      </c>
      <c r="T21" s="80"/>
      <c r="U21" s="20"/>
      <c r="V21" s="80"/>
      <c r="W21" s="80"/>
      <c r="Y21" s="80"/>
      <c r="Z21" s="80"/>
      <c r="AA21" s="80"/>
      <c r="AB21" s="80"/>
      <c r="AD21" s="80"/>
      <c r="AE21" s="20"/>
      <c r="AF21" s="80"/>
      <c r="AG21" s="80"/>
      <c r="BK21" s="86"/>
      <c r="BL21" s="181"/>
      <c r="BM21" s="183"/>
    </row>
    <row r="22" spans="1:65" ht="15.6" x14ac:dyDescent="0.3">
      <c r="A22" s="89">
        <v>57</v>
      </c>
      <c r="B22" s="89">
        <v>22</v>
      </c>
      <c r="C22" s="25" t="s">
        <v>37</v>
      </c>
      <c r="D22" s="89">
        <v>133</v>
      </c>
      <c r="E22" s="89">
        <v>89</v>
      </c>
      <c r="F22" s="89">
        <v>70</v>
      </c>
      <c r="G22" s="89">
        <v>1.49</v>
      </c>
      <c r="H22" s="89">
        <v>41.6</v>
      </c>
      <c r="I22" s="4">
        <f t="shared" si="6"/>
        <v>18.737894689428405</v>
      </c>
      <c r="J22" s="89" t="s">
        <v>31</v>
      </c>
      <c r="K22" s="89" t="s">
        <v>26</v>
      </c>
      <c r="L22" s="89" t="s">
        <v>27</v>
      </c>
      <c r="M22" s="89" t="s">
        <v>28</v>
      </c>
      <c r="N22" s="89" t="s">
        <v>25</v>
      </c>
      <c r="O22" s="89" t="s">
        <v>34</v>
      </c>
      <c r="P22" s="89" t="s">
        <v>36</v>
      </c>
      <c r="T22" s="80"/>
      <c r="U22" s="20"/>
      <c r="V22" s="80"/>
      <c r="W22" s="80"/>
      <c r="Y22" s="80"/>
      <c r="Z22" s="80"/>
      <c r="AA22" s="80"/>
      <c r="AB22" s="80"/>
      <c r="AD22" s="80"/>
      <c r="AE22" s="20"/>
      <c r="AF22" s="80"/>
      <c r="AG22" s="80"/>
      <c r="BK22" s="86"/>
      <c r="BL22" s="181"/>
      <c r="BM22" s="183"/>
    </row>
    <row r="23" spans="1:65" x14ac:dyDescent="0.3">
      <c r="T23" s="80"/>
      <c r="U23" s="20"/>
      <c r="V23" s="80"/>
      <c r="W23" s="80"/>
      <c r="Y23" s="80"/>
      <c r="Z23" s="80"/>
      <c r="AA23" s="80"/>
      <c r="AB23" s="80"/>
      <c r="AD23" s="80"/>
      <c r="AE23" s="20"/>
      <c r="AF23" s="80"/>
      <c r="AG23" s="80"/>
      <c r="BK23" s="86"/>
      <c r="BL23" s="181"/>
      <c r="BM23" s="183"/>
    </row>
    <row r="24" spans="1:65" x14ac:dyDescent="0.3">
      <c r="T24" s="80"/>
      <c r="U24" s="20"/>
      <c r="V24" s="80"/>
      <c r="W24" s="80"/>
      <c r="Y24" s="80"/>
      <c r="Z24" s="80"/>
      <c r="AA24" s="80"/>
      <c r="AB24" s="80"/>
      <c r="AD24" s="80"/>
      <c r="AE24" s="20"/>
      <c r="AF24" s="80"/>
      <c r="AG24" s="80"/>
      <c r="BK24" s="86"/>
      <c r="BL24" s="181"/>
      <c r="BM24" s="183"/>
    </row>
    <row r="25" spans="1:65" x14ac:dyDescent="0.3">
      <c r="BK25" s="86"/>
      <c r="BL25" s="181"/>
      <c r="BM25" s="183"/>
    </row>
    <row r="26" spans="1:65" x14ac:dyDescent="0.3">
      <c r="B26" s="84" t="s">
        <v>68</v>
      </c>
      <c r="E26" s="181" t="s">
        <v>63</v>
      </c>
      <c r="F26" s="182"/>
      <c r="G26" s="183"/>
      <c r="H26" s="181">
        <f>-((5/15)*LOG((5/15),2))-((5/15)*LOG((5/15),2))-((5/15)*LOG((5/15),2))</f>
        <v>1.5849625007211561</v>
      </c>
      <c r="I26" s="182"/>
      <c r="J26" s="183"/>
      <c r="O26" s="84" t="s">
        <v>44</v>
      </c>
      <c r="P26" s="84" t="s">
        <v>60</v>
      </c>
      <c r="Q26" s="84" t="s">
        <v>61</v>
      </c>
      <c r="BK26" s="86"/>
      <c r="BL26" s="181"/>
      <c r="BM26" s="183"/>
    </row>
    <row r="27" spans="1:65" x14ac:dyDescent="0.3">
      <c r="B27" s="84" t="s">
        <v>55</v>
      </c>
      <c r="C27" s="84">
        <f>-((1+1+1)/(V20)*LOG((1+1+1)/(V20),2))-((1+1)/(V20)*LOG((1+1)/(V20),2))-((0.875+0.125+1)/(V20)*LOG((0.875+0.125+1)/(V20),2))</f>
        <v>1.5306390622295662</v>
      </c>
      <c r="E27" s="181" t="s">
        <v>65</v>
      </c>
      <c r="F27" s="182"/>
      <c r="G27" s="183"/>
      <c r="H27" s="181">
        <f>(H26)-((V20/15)*C27)-((W20/15)*C28)</f>
        <v>4.2181870716070047E-2</v>
      </c>
      <c r="I27" s="182"/>
      <c r="J27" s="183"/>
      <c r="N27" s="84" t="s">
        <v>59</v>
      </c>
      <c r="O27" s="84">
        <v>185</v>
      </c>
      <c r="P27" s="84">
        <v>200</v>
      </c>
      <c r="Q27" s="84">
        <v>260</v>
      </c>
      <c r="V27" s="84" t="s">
        <v>53</v>
      </c>
      <c r="W27" s="84" t="s">
        <v>54</v>
      </c>
      <c r="BK27" s="86"/>
      <c r="BL27" s="181"/>
      <c r="BM27" s="183"/>
    </row>
    <row r="28" spans="1:65" x14ac:dyDescent="0.3">
      <c r="B28" s="84" t="s">
        <v>43</v>
      </c>
      <c r="C28" s="84">
        <f>-((W7+W18)/(W20)*LOG((W7+W18)/(W20),2))-((W5+W14)/(W20)*LOG((W5+W14)/(W20),2))-((W6+W11+W12+W17)/(W20)*LOG((W6+W11+W12+W17)/(W20),2))</f>
        <v>1.5566567074628228</v>
      </c>
      <c r="E28" s="181" t="s">
        <v>67</v>
      </c>
      <c r="F28" s="182"/>
      <c r="G28" s="183"/>
      <c r="H28" s="181">
        <f>(H26)-((V71/15)*C31)-((W71/15)*C32)</f>
        <v>0.98177453414168847</v>
      </c>
      <c r="I28" s="182"/>
      <c r="J28" s="183"/>
      <c r="K28" s="84" t="s">
        <v>94</v>
      </c>
      <c r="T28" s="84" t="s">
        <v>56</v>
      </c>
      <c r="U28" s="30" t="s">
        <v>37</v>
      </c>
      <c r="V28" s="84">
        <v>70</v>
      </c>
      <c r="W28" s="84">
        <v>82</v>
      </c>
      <c r="Z28" s="84" t="s">
        <v>26</v>
      </c>
      <c r="AA28" s="84">
        <v>1</v>
      </c>
      <c r="AB28" s="84">
        <v>0</v>
      </c>
      <c r="AE28" s="84" t="s">
        <v>25</v>
      </c>
      <c r="AF28" s="84">
        <v>1</v>
      </c>
      <c r="AG28" s="84">
        <v>0</v>
      </c>
      <c r="BK28" s="86"/>
      <c r="BL28" s="181"/>
      <c r="BM28" s="183"/>
    </row>
    <row r="29" spans="1:65" ht="15" thickBot="1" x14ac:dyDescent="0.35">
      <c r="E29" s="181" t="s">
        <v>71</v>
      </c>
      <c r="F29" s="182"/>
      <c r="G29" s="183"/>
      <c r="H29" s="181">
        <f>(H26)-((P45/15)*C35)-((Q45/15)*C36)-((R45/15)*C37)</f>
        <v>0.3305070274935078</v>
      </c>
      <c r="I29" s="182"/>
      <c r="J29" s="183"/>
      <c r="M29" s="86" t="s">
        <v>79</v>
      </c>
      <c r="N29" s="86" t="s">
        <v>46</v>
      </c>
      <c r="O29" s="86" t="s">
        <v>59</v>
      </c>
      <c r="P29" s="86" t="s">
        <v>44</v>
      </c>
      <c r="Q29" s="86" t="s">
        <v>62</v>
      </c>
      <c r="R29" s="88" t="s">
        <v>61</v>
      </c>
      <c r="U29" s="29" t="s">
        <v>24</v>
      </c>
      <c r="V29" s="84">
        <v>70</v>
      </c>
      <c r="W29" s="84">
        <v>82</v>
      </c>
      <c r="Z29" s="84" t="s">
        <v>39</v>
      </c>
      <c r="AA29" s="84">
        <v>0</v>
      </c>
      <c r="AB29" s="84">
        <v>1</v>
      </c>
      <c r="AE29" s="84" t="s">
        <v>31</v>
      </c>
      <c r="AF29" s="84">
        <v>0</v>
      </c>
      <c r="AG29" s="84">
        <v>1</v>
      </c>
      <c r="BK29" s="86"/>
      <c r="BL29" s="181"/>
      <c r="BM29" s="183"/>
    </row>
    <row r="30" spans="1:65" x14ac:dyDescent="0.3">
      <c r="B30" s="84" t="s">
        <v>69</v>
      </c>
      <c r="E30" s="181" t="s">
        <v>73</v>
      </c>
      <c r="F30" s="182"/>
      <c r="G30" s="183"/>
      <c r="H30" s="181">
        <f>(H26)-((V46/15)*C40)-((W46/15)*C41)</f>
        <v>0.12847537156143241</v>
      </c>
      <c r="I30" s="182"/>
      <c r="J30" s="183"/>
      <c r="M30" s="89">
        <v>2</v>
      </c>
      <c r="N30" s="86">
        <v>1</v>
      </c>
      <c r="O30" s="86">
        <f t="shared" ref="O30:O44" si="7">(D8+E8)</f>
        <v>215</v>
      </c>
      <c r="P30" s="86">
        <f>IF(O30&lt;=$O$27,1,IF(AND($O$27&lt;O30,O30&lt;$P$27),($P$27-O30)/($P$27-$O$27),IF(O30&gt;=$O$27,0)))</f>
        <v>0</v>
      </c>
      <c r="Q30" s="86">
        <f>IF(AND($O$27&lt;O30,O30&lt;$P$27),(O30-$O$27)/($P$27-$O$27),IF(AND($P$27&lt;=O30,O30&lt;$Q$27),($Q$27-O30)/($Q$27-$P$27), IF(OR(O30&lt;=$O$27,O30&gt;=$Q$27),0,salah)))</f>
        <v>0.75</v>
      </c>
      <c r="R30" s="71">
        <f>IF(O30&lt;=$P$27,0,IF(AND($P$27&lt;O30,O30&lt;$Q$27),(O30-$P$27)/($Q$27-$P$27),IF(O30&gt;=$Q$27,1)))</f>
        <v>0.25</v>
      </c>
      <c r="T30" s="107" t="s">
        <v>79</v>
      </c>
      <c r="U30" s="86" t="s">
        <v>7</v>
      </c>
      <c r="V30" s="86" t="s">
        <v>57</v>
      </c>
      <c r="W30" s="86" t="s">
        <v>58</v>
      </c>
      <c r="Y30" s="86" t="s">
        <v>46</v>
      </c>
      <c r="Z30" s="86" t="s">
        <v>48</v>
      </c>
      <c r="AA30" s="86" t="s">
        <v>26</v>
      </c>
      <c r="AB30" s="86" t="s">
        <v>39</v>
      </c>
      <c r="AD30" s="86" t="s">
        <v>46</v>
      </c>
      <c r="AE30" s="86" t="s">
        <v>15</v>
      </c>
      <c r="AF30" s="86" t="s">
        <v>25</v>
      </c>
      <c r="AG30" s="86" t="s">
        <v>31</v>
      </c>
    </row>
    <row r="31" spans="1:65" x14ac:dyDescent="0.3">
      <c r="B31" s="84" t="s">
        <v>44</v>
      </c>
      <c r="C31" s="84">
        <f>-((V58+V60+V69+V70)/(V71)*LOG((V58+V60+V69+V70)/(V71),2))-((V56+V65+V66)/(V71)*LOG((V56+V65+V66)/(V71),2))-((V62+V63+V68)/(V71)*LOG((V62+V63+V68)/(V71),2))</f>
        <v>1.5237674408002158</v>
      </c>
      <c r="M31" s="89">
        <v>3</v>
      </c>
      <c r="N31" s="86">
        <v>2</v>
      </c>
      <c r="O31" s="86">
        <f t="shared" si="7"/>
        <v>308</v>
      </c>
      <c r="P31" s="86">
        <f t="shared" ref="P31:P43" si="8">IF(O31&lt;=$O$27,1,IF(AND($O$27&lt;O31,O31&lt;$P$27),($P$27-O31)/($P$27-$O$27),IF(O31&gt;=$O$27,0)))</f>
        <v>0</v>
      </c>
      <c r="Q31" s="86">
        <f>IF(AND($O$27&lt;O31,O31&lt;$P$27),(O31-$O$27)/($P$27-$O$27),IF(AND($P$27&lt;=O31,O31&lt;$Q$27),($Q$27-O31)/($Q$27-$P$27), IF(OR(O31&lt;=$O$27,O31&gt;=$Q$27),0,salah)))</f>
        <v>0</v>
      </c>
      <c r="R31" s="71">
        <f t="shared" ref="R31:R44" si="9">IF(O31&lt;=$P$27,0,IF(AND($P$27&lt;O31,O31&lt;$Q$27),(O31-$P$27)/($Q$27-$P$27),IF(O31&gt;=$Q$27,1)))</f>
        <v>1</v>
      </c>
      <c r="T31" s="108">
        <v>2</v>
      </c>
      <c r="U31" s="24">
        <v>78</v>
      </c>
      <c r="V31" s="32">
        <f>IF(U31&lt;=$V$29,1,IF(AND($V$29&lt;U31,U31&lt;$W$29),($W$29-U31)/($W$29-$V$29),IF(U31&gt;=$W$29,0)))</f>
        <v>0.33333333333333331</v>
      </c>
      <c r="W31" s="32">
        <f>IF(U31&lt;=$V$29,0,IF(AND($V$29&lt;U31,U31&lt;$W$29),(U31-$V$29)/($W$29-$V$29),IF(U31&gt;=$W$29,1)))</f>
        <v>0.66666666666666663</v>
      </c>
      <c r="Y31" s="86">
        <v>1</v>
      </c>
      <c r="Z31" s="89">
        <v>1</v>
      </c>
      <c r="AA31" s="86">
        <f>($AB$28-Z31)/($AB$28-$AA$28)</f>
        <v>1</v>
      </c>
      <c r="AB31" s="86">
        <f>(Z31-$AA$29)/($AB$29-$AA$29)</f>
        <v>1</v>
      </c>
      <c r="AD31" s="86">
        <v>1</v>
      </c>
      <c r="AE31" s="89">
        <v>1</v>
      </c>
      <c r="AF31" s="86">
        <f>($AG$28-AE31)/($AG$28-$AF$28)</f>
        <v>1</v>
      </c>
      <c r="AG31" s="86">
        <f>(AE31-$AF$29)/($AG$29-$AF$29)</f>
        <v>1</v>
      </c>
    </row>
    <row r="32" spans="1:65" x14ac:dyDescent="0.3">
      <c r="B32" s="84" t="s">
        <v>70</v>
      </c>
      <c r="C32" s="84">
        <f>-((W58+W59+W60+W69+W70)/(W71)*LOG((W58+W59+W60+W69+W70)/(W71),2))-((W56+W61+W65+W66+W67)/(W71)*LOG((W56+W61+W65+W66+W67)/(W71),2))-((W57+W62+W63+W64+W68)/(W71)*LOG((W57+W62+W63+W64+W68),2))</f>
        <v>0.26038455885094447</v>
      </c>
      <c r="M32" s="89">
        <v>1</v>
      </c>
      <c r="N32" s="86">
        <v>3</v>
      </c>
      <c r="O32" s="86">
        <f t="shared" si="7"/>
        <v>209</v>
      </c>
      <c r="P32" s="86">
        <f>IF(O32&lt;=$O$27,1,IF(AND($O$27&lt;O32,O32&lt;$P$27),($P$27-O32)/($P$27-$O$27),IF(O32&gt;=$O$27,0)))</f>
        <v>0</v>
      </c>
      <c r="Q32" s="86">
        <f>IF(AND($O$27&lt;O32,O32&lt;$P$27),(O32-$O$27)/($P$27-$O$27),IF(AND($P$27&lt;=O32,O32&lt;$Q$27),($Q$27-O32)/($Q$27-$P$27), IF(OR(O32&lt;=$O$27,O32&gt;=$Q$27),0,salah)))</f>
        <v>0.85</v>
      </c>
      <c r="R32" s="71">
        <f t="shared" si="9"/>
        <v>0.15</v>
      </c>
      <c r="T32" s="108">
        <v>3</v>
      </c>
      <c r="U32" s="24">
        <v>98</v>
      </c>
      <c r="V32" s="32">
        <f>IF(U32&lt;=$V$29,1,IF(AND($V$29&lt;U32,U32&lt;$W$29),($W$29-U32)/($W$29-$V$29),IF(U32&gt;=$W$29,0)))</f>
        <v>0</v>
      </c>
      <c r="W32" s="32">
        <f>IF(U32&lt;=$V$29,0,IF(AND($V$29&lt;U32,U32&lt;$W$29),(U32-$V$29)/($W$29-$V$29),IF(U32&gt;=$W$29,1)))</f>
        <v>1</v>
      </c>
      <c r="Y32" s="86">
        <v>2</v>
      </c>
      <c r="Z32" s="89">
        <v>1</v>
      </c>
      <c r="AA32" s="86">
        <f t="shared" ref="AA32:AA45" si="10">($AB$28-Z32)/($AB$28-$AA$28)</f>
        <v>1</v>
      </c>
      <c r="AB32" s="86">
        <f t="shared" ref="AB32:AB45" si="11">(Z32-$AA$29)/($AB$29-$AA$29)</f>
        <v>1</v>
      </c>
      <c r="AD32" s="86">
        <v>2</v>
      </c>
      <c r="AE32" s="89">
        <v>1</v>
      </c>
      <c r="AF32" s="86">
        <f t="shared" ref="AF32:AF45" si="12">($AG$28-AE32)/($AG$28-$AF$28)</f>
        <v>1</v>
      </c>
      <c r="AG32" s="86">
        <f t="shared" ref="AG32:AG45" si="13">(AE32-$AF$29)/($AG$29-$AF$29)</f>
        <v>1</v>
      </c>
    </row>
    <row r="33" spans="2:33" x14ac:dyDescent="0.3">
      <c r="M33" s="89">
        <v>1</v>
      </c>
      <c r="N33" s="86">
        <v>4</v>
      </c>
      <c r="O33" s="86">
        <f t="shared" si="7"/>
        <v>203</v>
      </c>
      <c r="P33" s="86">
        <f t="shared" si="8"/>
        <v>0</v>
      </c>
      <c r="Q33" s="86">
        <f>IF(AND($O$27&lt;O33,O33&lt;$P$27),(O33-$O$27)/($P$27-$O$27),IF(AND($P$27&lt;=O33,O33&lt;$Q$27),($Q$27-O33)/($Q$27-$P$27), IF(OR(O33&lt;=$O$27,O33&gt;=$Q$27),0,salah)))</f>
        <v>0.95</v>
      </c>
      <c r="R33" s="71">
        <f t="shared" si="9"/>
        <v>0.05</v>
      </c>
      <c r="T33" s="108">
        <v>1</v>
      </c>
      <c r="U33" s="24">
        <v>98</v>
      </c>
      <c r="V33" s="32">
        <f>IF(U33&lt;=$V$29,1,IF(AND($V$29&lt;U33,U33&lt;$W$29),($W$29-U33)/($W$29-$V$29),IF(U33&gt;=$W$29,0)))</f>
        <v>0</v>
      </c>
      <c r="W33" s="32">
        <f>IF(U33&lt;=$V$29,0,IF(AND($V$29&lt;U33,U33&lt;$W$29),(U33-$V$29)/($W$29-$V$29),IF(U33&gt;=$W$29,1)))</f>
        <v>1</v>
      </c>
      <c r="Y33" s="86">
        <v>3</v>
      </c>
      <c r="Z33" s="89">
        <v>1</v>
      </c>
      <c r="AA33" s="86">
        <f t="shared" si="10"/>
        <v>1</v>
      </c>
      <c r="AB33" s="86">
        <f t="shared" si="11"/>
        <v>1</v>
      </c>
      <c r="AD33" s="86">
        <v>3</v>
      </c>
      <c r="AE33" s="89">
        <v>1</v>
      </c>
      <c r="AF33" s="86">
        <f t="shared" si="12"/>
        <v>1</v>
      </c>
      <c r="AG33" s="86">
        <f t="shared" si="13"/>
        <v>1</v>
      </c>
    </row>
    <row r="34" spans="2:33" x14ac:dyDescent="0.3">
      <c r="B34" s="84" t="s">
        <v>72</v>
      </c>
      <c r="M34" s="89">
        <v>1</v>
      </c>
      <c r="N34" s="86">
        <v>5</v>
      </c>
      <c r="O34" s="86">
        <f t="shared" si="7"/>
        <v>198</v>
      </c>
      <c r="P34" s="86">
        <f t="shared" si="8"/>
        <v>0.13333333333333333</v>
      </c>
      <c r="Q34" s="86">
        <f>IF(AND($O$27&lt;O34,O34&lt;$P$27),(O34-$O$27)/($P$27-$O$27),IF(AND($P$27&lt;=O34,O34&lt;$Q$27),($Q$27-O34)/($Q$27-$P$27), IF(OR(O34&lt;=$O$27,O34&gt;=$Q$27),0,salah)))</f>
        <v>0.8666666666666667</v>
      </c>
      <c r="R34" s="71">
        <f t="shared" si="9"/>
        <v>0</v>
      </c>
      <c r="T34" s="108">
        <v>1</v>
      </c>
      <c r="U34" s="27">
        <v>99</v>
      </c>
      <c r="V34" s="31">
        <f>IF(U34&lt;=$V$28,1,IF(AND($V$28&lt;U34,U34&lt;$W$28),($W$28-U34)/($W$28-$V$28),IF(U34&gt;=$W$28,0)))</f>
        <v>0</v>
      </c>
      <c r="W34" s="31">
        <f>IF(U34&lt;=$V$28,0,IF(AND($V$28&lt;U34,U34&lt;$W$28),(U34-$V$28)/($W$28-$V$28),IF(U34&gt;=$W$28,1)))</f>
        <v>1</v>
      </c>
      <c r="Y34" s="86">
        <v>4</v>
      </c>
      <c r="Z34" s="89">
        <v>0</v>
      </c>
      <c r="AA34" s="86">
        <f t="shared" si="10"/>
        <v>0</v>
      </c>
      <c r="AB34" s="86">
        <f t="shared" si="11"/>
        <v>0</v>
      </c>
      <c r="AD34" s="86">
        <v>4</v>
      </c>
      <c r="AE34" s="89">
        <v>1</v>
      </c>
      <c r="AF34" s="86">
        <f t="shared" si="12"/>
        <v>1</v>
      </c>
      <c r="AG34" s="86">
        <f t="shared" si="13"/>
        <v>1</v>
      </c>
    </row>
    <row r="35" spans="2:33" x14ac:dyDescent="0.3">
      <c r="B35" s="84" t="s">
        <v>44</v>
      </c>
      <c r="C35" s="84">
        <f>-((P34+P43)/(P45)*LOG((P34+P43)/(P45),2))-(0)-(0)</f>
        <v>0</v>
      </c>
      <c r="M35" s="89">
        <v>2</v>
      </c>
      <c r="N35" s="86">
        <v>6</v>
      </c>
      <c r="O35" s="86">
        <f t="shared" si="7"/>
        <v>205</v>
      </c>
      <c r="P35" s="86">
        <f t="shared" si="8"/>
        <v>0</v>
      </c>
      <c r="Q35" s="86">
        <f>IF(AND($O$27&lt;O35,O35&lt;$P$27),(O35-$O$27)/($P$27-$O$27),IF(AND($P$27&lt;=O35,O35&lt;$Q$27),($Q$27-O35)/($Q$27-$P$27), IF(OR(O35&lt;=$O$27,O35&gt;=$Q$27),0,salah)))</f>
        <v>0.91666666666666663</v>
      </c>
      <c r="R35" s="71">
        <f t="shared" si="9"/>
        <v>8.3333333333333329E-2</v>
      </c>
      <c r="T35" s="108">
        <v>1</v>
      </c>
      <c r="U35" s="27">
        <v>88</v>
      </c>
      <c r="V35" s="31">
        <f>IF(U35&lt;=$V$28,1,IF(AND($V$28&lt;U35,U35&lt;$W$28),($W$28-U35)/($W$28-$V$28),IF(U35&gt;=$W$28,0)))</f>
        <v>0</v>
      </c>
      <c r="W35" s="31">
        <f>IF(U35&lt;=$V$28,0,IF(AND($V$28&lt;U35,U35&lt;$W$28),(U35-$V$28)/($W$28-$V$28),IF(U35&gt;=$W$28,1)))</f>
        <v>1</v>
      </c>
      <c r="Y35" s="86">
        <v>5</v>
      </c>
      <c r="Z35" s="89">
        <v>0</v>
      </c>
      <c r="AA35" s="86">
        <f t="shared" si="10"/>
        <v>0</v>
      </c>
      <c r="AB35" s="86">
        <f t="shared" si="11"/>
        <v>0</v>
      </c>
      <c r="AD35" s="86">
        <v>5</v>
      </c>
      <c r="AE35" s="89">
        <v>1</v>
      </c>
      <c r="AF35" s="86">
        <f t="shared" si="12"/>
        <v>1</v>
      </c>
      <c r="AG35" s="86">
        <f t="shared" si="13"/>
        <v>1</v>
      </c>
    </row>
    <row r="36" spans="2:33" x14ac:dyDescent="0.3">
      <c r="B36" s="84" t="s">
        <v>62</v>
      </c>
      <c r="C36" s="84">
        <f>-((Q32+Q33+Q34+Q44)/(Q45)*LOG((Q32+Q33+Q34+Q44)/(Q45),2))-((Q30+Q35+Q39+Q40+Q41)/(Q45)*LOG((Q30+Q35+Q39+Q40+Q41)/(Q45),2))-((Q36+Q38)/(Q45)*LOG((Q36+Q38)/(Q45),2))</f>
        <v>1.4434718460067391</v>
      </c>
      <c r="M36" s="89">
        <v>3</v>
      </c>
      <c r="N36" s="86">
        <v>7</v>
      </c>
      <c r="O36" s="86">
        <f t="shared" si="7"/>
        <v>207</v>
      </c>
      <c r="P36" s="86">
        <f t="shared" si="8"/>
        <v>0</v>
      </c>
      <c r="Q36" s="86">
        <f>IF(AND($O$27&lt;O36,O36&lt;$P$27),(O36-$O$27)/($P$27-$O$27),IF(AND($P$27&lt;=O36,O36&lt;$Q$27),($Q$27-O36)/($Q$27-$P$27), IF(OR(O36&lt;=$O$27,O36&gt;=$Q$27),0,salah)))</f>
        <v>0.8833333333333333</v>
      </c>
      <c r="R36" s="71">
        <f t="shared" si="9"/>
        <v>0.11666666666666667</v>
      </c>
      <c r="T36" s="108">
        <v>2</v>
      </c>
      <c r="U36" s="27">
        <v>89</v>
      </c>
      <c r="V36" s="31">
        <f>IF(U36&lt;=$V$28,1,IF(AND($V$28&lt;U36,U36&lt;$W$28),($W$28-U36)/($W$28-$V$28),IF(U36&gt;=$W$28,0)))</f>
        <v>0</v>
      </c>
      <c r="W36" s="31">
        <f>IF(U36&lt;=$V$28,0,IF(AND($V$28&lt;U36,U36&lt;$W$28),(U36-$V$28)/($W$28-$V$28),IF(U36&gt;=$W$28,1)))</f>
        <v>1</v>
      </c>
      <c r="Y36" s="86">
        <v>6</v>
      </c>
      <c r="Z36" s="89">
        <v>0</v>
      </c>
      <c r="AA36" s="86">
        <f t="shared" si="10"/>
        <v>0</v>
      </c>
      <c r="AB36" s="86">
        <f t="shared" si="11"/>
        <v>0</v>
      </c>
      <c r="AD36" s="86">
        <v>6</v>
      </c>
      <c r="AE36" s="89">
        <v>0</v>
      </c>
      <c r="AF36" s="86">
        <f t="shared" si="12"/>
        <v>0</v>
      </c>
      <c r="AG36" s="86">
        <f t="shared" si="13"/>
        <v>0</v>
      </c>
    </row>
    <row r="37" spans="2:33" x14ac:dyDescent="0.3">
      <c r="B37" s="84" t="s">
        <v>61</v>
      </c>
      <c r="C37" s="84">
        <f>-((R32+R33+R44)/(R45)*LOG((R32+R33+R44)/(R45),2))-((R30+R35+R39+R40+R41)/(R45)*LOG((R30+R35+R39+R40+R41)/(R45),2))-((R31+R36+R37+R38+R42)/(R45)*LOG((R31+R36+R37+R38+R42)/(R45),2))</f>
        <v>1.2546039983093022</v>
      </c>
      <c r="M37" s="89">
        <v>3</v>
      </c>
      <c r="N37" s="86">
        <v>8</v>
      </c>
      <c r="O37" s="86">
        <f t="shared" si="7"/>
        <v>290</v>
      </c>
      <c r="P37" s="86">
        <f t="shared" si="8"/>
        <v>0</v>
      </c>
      <c r="Q37" s="86">
        <f>IF(AND($O$27&lt;O37,O37&lt;$P$27),(O37-$O$27)/($P$27-$O$27),IF(AND($P$27&lt;=O37,O37&lt;$Q$27),($Q$27-O37)/($Q$27-$P$27), IF(OR(O37&lt;=$O$27,O37&gt;=$Q$27),0,salah)))</f>
        <v>0</v>
      </c>
      <c r="R37" s="71">
        <f t="shared" si="9"/>
        <v>1</v>
      </c>
      <c r="T37" s="108">
        <v>3</v>
      </c>
      <c r="U37" s="24">
        <v>89</v>
      </c>
      <c r="V37" s="32">
        <f>IF(U37&lt;=$V$29,1,IF(AND($V$29&lt;U37,U37&lt;$W$29),($W$29-U37)/($W$29-$V$29),IF(U37&gt;=$W$29,0)))</f>
        <v>0</v>
      </c>
      <c r="W37" s="32">
        <f>IF(U37&lt;=$V$29,0,IF(AND($V$29&lt;U37,U37&lt;$W$29),(U37-$V$29)/($W$29-$V$29),IF(U37&gt;=$W$29,1)))</f>
        <v>1</v>
      </c>
      <c r="Y37" s="86">
        <v>7</v>
      </c>
      <c r="Z37" s="89">
        <v>0</v>
      </c>
      <c r="AA37" s="86">
        <f t="shared" si="10"/>
        <v>0</v>
      </c>
      <c r="AB37" s="86">
        <f t="shared" si="11"/>
        <v>0</v>
      </c>
      <c r="AD37" s="86">
        <v>7</v>
      </c>
      <c r="AE37" s="89">
        <v>0</v>
      </c>
      <c r="AF37" s="86">
        <f t="shared" si="12"/>
        <v>0</v>
      </c>
      <c r="AG37" s="86">
        <f t="shared" si="13"/>
        <v>0</v>
      </c>
    </row>
    <row r="38" spans="2:33" x14ac:dyDescent="0.3">
      <c r="M38" s="89">
        <v>3</v>
      </c>
      <c r="N38" s="86">
        <v>9</v>
      </c>
      <c r="O38" s="86">
        <f t="shared" si="7"/>
        <v>250</v>
      </c>
      <c r="P38" s="86">
        <f t="shared" si="8"/>
        <v>0</v>
      </c>
      <c r="Q38" s="86">
        <f>IF(AND($O$27&lt;O38,O38&lt;$P$27),(O38-$O$27)/($P$27-$O$27),IF(AND($P$27&lt;=O38,O38&lt;$Q$27),($Q$27-O38)/($Q$27-$P$27), IF(OR(O38&lt;=$O$27,O38&gt;=$Q$27),0,salah)))</f>
        <v>0.16666666666666666</v>
      </c>
      <c r="R38" s="71">
        <f t="shared" si="9"/>
        <v>0.83333333333333337</v>
      </c>
      <c r="T38" s="108">
        <v>3</v>
      </c>
      <c r="U38" s="24">
        <v>91</v>
      </c>
      <c r="V38" s="32">
        <f>IF(U38&lt;=$V$29,1,IF(AND($V$29&lt;U38,U38&lt;$W$29),($W$29-U38)/($W$29-$V$29),IF(U38&gt;=$W$29,0)))</f>
        <v>0</v>
      </c>
      <c r="W38" s="32">
        <f>IF(U38&lt;=$V$29,0,IF(AND($V$29&lt;U38,U38&lt;$W$29),(U38-$V$29)/($W$29-$V$29),IF(U38&gt;=$W$29,1)))</f>
        <v>1</v>
      </c>
      <c r="Y38" s="86">
        <v>8</v>
      </c>
      <c r="Z38" s="89">
        <v>0</v>
      </c>
      <c r="AA38" s="86">
        <f t="shared" si="10"/>
        <v>0</v>
      </c>
      <c r="AB38" s="86">
        <f t="shared" si="11"/>
        <v>0</v>
      </c>
      <c r="AD38" s="86">
        <v>8</v>
      </c>
      <c r="AE38" s="89">
        <v>1</v>
      </c>
      <c r="AF38" s="86">
        <f t="shared" si="12"/>
        <v>1</v>
      </c>
      <c r="AG38" s="86">
        <f t="shared" si="13"/>
        <v>1</v>
      </c>
    </row>
    <row r="39" spans="2:33" x14ac:dyDescent="0.3">
      <c r="B39" s="84" t="s">
        <v>74</v>
      </c>
      <c r="M39" s="89">
        <v>2</v>
      </c>
      <c r="N39" s="86">
        <v>10</v>
      </c>
      <c r="O39" s="86">
        <f t="shared" si="7"/>
        <v>256</v>
      </c>
      <c r="P39" s="86">
        <f t="shared" si="8"/>
        <v>0</v>
      </c>
      <c r="Q39" s="86">
        <f>IF(AND($O$27&lt;O39,O39&lt;$P$27),(O39-$O$27)/($P$27-$O$27),IF(AND($P$27&lt;=O39,O39&lt;$Q$27),($Q$27-O39)/($Q$27-$P$27), IF(OR(O39&lt;=$O$27,O39&gt;=$Q$27),0,salah)))</f>
        <v>6.6666666666666666E-2</v>
      </c>
      <c r="R39" s="71">
        <f t="shared" si="9"/>
        <v>0.93333333333333335</v>
      </c>
      <c r="T39" s="108">
        <v>3</v>
      </c>
      <c r="U39" s="27">
        <v>106</v>
      </c>
      <c r="V39" s="31">
        <f>IF(U39&lt;=$V$28,1,IF(AND($V$28&lt;U39,U39&lt;$W$28),($W$28-U39)/($W$28-$V$28),IF(U39&gt;=$W$28,0)))</f>
        <v>0</v>
      </c>
      <c r="W39" s="31">
        <f>IF(U39&lt;=$V$28,0,IF(AND($V$28&lt;U39,U39&lt;$W$28),(U39-$V$28)/($W$28-$V$28),IF(U39&gt;=$W$28,1)))</f>
        <v>1</v>
      </c>
      <c r="Y39" s="86">
        <v>9</v>
      </c>
      <c r="Z39" s="89">
        <v>1</v>
      </c>
      <c r="AA39" s="86">
        <f t="shared" si="10"/>
        <v>1</v>
      </c>
      <c r="AB39" s="86">
        <f t="shared" si="11"/>
        <v>1</v>
      </c>
      <c r="AD39" s="86">
        <v>9</v>
      </c>
      <c r="AE39" s="89">
        <v>0</v>
      </c>
      <c r="AF39" s="86">
        <f t="shared" si="12"/>
        <v>0</v>
      </c>
      <c r="AG39" s="86">
        <f t="shared" si="13"/>
        <v>0</v>
      </c>
    </row>
    <row r="40" spans="2:33" x14ac:dyDescent="0.3">
      <c r="B40" s="84" t="s">
        <v>57</v>
      </c>
      <c r="C40" s="84">
        <f>-((V44+V45)/(V46)*LOG((V44+V45)/(V46),2))-((V31+V40+V41)/(V46)*LOG((V31+V40+V41)/(V46),2))-(0)</f>
        <v>0.98999279155751885</v>
      </c>
      <c r="M40" s="89">
        <v>2</v>
      </c>
      <c r="N40" s="86">
        <v>11</v>
      </c>
      <c r="O40" s="86">
        <f t="shared" si="7"/>
        <v>209</v>
      </c>
      <c r="P40" s="86">
        <f t="shared" si="8"/>
        <v>0</v>
      </c>
      <c r="Q40" s="86">
        <f>IF(AND($O$27&lt;O40,O40&lt;$P$27),(O40-$O$27)/($P$27-$O$27),IF(AND($P$27&lt;=O40,O40&lt;$Q$27),($Q$27-O40)/($Q$27-$P$27), IF(OR(O40&lt;=$O$27,O40&gt;=$Q$27),0,salah)))</f>
        <v>0.85</v>
      </c>
      <c r="R40" s="71">
        <f t="shared" si="9"/>
        <v>0.15</v>
      </c>
      <c r="T40" s="108">
        <v>2</v>
      </c>
      <c r="U40" s="24">
        <v>78</v>
      </c>
      <c r="V40" s="32">
        <f>IF(U40&lt;=$V$29,1,IF(AND($V$29&lt;U40,U40&lt;$W$29),($W$29-U40)/($W$29-$V$29),IF(U40&gt;=$W$29,0)))</f>
        <v>0.33333333333333331</v>
      </c>
      <c r="W40" s="32">
        <f>IF(U40&lt;=$V$29,0,IF(AND($V$29&lt;U40,U40&lt;$W$29),(U40-$V$29)/($W$29-$V$29),IF(U40&gt;=$W$29,1)))</f>
        <v>0.66666666666666663</v>
      </c>
      <c r="Y40" s="86">
        <v>10</v>
      </c>
      <c r="Z40" s="89">
        <v>1</v>
      </c>
      <c r="AA40" s="86">
        <f t="shared" si="10"/>
        <v>1</v>
      </c>
      <c r="AB40" s="86">
        <f t="shared" si="11"/>
        <v>1</v>
      </c>
      <c r="AD40" s="86">
        <v>10</v>
      </c>
      <c r="AE40" s="89">
        <v>0</v>
      </c>
      <c r="AF40" s="86">
        <f t="shared" si="12"/>
        <v>0</v>
      </c>
      <c r="AG40" s="86">
        <f t="shared" si="13"/>
        <v>0</v>
      </c>
    </row>
    <row r="41" spans="2:33" x14ac:dyDescent="0.3">
      <c r="B41" s="84" t="s">
        <v>58</v>
      </c>
      <c r="C41" s="84">
        <f>-((W33+W34+W35+W44+W45)/(W46)*LOG((W33+W34+W35+W44+W45)/(W46),2))-((W31+W36+W40+W41+W42)/(W46)*LOG((W31+W36+W40+W41+W42)/(W46),2))-((W32+W37+W38+W39+W43)/(W46)*LOG((W32+W37+W38+W39+W43)/(W46),2))</f>
        <v>1.5651227968205113</v>
      </c>
      <c r="M41" s="89">
        <v>2</v>
      </c>
      <c r="N41" s="86">
        <v>12</v>
      </c>
      <c r="O41" s="86">
        <f t="shared" si="7"/>
        <v>225</v>
      </c>
      <c r="P41" s="86">
        <f t="shared" si="8"/>
        <v>0</v>
      </c>
      <c r="Q41" s="86">
        <f>IF(AND($O$27&lt;O41,O41&lt;$P$27),(O41-$O$27)/($P$27-$O$27),IF(AND($P$27&lt;=O41,O41&lt;$Q$27),($Q$27-O41)/($Q$27-$P$27), IF(OR(O41&lt;=$O$27,O41&gt;=$Q$27),0,salah)))</f>
        <v>0.58333333333333337</v>
      </c>
      <c r="R41" s="71">
        <f t="shared" si="9"/>
        <v>0.41666666666666669</v>
      </c>
      <c r="T41" s="108">
        <v>2</v>
      </c>
      <c r="U41" s="24">
        <v>71</v>
      </c>
      <c r="V41" s="32">
        <f>IF(U41&lt;=$V$29,1,IF(AND($V$29&lt;U41,U41&lt;$W$29),($W$29-U41)/($W$29-$V$29),IF(U41&gt;=$W$29,0)))</f>
        <v>0.91666666666666663</v>
      </c>
      <c r="W41" s="32">
        <f>IF(U41&lt;=$V$29,0,IF(AND($V$29&lt;U41,U41&lt;$W$29),(U41-$V$29)/($W$29-$V$29),IF(U41&gt;=$W$29,1)))</f>
        <v>8.3333333333333329E-2</v>
      </c>
      <c r="Y41" s="86">
        <v>11</v>
      </c>
      <c r="Z41" s="89">
        <v>0</v>
      </c>
      <c r="AA41" s="86">
        <f t="shared" si="10"/>
        <v>0</v>
      </c>
      <c r="AB41" s="86">
        <f t="shared" si="11"/>
        <v>0</v>
      </c>
      <c r="AD41" s="86">
        <v>11</v>
      </c>
      <c r="AE41" s="89">
        <v>1</v>
      </c>
      <c r="AF41" s="86">
        <f t="shared" si="12"/>
        <v>1</v>
      </c>
      <c r="AG41" s="86">
        <f t="shared" si="13"/>
        <v>1</v>
      </c>
    </row>
    <row r="42" spans="2:33" x14ac:dyDescent="0.3">
      <c r="M42" s="89">
        <v>3</v>
      </c>
      <c r="N42" s="86">
        <v>13</v>
      </c>
      <c r="O42" s="86">
        <f t="shared" si="7"/>
        <v>295</v>
      </c>
      <c r="P42" s="86">
        <f t="shared" si="8"/>
        <v>0</v>
      </c>
      <c r="Q42" s="86">
        <f>IF(AND($O$27&lt;O42,O42&lt;$P$27),(O42-$O$27)/($P$27-$O$27),IF(AND($P$27&lt;=O42,O42&lt;$Q$27),($Q$27-O42)/($Q$27-$P$27), IF(OR(O42&lt;=$O$27,O42&gt;=$Q$27),0,salah)))</f>
        <v>0</v>
      </c>
      <c r="R42" s="71">
        <f t="shared" si="9"/>
        <v>1</v>
      </c>
      <c r="T42" s="108">
        <v>2</v>
      </c>
      <c r="U42" s="27">
        <v>101</v>
      </c>
      <c r="V42" s="31">
        <f>IF(U42&lt;=$V$28,1,IF(AND($V$28&lt;U42,U42&lt;$W$28),($W$28-U42)/($W$28-$V$28),IF(U42&gt;=$W$28,0)))</f>
        <v>0</v>
      </c>
      <c r="W42" s="31">
        <f>IF(U42&lt;=$V$28,0,IF(AND($V$28&lt;U42,U42&lt;$W$28),(U42-$V$28)/($W$28-$V$28),IF(U42&gt;=$W$28,1)))</f>
        <v>1</v>
      </c>
      <c r="Y42" s="86">
        <v>12</v>
      </c>
      <c r="Z42" s="89">
        <v>0</v>
      </c>
      <c r="AA42" s="86">
        <f t="shared" si="10"/>
        <v>0</v>
      </c>
      <c r="AB42" s="86">
        <f t="shared" si="11"/>
        <v>0</v>
      </c>
      <c r="AD42" s="86">
        <v>12</v>
      </c>
      <c r="AE42" s="89">
        <v>0</v>
      </c>
      <c r="AF42" s="86">
        <f t="shared" si="12"/>
        <v>0</v>
      </c>
      <c r="AG42" s="86">
        <f t="shared" si="13"/>
        <v>0</v>
      </c>
    </row>
    <row r="43" spans="2:33" x14ac:dyDescent="0.3">
      <c r="M43" s="89">
        <v>1</v>
      </c>
      <c r="N43" s="86">
        <v>14</v>
      </c>
      <c r="O43" s="86">
        <f t="shared" si="7"/>
        <v>172</v>
      </c>
      <c r="P43" s="86">
        <f t="shared" si="8"/>
        <v>1</v>
      </c>
      <c r="Q43" s="86">
        <f>IF(AND($O$27&lt;O43,O43&lt;$P$27),(O43-$O$27)/($P$27-$O$27),IF(AND($P$27&lt;=O43,O43&lt;$Q$27),($Q$27-O43)/($Q$27-$P$27), IF(OR(O43&lt;=$O$27,O43&gt;=$Q$27),0,salah)))</f>
        <v>0</v>
      </c>
      <c r="R43" s="71">
        <f t="shared" si="9"/>
        <v>0</v>
      </c>
      <c r="T43" s="108">
        <v>3</v>
      </c>
      <c r="U43" s="27">
        <v>88</v>
      </c>
      <c r="V43" s="31">
        <f>IF(U43&lt;=$V$28,1,IF(AND($V$28&lt;U43,U43&lt;$W$28),($W$28-U43)/($W$28-$V$28),IF(U43&gt;=$W$28,0)))</f>
        <v>0</v>
      </c>
      <c r="W43" s="31">
        <f>IF(U43&lt;=$V$28,0,IF(AND($V$28&lt;U43,U43&lt;$W$28),(U43-$V$28)/($W$28-$V$28),IF(U43&gt;=$W$28,1)))</f>
        <v>1</v>
      </c>
      <c r="Y43" s="86">
        <v>13</v>
      </c>
      <c r="Z43" s="89">
        <v>1</v>
      </c>
      <c r="AA43" s="86">
        <f t="shared" si="10"/>
        <v>1</v>
      </c>
      <c r="AB43" s="86">
        <f t="shared" si="11"/>
        <v>1</v>
      </c>
      <c r="AD43" s="86">
        <v>13</v>
      </c>
      <c r="AE43" s="89">
        <v>1</v>
      </c>
      <c r="AF43" s="86">
        <f t="shared" si="12"/>
        <v>1</v>
      </c>
      <c r="AG43" s="86">
        <f t="shared" si="13"/>
        <v>1</v>
      </c>
    </row>
    <row r="44" spans="2:33" x14ac:dyDescent="0.3">
      <c r="M44" s="89">
        <v>1</v>
      </c>
      <c r="N44" s="86">
        <v>15</v>
      </c>
      <c r="O44" s="86">
        <f t="shared" si="7"/>
        <v>222</v>
      </c>
      <c r="P44" s="86">
        <f>IF(O44&lt;=$O$27,1,IF(AND($O$27&lt;O44,O44&lt;$P$27),($P$27-O44)/($P$27-$O$27),IF(O44&gt;=$O$27,0)))</f>
        <v>0</v>
      </c>
      <c r="Q44" s="86">
        <f>IF(AND($O$27&lt;O44,O44&lt;$P$27),(O44-$O$27)/($P$27-$O$27),IF(AND($P$27&lt;=O44,O44&lt;$Q$27),($Q$27-O44)/($Q$27-$P$27), IF(OR(O44&lt;=$O$27,O44&gt;=$Q$27),0,salah)))</f>
        <v>0.6333333333333333</v>
      </c>
      <c r="R44" s="71">
        <f t="shared" si="9"/>
        <v>0.36666666666666664</v>
      </c>
      <c r="T44" s="108">
        <v>1</v>
      </c>
      <c r="U44" s="24">
        <v>79</v>
      </c>
      <c r="V44" s="32">
        <f>IF(U44&lt;=$V$29,1,IF(AND($V$29&lt;U44,U44&lt;$W$29),($W$29-U44)/($W$29-$V$29),IF(U44&gt;=$W$29,0)))</f>
        <v>0.25</v>
      </c>
      <c r="W44" s="32">
        <f>IF(U44&lt;=$V$29,0,IF(AND($V$29&lt;U44,U44&lt;$W$29),(U44-$V$29)/($W$29-$V$29),IF(U44&gt;=$W$29,1)))</f>
        <v>0.75</v>
      </c>
      <c r="Y44" s="86">
        <v>14</v>
      </c>
      <c r="Z44" s="89">
        <v>1</v>
      </c>
      <c r="AA44" s="86">
        <f t="shared" si="10"/>
        <v>1</v>
      </c>
      <c r="AB44" s="86">
        <f t="shared" si="11"/>
        <v>1</v>
      </c>
      <c r="AD44" s="86">
        <v>14</v>
      </c>
      <c r="AE44" s="89">
        <v>1</v>
      </c>
      <c r="AF44" s="86">
        <f t="shared" si="12"/>
        <v>1</v>
      </c>
      <c r="AG44" s="86">
        <f t="shared" si="13"/>
        <v>1</v>
      </c>
    </row>
    <row r="45" spans="2:33" ht="15" thickBot="1" x14ac:dyDescent="0.35">
      <c r="O45" s="86" t="s">
        <v>64</v>
      </c>
      <c r="P45" s="88">
        <f>SUM(P30:P44)</f>
        <v>1.1333333333333333</v>
      </c>
      <c r="Q45" s="88">
        <f>SUM(Q30:Q44)</f>
        <v>7.5166666666666657</v>
      </c>
      <c r="R45" s="106">
        <f>SUM(R30:R44)</f>
        <v>6.3500000000000005</v>
      </c>
      <c r="T45" s="109">
        <v>1</v>
      </c>
      <c r="U45" s="28">
        <v>70</v>
      </c>
      <c r="V45" s="33">
        <f>IF(U45&lt;=$V$28,1,IF(AND($V$28&lt;U45,U45&lt;$W$28),($W$28-U45)/($W$28-$V$28),IF(U45&gt;=$W$28,0)))</f>
        <v>1</v>
      </c>
      <c r="W45" s="33">
        <f>IF(U45&lt;=$V$28,0,IF(AND($V$28&lt;U45,U45&lt;$W$28),(U45-$V$28)/($W$28-$V$28),IF(U45&gt;=$W$28,1)))</f>
        <v>0</v>
      </c>
      <c r="Y45" s="22">
        <v>15</v>
      </c>
      <c r="Z45" s="19">
        <v>1</v>
      </c>
      <c r="AA45" s="22">
        <f t="shared" si="10"/>
        <v>1</v>
      </c>
      <c r="AB45" s="22">
        <f t="shared" si="11"/>
        <v>1</v>
      </c>
      <c r="AD45" s="22">
        <v>15</v>
      </c>
      <c r="AE45" s="19">
        <v>1</v>
      </c>
      <c r="AF45" s="22">
        <f t="shared" si="12"/>
        <v>1</v>
      </c>
      <c r="AG45" s="22">
        <f t="shared" si="13"/>
        <v>1</v>
      </c>
    </row>
    <row r="46" spans="2:33" x14ac:dyDescent="0.3">
      <c r="T46" s="16"/>
      <c r="U46" s="89" t="s">
        <v>64</v>
      </c>
      <c r="V46" s="86">
        <f>SUM(V31:V45)</f>
        <v>2.833333333333333</v>
      </c>
      <c r="W46" s="86">
        <f>SUM(W31:W45)</f>
        <v>12.166666666666666</v>
      </c>
      <c r="Y46" s="16"/>
      <c r="Z46" s="23"/>
      <c r="AA46" s="16"/>
      <c r="AB46" s="16"/>
      <c r="AD46" s="16"/>
      <c r="AE46" s="23"/>
      <c r="AF46" s="16"/>
      <c r="AG46" s="16"/>
    </row>
    <row r="47" spans="2:33" x14ac:dyDescent="0.3">
      <c r="T47" s="80"/>
      <c r="U47" s="20"/>
      <c r="V47" s="80"/>
      <c r="W47" s="80"/>
      <c r="Y47" s="80"/>
      <c r="Z47" s="20"/>
      <c r="AA47" s="80"/>
      <c r="AB47" s="80"/>
      <c r="AD47" s="80"/>
      <c r="AE47" s="20"/>
      <c r="AF47" s="80"/>
      <c r="AG47" s="80"/>
    </row>
    <row r="48" spans="2:33" x14ac:dyDescent="0.3">
      <c r="T48" s="80"/>
      <c r="U48" s="20"/>
      <c r="V48" s="80"/>
      <c r="W48" s="80"/>
      <c r="Y48" s="80"/>
      <c r="Z48" s="20"/>
      <c r="AA48" s="80"/>
      <c r="AB48" s="80"/>
      <c r="AD48" s="80"/>
      <c r="AE48" s="20"/>
      <c r="AF48" s="80"/>
      <c r="AG48" s="80"/>
    </row>
    <row r="49" spans="1:35" x14ac:dyDescent="0.3">
      <c r="T49" s="80"/>
      <c r="U49" s="20"/>
      <c r="V49" s="80"/>
      <c r="W49" s="80"/>
      <c r="Y49" s="80"/>
      <c r="Z49" s="20"/>
      <c r="AA49" s="80"/>
      <c r="AB49" s="80"/>
      <c r="AD49" s="80"/>
      <c r="AE49" s="20"/>
      <c r="AF49" s="80"/>
      <c r="AG49" s="80"/>
    </row>
    <row r="50" spans="1:35" x14ac:dyDescent="0.3">
      <c r="T50" s="80"/>
      <c r="U50" s="20"/>
      <c r="V50" s="80"/>
      <c r="W50" s="80"/>
      <c r="Y50" s="80"/>
      <c r="Z50" s="20"/>
      <c r="AA50" s="80"/>
      <c r="AB50" s="80"/>
      <c r="AD50" s="80"/>
      <c r="AE50" s="20"/>
      <c r="AF50" s="80"/>
      <c r="AG50" s="80"/>
    </row>
    <row r="51" spans="1:35" x14ac:dyDescent="0.3">
      <c r="B51" s="84" t="s">
        <v>44</v>
      </c>
      <c r="J51" s="84" t="s">
        <v>45</v>
      </c>
    </row>
    <row r="52" spans="1:35" x14ac:dyDescent="0.3">
      <c r="M52" s="84" t="s">
        <v>131</v>
      </c>
    </row>
    <row r="53" spans="1:35" x14ac:dyDescent="0.3">
      <c r="T53" s="80"/>
      <c r="U53" s="80" t="s">
        <v>10</v>
      </c>
      <c r="V53" s="80" t="s">
        <v>44</v>
      </c>
      <c r="W53" s="80" t="s">
        <v>47</v>
      </c>
      <c r="Z53" s="20" t="s">
        <v>27</v>
      </c>
      <c r="AA53" s="84">
        <v>1</v>
      </c>
      <c r="AB53" s="84">
        <v>0</v>
      </c>
      <c r="AF53" s="89" t="s">
        <v>34</v>
      </c>
      <c r="AG53" s="89" t="s">
        <v>29</v>
      </c>
      <c r="AH53" s="89" t="s">
        <v>38</v>
      </c>
    </row>
    <row r="54" spans="1:35" x14ac:dyDescent="0.3">
      <c r="A54" s="48" t="s">
        <v>77</v>
      </c>
      <c r="B54" s="87" t="s">
        <v>126</v>
      </c>
      <c r="C54" s="87" t="s">
        <v>79</v>
      </c>
      <c r="E54" s="68"/>
      <c r="F54" s="68"/>
      <c r="G54" s="68"/>
      <c r="I54" s="67" t="s">
        <v>77</v>
      </c>
      <c r="J54" s="67" t="s">
        <v>181</v>
      </c>
      <c r="K54" s="67" t="s">
        <v>79</v>
      </c>
      <c r="M54" s="46" t="s">
        <v>98</v>
      </c>
      <c r="N54" s="47"/>
      <c r="T54" s="80"/>
      <c r="U54" s="80"/>
      <c r="V54" s="80">
        <v>17</v>
      </c>
      <c r="W54" s="80">
        <v>27</v>
      </c>
      <c r="Z54" s="20" t="s">
        <v>32</v>
      </c>
      <c r="AA54" s="84">
        <v>0</v>
      </c>
      <c r="AB54" s="84">
        <v>1</v>
      </c>
      <c r="AE54" s="84" t="s">
        <v>75</v>
      </c>
    </row>
    <row r="55" spans="1:35" x14ac:dyDescent="0.3">
      <c r="A55" s="86">
        <v>1</v>
      </c>
      <c r="B55" s="86">
        <v>0.34010689149008222</v>
      </c>
      <c r="C55" s="89">
        <v>2</v>
      </c>
      <c r="E55" s="80"/>
      <c r="F55" s="80"/>
      <c r="G55" s="20"/>
      <c r="I55" s="86">
        <v>1</v>
      </c>
      <c r="J55" s="71">
        <v>0.25</v>
      </c>
      <c r="K55" s="89">
        <v>2</v>
      </c>
      <c r="M55" s="84" t="s">
        <v>81</v>
      </c>
      <c r="O55" s="84" t="s">
        <v>85</v>
      </c>
      <c r="S55" s="86" t="s">
        <v>79</v>
      </c>
      <c r="T55" s="86" t="s">
        <v>46</v>
      </c>
      <c r="U55" s="86" t="s">
        <v>10</v>
      </c>
      <c r="V55" s="86" t="s">
        <v>44</v>
      </c>
      <c r="W55" s="86" t="s">
        <v>47</v>
      </c>
      <c r="Y55" s="86" t="s">
        <v>46</v>
      </c>
      <c r="Z55" s="86" t="s">
        <v>13</v>
      </c>
      <c r="AA55" s="89" t="s">
        <v>27</v>
      </c>
      <c r="AB55" s="89" t="s">
        <v>32</v>
      </c>
      <c r="AD55" s="86" t="s">
        <v>46</v>
      </c>
      <c r="AE55" s="86" t="s">
        <v>66</v>
      </c>
      <c r="AF55" s="89" t="s">
        <v>75</v>
      </c>
      <c r="AG55" s="89" t="s">
        <v>34</v>
      </c>
      <c r="AH55" s="89" t="s">
        <v>29</v>
      </c>
      <c r="AI55" s="89" t="s">
        <v>38</v>
      </c>
    </row>
    <row r="56" spans="1:35" x14ac:dyDescent="0.3">
      <c r="A56" s="86">
        <v>3</v>
      </c>
      <c r="B56" s="86">
        <v>1.5907197052760579E-2</v>
      </c>
      <c r="C56" s="89">
        <v>1</v>
      </c>
      <c r="E56" s="80"/>
      <c r="F56" s="80"/>
      <c r="G56" s="20"/>
      <c r="I56" s="86">
        <v>2</v>
      </c>
      <c r="J56" s="71">
        <v>1</v>
      </c>
      <c r="K56" s="89">
        <v>3</v>
      </c>
      <c r="M56" s="90" t="s">
        <v>82</v>
      </c>
      <c r="N56" s="90">
        <f>SUM(B56:B57,B63:B64)</f>
        <v>1.5350077201356676</v>
      </c>
      <c r="O56" s="90">
        <f>((N56)/(N56+N57+N58))*(100)</f>
        <v>37.714570189165585</v>
      </c>
      <c r="P56" s="90"/>
      <c r="S56" s="89">
        <v>2</v>
      </c>
      <c r="T56" s="86">
        <v>1</v>
      </c>
      <c r="U56" s="4">
        <f>H8/(G8*G8)</f>
        <v>23.598931085099178</v>
      </c>
      <c r="V56" s="86">
        <f>IF(U56&lt;=$V$54,1,IF(AND($V$54&lt;U56,U56&lt;$W$54),($W$54-U56)/($W$54-$V$54),IF(U56&gt;=$W$54,0)))</f>
        <v>0.34010689149008222</v>
      </c>
      <c r="W56" s="86">
        <f>IF(U56&lt;=$V$54,0,IF(AND($V$54&lt;U56,U56&lt;$W$54),(U56-$V$54)/($W$54-$V$54),IF(U56&gt;=$W$54,1)))</f>
        <v>0.65989310850991778</v>
      </c>
      <c r="Y56" s="86">
        <v>1</v>
      </c>
      <c r="Z56" s="89">
        <v>1</v>
      </c>
      <c r="AA56" s="86">
        <f>($AB$53-Z56)/($AB$53-$AA$53)</f>
        <v>1</v>
      </c>
      <c r="AB56" s="86">
        <f>(Z56-$AA$54)/($AB$54-$AA$54)</f>
        <v>1</v>
      </c>
      <c r="AD56" s="86">
        <v>1</v>
      </c>
      <c r="AE56" s="89" t="s">
        <v>30</v>
      </c>
      <c r="AF56" s="89" t="s">
        <v>29</v>
      </c>
      <c r="AG56" s="86"/>
      <c r="AH56" s="86"/>
      <c r="AI56" s="86"/>
    </row>
    <row r="57" spans="1:35" x14ac:dyDescent="0.3">
      <c r="A57" s="86">
        <v>5</v>
      </c>
      <c r="B57" s="86">
        <v>0.34027021955338699</v>
      </c>
      <c r="C57" s="89">
        <v>1</v>
      </c>
      <c r="E57" s="80"/>
      <c r="F57" s="80"/>
      <c r="G57" s="20"/>
      <c r="I57" s="86">
        <v>3</v>
      </c>
      <c r="J57" s="71">
        <v>0.15</v>
      </c>
      <c r="K57" s="89">
        <v>1</v>
      </c>
      <c r="M57" s="84" t="s">
        <v>83</v>
      </c>
      <c r="N57" s="84">
        <f>SUM(B55,B60:B61)</f>
        <v>1.7067660739616379</v>
      </c>
      <c r="O57" s="84">
        <f>((N57)/(N56+N57+N58))*(100)</f>
        <v>41.934609219570319</v>
      </c>
      <c r="S57" s="89">
        <v>3</v>
      </c>
      <c r="T57" s="86">
        <v>2</v>
      </c>
      <c r="U57" s="4">
        <f t="shared" ref="U57:U70" si="14">H9/(G9*G9)</f>
        <v>27.174526704053598</v>
      </c>
      <c r="V57" s="86">
        <f t="shared" ref="V57:V70" si="15">IF(U57&lt;=$V$54,1,IF(AND($V$54&lt;U57,U57&lt;$W$54),($W$54-U57)/($W$54-$V$54),IF(U57&gt;=$W$54,0)))</f>
        <v>0</v>
      </c>
      <c r="W57" s="86">
        <f t="shared" ref="W57:W70" si="16">IF(U57&lt;=$V$54,0,IF(AND($V$54&lt;U57,U57&lt;$W$54),(U57-$V$54)/($W$54-$V$54),IF(U57&gt;=$W$54,1)))</f>
        <v>1</v>
      </c>
      <c r="Y57" s="86">
        <v>2</v>
      </c>
      <c r="Z57" s="89">
        <v>0</v>
      </c>
      <c r="AA57" s="86">
        <f t="shared" ref="AA57:AA70" si="17">($AB$53-Z57)/($AB$53-$AA$53)</f>
        <v>0</v>
      </c>
      <c r="AB57" s="86">
        <f t="shared" ref="AB57:AB70" si="18">(Z57-$AA$54)/($AB$54-$AA$54)</f>
        <v>0</v>
      </c>
      <c r="AD57" s="86">
        <v>2</v>
      </c>
      <c r="AE57" s="89" t="s">
        <v>35</v>
      </c>
      <c r="AF57" s="89" t="s">
        <v>34</v>
      </c>
      <c r="AG57" s="86"/>
      <c r="AH57" s="86"/>
      <c r="AI57" s="86"/>
    </row>
    <row r="58" spans="1:35" x14ac:dyDescent="0.3">
      <c r="A58" s="86">
        <v>7</v>
      </c>
      <c r="B58" s="86">
        <v>8.6587771203155833E-2</v>
      </c>
      <c r="C58" s="89">
        <v>3</v>
      </c>
      <c r="E58" s="80"/>
      <c r="F58" s="80"/>
      <c r="G58" s="20"/>
      <c r="I58" s="86">
        <v>4</v>
      </c>
      <c r="J58" s="71">
        <v>0.05</v>
      </c>
      <c r="K58" s="89">
        <v>1</v>
      </c>
      <c r="M58" s="84" t="s">
        <v>84</v>
      </c>
      <c r="N58" s="84">
        <f>SUM(B58:B59,B62)</f>
        <v>0.82829173346009277</v>
      </c>
      <c r="O58" s="84">
        <f>((N58)/(N56+N57+N58))*(100)</f>
        <v>20.3508205912641</v>
      </c>
      <c r="S58" s="89">
        <v>1</v>
      </c>
      <c r="T58" s="86">
        <v>3</v>
      </c>
      <c r="U58" s="4">
        <f t="shared" si="14"/>
        <v>26.840928029472394</v>
      </c>
      <c r="V58" s="86">
        <f>IF(U58&lt;=$V$54,1,IF(AND($V$54&lt;U58,U58&lt;$W$54),($W$54-U58)/($W$54-$V$54),IF(U58&gt;=$W$54,0)))</f>
        <v>1.5907197052760579E-2</v>
      </c>
      <c r="W58" s="86">
        <f t="shared" si="16"/>
        <v>0.98409280294723944</v>
      </c>
      <c r="Y58" s="86">
        <v>3</v>
      </c>
      <c r="Z58" s="89">
        <v>1</v>
      </c>
      <c r="AA58" s="86">
        <f t="shared" si="17"/>
        <v>1</v>
      </c>
      <c r="AB58" s="86">
        <f t="shared" si="18"/>
        <v>1</v>
      </c>
      <c r="AD58" s="86">
        <v>3</v>
      </c>
      <c r="AE58" s="89" t="s">
        <v>36</v>
      </c>
      <c r="AF58" s="89" t="s">
        <v>34</v>
      </c>
      <c r="AG58" s="86"/>
      <c r="AH58" s="86"/>
      <c r="AI58" s="86"/>
    </row>
    <row r="59" spans="1:35" x14ac:dyDescent="0.3">
      <c r="A59" s="86">
        <v>8</v>
      </c>
      <c r="B59" s="86">
        <v>5.9381781684027857E-2</v>
      </c>
      <c r="C59" s="89">
        <v>3</v>
      </c>
      <c r="E59" s="80"/>
      <c r="F59" s="80"/>
      <c r="G59" s="20"/>
      <c r="I59" s="86">
        <v>6</v>
      </c>
      <c r="J59" s="71">
        <v>8.3333333333333329E-2</v>
      </c>
      <c r="K59" s="89">
        <v>2</v>
      </c>
      <c r="S59" s="89">
        <v>1</v>
      </c>
      <c r="T59" s="86">
        <v>4</v>
      </c>
      <c r="U59" s="4">
        <f t="shared" si="14"/>
        <v>32.456398197138938</v>
      </c>
      <c r="V59" s="86">
        <f t="shared" si="15"/>
        <v>0</v>
      </c>
      <c r="W59" s="86">
        <f t="shared" si="16"/>
        <v>1</v>
      </c>
      <c r="Y59" s="86">
        <v>4</v>
      </c>
      <c r="Z59" s="89">
        <v>0</v>
      </c>
      <c r="AA59" s="86">
        <f t="shared" si="17"/>
        <v>0</v>
      </c>
      <c r="AB59" s="86">
        <f t="shared" si="18"/>
        <v>0</v>
      </c>
      <c r="AD59" s="86">
        <v>4</v>
      </c>
      <c r="AE59" s="89" t="s">
        <v>36</v>
      </c>
      <c r="AF59" s="89" t="s">
        <v>34</v>
      </c>
      <c r="AG59" s="86"/>
      <c r="AH59" s="86"/>
      <c r="AI59" s="86"/>
    </row>
    <row r="60" spans="1:35" x14ac:dyDescent="0.3">
      <c r="A60" s="86">
        <v>10</v>
      </c>
      <c r="B60" s="86">
        <v>0.61050988553590035</v>
      </c>
      <c r="C60" s="89">
        <v>2</v>
      </c>
      <c r="E60" s="80"/>
      <c r="F60" s="80"/>
      <c r="G60" s="20"/>
      <c r="I60" s="86">
        <v>7</v>
      </c>
      <c r="J60" s="71">
        <v>0.11666666666666667</v>
      </c>
      <c r="K60" s="89">
        <v>3</v>
      </c>
      <c r="M60" s="84" t="s">
        <v>109</v>
      </c>
      <c r="S60" s="89">
        <v>1</v>
      </c>
      <c r="T60" s="86">
        <v>5</v>
      </c>
      <c r="U60" s="4">
        <f t="shared" si="14"/>
        <v>23.59729780446613</v>
      </c>
      <c r="V60" s="86">
        <f t="shared" si="15"/>
        <v>0.34027021955338699</v>
      </c>
      <c r="W60" s="86">
        <f t="shared" si="16"/>
        <v>0.65972978044661301</v>
      </c>
      <c r="Y60" s="86">
        <v>5</v>
      </c>
      <c r="Z60" s="89">
        <v>1</v>
      </c>
      <c r="AA60" s="86">
        <f t="shared" si="17"/>
        <v>1</v>
      </c>
      <c r="AB60" s="86">
        <f t="shared" si="18"/>
        <v>1</v>
      </c>
      <c r="AD60" s="86">
        <v>5</v>
      </c>
      <c r="AE60" s="89" t="s">
        <v>36</v>
      </c>
      <c r="AF60" s="89" t="s">
        <v>34</v>
      </c>
      <c r="AG60" s="86"/>
      <c r="AH60" s="86"/>
      <c r="AI60" s="86"/>
    </row>
    <row r="61" spans="1:35" x14ac:dyDescent="0.3">
      <c r="A61" s="86">
        <v>11</v>
      </c>
      <c r="B61" s="86">
        <v>0.75614929693565536</v>
      </c>
      <c r="C61" s="89">
        <v>2</v>
      </c>
      <c r="E61" s="80"/>
      <c r="F61" s="80"/>
      <c r="G61" s="20"/>
      <c r="I61" s="86">
        <v>8</v>
      </c>
      <c r="J61" s="71">
        <v>1</v>
      </c>
      <c r="K61" s="89">
        <v>3</v>
      </c>
      <c r="M61" s="84" t="s">
        <v>81</v>
      </c>
      <c r="O61" s="84" t="s">
        <v>85</v>
      </c>
      <c r="S61" s="89">
        <v>2</v>
      </c>
      <c r="T61" s="86">
        <v>6</v>
      </c>
      <c r="U61" s="4">
        <f t="shared" si="14"/>
        <v>31.301350186727948</v>
      </c>
      <c r="V61" s="86">
        <f t="shared" si="15"/>
        <v>0</v>
      </c>
      <c r="W61" s="86">
        <f t="shared" si="16"/>
        <v>1</v>
      </c>
      <c r="Y61" s="86">
        <v>6</v>
      </c>
      <c r="Z61" s="89">
        <v>0</v>
      </c>
      <c r="AA61" s="86">
        <f t="shared" si="17"/>
        <v>0</v>
      </c>
      <c r="AB61" s="86">
        <f t="shared" si="18"/>
        <v>0</v>
      </c>
      <c r="AD61" s="86">
        <v>6</v>
      </c>
      <c r="AE61" s="89" t="s">
        <v>30</v>
      </c>
      <c r="AF61" s="89" t="s">
        <v>29</v>
      </c>
      <c r="AG61" s="86"/>
      <c r="AH61" s="86"/>
      <c r="AI61" s="86"/>
    </row>
    <row r="62" spans="1:35" x14ac:dyDescent="0.3">
      <c r="A62" s="86">
        <v>13</v>
      </c>
      <c r="B62" s="86">
        <v>0.68232218057290905</v>
      </c>
      <c r="C62" s="89">
        <v>3</v>
      </c>
      <c r="E62" s="80"/>
      <c r="F62" s="80"/>
      <c r="G62" s="20"/>
      <c r="I62" s="86">
        <v>9</v>
      </c>
      <c r="J62" s="71">
        <v>0.83333333333333337</v>
      </c>
      <c r="K62" s="89">
        <v>3</v>
      </c>
      <c r="M62" s="84" t="s">
        <v>82</v>
      </c>
      <c r="N62" s="84">
        <f>SUM(J57:J58,J67)</f>
        <v>0.56666666666666665</v>
      </c>
      <c r="O62" s="84">
        <f>((N62)/(N62+N63+N64))*(100)</f>
        <v>8.9238845144356951</v>
      </c>
      <c r="S62" s="89">
        <v>3</v>
      </c>
      <c r="T62" s="86">
        <v>7</v>
      </c>
      <c r="U62" s="4">
        <f t="shared" si="14"/>
        <v>26.134122287968442</v>
      </c>
      <c r="V62" s="86">
        <f t="shared" si="15"/>
        <v>8.6587771203155833E-2</v>
      </c>
      <c r="W62" s="86">
        <f t="shared" si="16"/>
        <v>0.91341222879684414</v>
      </c>
      <c r="Y62" s="86">
        <v>7</v>
      </c>
      <c r="Z62" s="89">
        <v>1</v>
      </c>
      <c r="AA62" s="86">
        <f t="shared" si="17"/>
        <v>1</v>
      </c>
      <c r="AB62" s="86">
        <f t="shared" si="18"/>
        <v>1</v>
      </c>
      <c r="AD62" s="86">
        <v>7</v>
      </c>
      <c r="AE62" s="89" t="s">
        <v>35</v>
      </c>
      <c r="AF62" s="89" t="s">
        <v>38</v>
      </c>
      <c r="AG62" s="86"/>
      <c r="AH62" s="86"/>
      <c r="AI62" s="86"/>
    </row>
    <row r="63" spans="1:35" x14ac:dyDescent="0.3">
      <c r="A63" s="86">
        <v>14</v>
      </c>
      <c r="B63" s="86">
        <v>0.35261977247236054</v>
      </c>
      <c r="C63" s="89">
        <v>1</v>
      </c>
      <c r="E63" s="80"/>
      <c r="F63" s="80"/>
      <c r="G63" s="20"/>
      <c r="I63" s="86">
        <v>10</v>
      </c>
      <c r="J63" s="71">
        <v>0.93333333333333335</v>
      </c>
      <c r="K63" s="89">
        <v>2</v>
      </c>
      <c r="M63" s="84" t="s">
        <v>83</v>
      </c>
      <c r="N63" s="84">
        <f>SUM(J55,J59,J63:J65)</f>
        <v>1.8333333333333333</v>
      </c>
      <c r="O63" s="84">
        <f>((N63)/(N62+N63+N64))*(100)</f>
        <v>28.871391076115486</v>
      </c>
      <c r="S63" s="89">
        <v>3</v>
      </c>
      <c r="T63" s="86">
        <v>8</v>
      </c>
      <c r="U63" s="4">
        <f t="shared" si="14"/>
        <v>26.406182183159721</v>
      </c>
      <c r="V63" s="86">
        <f t="shared" si="15"/>
        <v>5.9381781684027857E-2</v>
      </c>
      <c r="W63" s="86">
        <f t="shared" si="16"/>
        <v>0.94061821831597214</v>
      </c>
      <c r="Y63" s="86">
        <v>8</v>
      </c>
      <c r="Z63" s="89">
        <v>1</v>
      </c>
      <c r="AA63" s="86">
        <f t="shared" si="17"/>
        <v>1</v>
      </c>
      <c r="AB63" s="86">
        <f t="shared" si="18"/>
        <v>1</v>
      </c>
      <c r="AD63" s="86">
        <v>8</v>
      </c>
      <c r="AE63" s="89" t="s">
        <v>35</v>
      </c>
      <c r="AF63" s="89" t="s">
        <v>38</v>
      </c>
      <c r="AG63" s="86"/>
      <c r="AH63" s="86"/>
      <c r="AI63" s="86"/>
    </row>
    <row r="64" spans="1:35" x14ac:dyDescent="0.3">
      <c r="A64" s="86">
        <v>15</v>
      </c>
      <c r="B64" s="86">
        <v>0.82621053105715947</v>
      </c>
      <c r="C64" s="89">
        <v>1</v>
      </c>
      <c r="E64" s="80"/>
      <c r="F64" s="80"/>
      <c r="G64" s="20"/>
      <c r="I64" s="86">
        <v>11</v>
      </c>
      <c r="J64" s="71">
        <v>0.15</v>
      </c>
      <c r="K64" s="89">
        <v>2</v>
      </c>
      <c r="M64" s="101" t="s">
        <v>84</v>
      </c>
      <c r="N64" s="101">
        <f>SUM(J56,J60:J62,J66)</f>
        <v>3.95</v>
      </c>
      <c r="O64" s="101">
        <f>((N64)/($N$62+$N$63+$N$64))*(100)</f>
        <v>62.204724409448829</v>
      </c>
      <c r="P64" s="84" t="s">
        <v>182</v>
      </c>
      <c r="S64" s="89">
        <v>3</v>
      </c>
      <c r="T64" s="86">
        <v>9</v>
      </c>
      <c r="U64" s="4">
        <f t="shared" si="14"/>
        <v>36.892361111111114</v>
      </c>
      <c r="V64" s="86">
        <f t="shared" si="15"/>
        <v>0</v>
      </c>
      <c r="W64" s="86">
        <f t="shared" si="16"/>
        <v>1</v>
      </c>
      <c r="Y64" s="86">
        <v>9</v>
      </c>
      <c r="Z64" s="89">
        <v>0</v>
      </c>
      <c r="AA64" s="86">
        <f t="shared" si="17"/>
        <v>0</v>
      </c>
      <c r="AB64" s="86">
        <f t="shared" si="18"/>
        <v>0</v>
      </c>
      <c r="AD64" s="86">
        <v>9</v>
      </c>
      <c r="AE64" s="89" t="s">
        <v>35</v>
      </c>
      <c r="AF64" s="89" t="s">
        <v>34</v>
      </c>
      <c r="AG64" s="86"/>
      <c r="AH64" s="86"/>
      <c r="AI64" s="86"/>
    </row>
    <row r="65" spans="5:35" x14ac:dyDescent="0.3">
      <c r="E65" s="80"/>
      <c r="F65" s="80"/>
      <c r="G65" s="20"/>
      <c r="I65" s="86">
        <v>12</v>
      </c>
      <c r="J65" s="71">
        <v>0.41666666666666669</v>
      </c>
      <c r="K65" s="89">
        <v>2</v>
      </c>
      <c r="S65" s="89">
        <v>2</v>
      </c>
      <c r="T65" s="86">
        <v>10</v>
      </c>
      <c r="U65" s="4">
        <f t="shared" si="14"/>
        <v>20.894901144640997</v>
      </c>
      <c r="V65" s="86">
        <f t="shared" si="15"/>
        <v>0.61050988553590035</v>
      </c>
      <c r="W65" s="86">
        <f t="shared" si="16"/>
        <v>0.3894901144640997</v>
      </c>
      <c r="Y65" s="86">
        <v>10</v>
      </c>
      <c r="Z65" s="89">
        <v>1</v>
      </c>
      <c r="AA65" s="86">
        <f t="shared" si="17"/>
        <v>1</v>
      </c>
      <c r="AB65" s="86">
        <f t="shared" si="18"/>
        <v>1</v>
      </c>
      <c r="AD65" s="86">
        <v>10</v>
      </c>
      <c r="AE65" s="89" t="s">
        <v>30</v>
      </c>
      <c r="AF65" s="89" t="s">
        <v>29</v>
      </c>
      <c r="AG65" s="86"/>
      <c r="AH65" s="86"/>
      <c r="AI65" s="86"/>
    </row>
    <row r="66" spans="5:35" x14ac:dyDescent="0.3">
      <c r="I66" s="86">
        <v>13</v>
      </c>
      <c r="J66" s="71">
        <v>1</v>
      </c>
      <c r="K66" s="89">
        <v>3</v>
      </c>
      <c r="M66" s="90"/>
      <c r="N66" s="90"/>
      <c r="O66" s="90"/>
      <c r="P66" s="90"/>
      <c r="Q66" s="90"/>
      <c r="S66" s="89">
        <v>2</v>
      </c>
      <c r="T66" s="86">
        <v>11</v>
      </c>
      <c r="U66" s="4">
        <f t="shared" si="14"/>
        <v>19.438507030643446</v>
      </c>
      <c r="V66" s="86">
        <f t="shared" si="15"/>
        <v>0.75614929693565536</v>
      </c>
      <c r="W66" s="86">
        <f t="shared" si="16"/>
        <v>0.24385070306434464</v>
      </c>
      <c r="Y66" s="86">
        <v>11</v>
      </c>
      <c r="Z66" s="89">
        <v>1</v>
      </c>
      <c r="AA66" s="86">
        <f t="shared" si="17"/>
        <v>1</v>
      </c>
      <c r="AB66" s="86">
        <f t="shared" si="18"/>
        <v>1</v>
      </c>
      <c r="AD66" s="86">
        <v>11</v>
      </c>
      <c r="AE66" s="89" t="s">
        <v>30</v>
      </c>
      <c r="AF66" s="89" t="s">
        <v>34</v>
      </c>
      <c r="AG66" s="86"/>
      <c r="AH66" s="86"/>
      <c r="AI66" s="86"/>
    </row>
    <row r="67" spans="5:35" x14ac:dyDescent="0.3">
      <c r="I67" s="86">
        <v>15</v>
      </c>
      <c r="J67" s="71">
        <v>0.36666666666666664</v>
      </c>
      <c r="K67" s="89">
        <v>1</v>
      </c>
      <c r="M67" s="90"/>
      <c r="N67" s="90"/>
      <c r="O67" s="90"/>
      <c r="P67" s="90"/>
      <c r="Q67" s="90"/>
      <c r="S67" s="89">
        <v>2</v>
      </c>
      <c r="T67" s="86">
        <v>12</v>
      </c>
      <c r="U67" s="4">
        <f t="shared" si="14"/>
        <v>29.453124999999996</v>
      </c>
      <c r="V67" s="86">
        <f t="shared" si="15"/>
        <v>0</v>
      </c>
      <c r="W67" s="86">
        <f t="shared" si="16"/>
        <v>1</v>
      </c>
      <c r="Y67" s="86">
        <v>12</v>
      </c>
      <c r="Z67" s="89">
        <v>1</v>
      </c>
      <c r="AA67" s="86">
        <f t="shared" si="17"/>
        <v>1</v>
      </c>
      <c r="AB67" s="86">
        <f t="shared" si="18"/>
        <v>1</v>
      </c>
      <c r="AD67" s="86">
        <v>12</v>
      </c>
      <c r="AE67" s="89" t="s">
        <v>30</v>
      </c>
      <c r="AF67" s="89" t="s">
        <v>34</v>
      </c>
      <c r="AG67" s="86"/>
      <c r="AH67" s="86"/>
      <c r="AI67" s="86"/>
    </row>
    <row r="68" spans="5:35" x14ac:dyDescent="0.3">
      <c r="M68" s="90"/>
      <c r="N68" s="90"/>
      <c r="O68" s="90"/>
      <c r="P68" s="90"/>
      <c r="Q68" s="90"/>
      <c r="S68" s="89">
        <v>3</v>
      </c>
      <c r="T68" s="86">
        <v>13</v>
      </c>
      <c r="U68" s="4">
        <f t="shared" si="14"/>
        <v>20.176778194270909</v>
      </c>
      <c r="V68" s="86">
        <f t="shared" si="15"/>
        <v>0.68232218057290905</v>
      </c>
      <c r="W68" s="86">
        <f t="shared" si="16"/>
        <v>0.31767781942709095</v>
      </c>
      <c r="Y68" s="86">
        <v>13</v>
      </c>
      <c r="Z68" s="89">
        <v>1</v>
      </c>
      <c r="AA68" s="86">
        <f t="shared" si="17"/>
        <v>1</v>
      </c>
      <c r="AB68" s="86">
        <f t="shared" si="18"/>
        <v>1</v>
      </c>
      <c r="AD68" s="86">
        <v>13</v>
      </c>
      <c r="AE68" s="89" t="s">
        <v>35</v>
      </c>
      <c r="AF68" s="89" t="s">
        <v>38</v>
      </c>
      <c r="AG68" s="86"/>
      <c r="AH68" s="86"/>
      <c r="AI68" s="86"/>
    </row>
    <row r="69" spans="5:35" x14ac:dyDescent="0.3">
      <c r="M69" s="90"/>
      <c r="N69" s="90"/>
      <c r="O69" s="90"/>
      <c r="P69" s="90"/>
      <c r="Q69" s="90"/>
      <c r="S69" s="89">
        <v>1</v>
      </c>
      <c r="T69" s="86">
        <v>14</v>
      </c>
      <c r="U69" s="4">
        <f t="shared" si="14"/>
        <v>23.473802275276395</v>
      </c>
      <c r="V69" s="86">
        <f t="shared" si="15"/>
        <v>0.35261977247236054</v>
      </c>
      <c r="W69" s="86">
        <f t="shared" si="16"/>
        <v>0.64738022752763946</v>
      </c>
      <c r="Y69" s="86">
        <v>14</v>
      </c>
      <c r="Z69" s="89">
        <v>1</v>
      </c>
      <c r="AA69" s="86">
        <f t="shared" si="17"/>
        <v>1</v>
      </c>
      <c r="AB69" s="86">
        <f t="shared" si="18"/>
        <v>1</v>
      </c>
      <c r="AD69" s="86">
        <v>14</v>
      </c>
      <c r="AE69" s="89" t="s">
        <v>36</v>
      </c>
      <c r="AF69" s="89" t="s">
        <v>29</v>
      </c>
      <c r="AG69" s="86"/>
      <c r="AH69" s="86"/>
      <c r="AI69" s="86"/>
    </row>
    <row r="70" spans="5:35" x14ac:dyDescent="0.3">
      <c r="M70" s="90"/>
      <c r="N70" s="90"/>
      <c r="O70" s="90"/>
      <c r="P70" s="90"/>
      <c r="Q70" s="90"/>
      <c r="S70" s="89">
        <v>1</v>
      </c>
      <c r="T70" s="22">
        <v>15</v>
      </c>
      <c r="U70" s="34">
        <f t="shared" si="14"/>
        <v>18.737894689428405</v>
      </c>
      <c r="V70" s="86">
        <f t="shared" si="15"/>
        <v>0.82621053105715947</v>
      </c>
      <c r="W70" s="86">
        <f t="shared" si="16"/>
        <v>0.17378946894284047</v>
      </c>
      <c r="Y70" s="22">
        <v>15</v>
      </c>
      <c r="Z70" s="19">
        <v>1</v>
      </c>
      <c r="AA70" s="22">
        <f t="shared" si="17"/>
        <v>1</v>
      </c>
      <c r="AB70" s="22">
        <f t="shared" si="18"/>
        <v>1</v>
      </c>
      <c r="AD70" s="86">
        <v>15</v>
      </c>
      <c r="AE70" s="89" t="s">
        <v>36</v>
      </c>
      <c r="AF70" s="89" t="s">
        <v>34</v>
      </c>
      <c r="AG70" s="86"/>
      <c r="AH70" s="86"/>
      <c r="AI70" s="86"/>
    </row>
    <row r="71" spans="5:35" x14ac:dyDescent="0.3">
      <c r="T71" s="16"/>
      <c r="U71" s="34" t="s">
        <v>64</v>
      </c>
      <c r="V71" s="22">
        <f>SUM(V56:V70)</f>
        <v>4.0700655275573983</v>
      </c>
      <c r="W71" s="22">
        <f>SUM(W56:W70)</f>
        <v>10.929934472442602</v>
      </c>
      <c r="Y71" s="16"/>
      <c r="Z71" s="23"/>
      <c r="AA71" s="16"/>
      <c r="AB71" s="16"/>
      <c r="AD71" s="42"/>
      <c r="AE71" s="21"/>
    </row>
    <row r="72" spans="5:35" x14ac:dyDescent="0.3">
      <c r="T72" s="80"/>
      <c r="U72" s="35"/>
      <c r="V72" s="80"/>
      <c r="W72" s="80"/>
      <c r="Y72" s="80"/>
      <c r="Z72" s="20"/>
      <c r="AA72" s="80"/>
      <c r="AB72" s="80"/>
      <c r="AD72" s="80"/>
      <c r="AE72" s="20"/>
    </row>
    <row r="73" spans="5:35" x14ac:dyDescent="0.3">
      <c r="T73" s="80"/>
      <c r="U73" s="35"/>
      <c r="V73" s="80"/>
      <c r="W73" s="80"/>
      <c r="Y73" s="80"/>
      <c r="Z73" s="20"/>
      <c r="AA73" s="80"/>
      <c r="AB73" s="80"/>
      <c r="AD73" s="80"/>
      <c r="AE73" s="20"/>
    </row>
    <row r="74" spans="5:35" x14ac:dyDescent="0.3">
      <c r="T74" s="80"/>
      <c r="U74" s="35"/>
      <c r="V74" s="80"/>
      <c r="W74" s="80"/>
      <c r="Y74" s="80"/>
      <c r="Z74" s="20"/>
      <c r="AA74" s="80"/>
      <c r="AB74" s="80"/>
      <c r="AD74" s="80"/>
      <c r="AE74" s="20"/>
    </row>
    <row r="75" spans="5:35" x14ac:dyDescent="0.3">
      <c r="T75" s="80"/>
      <c r="U75" s="35"/>
      <c r="V75" s="80"/>
      <c r="W75" s="80"/>
      <c r="Y75" s="80"/>
      <c r="Z75" s="20"/>
      <c r="AA75" s="80"/>
      <c r="AB75" s="80"/>
      <c r="AD75" s="80"/>
      <c r="AE75" s="20"/>
    </row>
    <row r="76" spans="5:35" x14ac:dyDescent="0.3">
      <c r="T76" s="80"/>
      <c r="U76" s="35"/>
      <c r="V76" s="80"/>
      <c r="W76" s="80"/>
      <c r="Y76" s="80"/>
      <c r="Z76" s="20"/>
      <c r="AA76" s="80"/>
      <c r="AB76" s="80"/>
      <c r="AD76" s="80"/>
      <c r="AE76" s="20"/>
    </row>
    <row r="77" spans="5:35" x14ac:dyDescent="0.3">
      <c r="T77" s="80"/>
      <c r="U77" s="35"/>
      <c r="V77" s="80"/>
      <c r="W77" s="80"/>
      <c r="Y77" s="80"/>
      <c r="Z77" s="20"/>
      <c r="AA77" s="80"/>
      <c r="AB77" s="80"/>
      <c r="AD77" s="80"/>
      <c r="AE77" s="20"/>
    </row>
    <row r="78" spans="5:35" x14ac:dyDescent="0.3">
      <c r="T78" s="80"/>
      <c r="U78" s="35"/>
      <c r="V78" s="80"/>
      <c r="W78" s="80"/>
      <c r="Y78" s="80"/>
      <c r="Z78" s="20"/>
      <c r="AA78" s="80"/>
      <c r="AB78" s="80"/>
      <c r="AD78" s="80"/>
      <c r="AE78" s="20"/>
    </row>
    <row r="79" spans="5:35" x14ac:dyDescent="0.3">
      <c r="O79" s="84" t="s">
        <v>68</v>
      </c>
      <c r="R79" s="48" t="s">
        <v>77</v>
      </c>
      <c r="S79" s="86" t="s">
        <v>4</v>
      </c>
      <c r="T79" s="88" t="s">
        <v>92</v>
      </c>
      <c r="U79" s="4" t="s">
        <v>93</v>
      </c>
      <c r="V79" s="104" t="s">
        <v>79</v>
      </c>
      <c r="W79" s="80"/>
      <c r="Y79" s="48" t="s">
        <v>77</v>
      </c>
      <c r="Z79" s="86" t="s">
        <v>7</v>
      </c>
      <c r="AA79" s="86" t="s">
        <v>57</v>
      </c>
      <c r="AB79" s="86" t="s">
        <v>58</v>
      </c>
      <c r="AC79" s="104" t="s">
        <v>79</v>
      </c>
      <c r="AD79" s="80"/>
      <c r="AE79" s="84" t="s">
        <v>69</v>
      </c>
    </row>
    <row r="80" spans="5:35" x14ac:dyDescent="0.3">
      <c r="O80" s="84" t="s">
        <v>55</v>
      </c>
      <c r="P80" s="84">
        <f>-((T82+T89)/(T90)*LOG((T82+T89)/(T90),2))-((T86)/(T90)*LOG((T86)/(T90),2))-((T83+T84)/(T90)*LOG((T83+T84)/(T90),2))</f>
        <v>1.5</v>
      </c>
      <c r="R80" s="86">
        <v>1</v>
      </c>
      <c r="S80" s="89">
        <v>52</v>
      </c>
      <c r="T80" s="86">
        <v>0</v>
      </c>
      <c r="U80" s="86">
        <v>1</v>
      </c>
      <c r="V80" s="110">
        <v>2</v>
      </c>
      <c r="W80" s="80"/>
      <c r="Y80" s="86">
        <v>1</v>
      </c>
      <c r="Z80" s="24">
        <v>78</v>
      </c>
      <c r="AA80" s="32">
        <v>0.33333333333333331</v>
      </c>
      <c r="AB80" s="32">
        <v>0.66666666666666663</v>
      </c>
      <c r="AC80" s="110">
        <v>2</v>
      </c>
      <c r="AD80" s="80"/>
      <c r="AE80" s="84" t="s">
        <v>57</v>
      </c>
      <c r="AF80" s="84">
        <f>-((AA88+AA89)/(AA90)*LOG((AA88+AA89)/(AA90),2))-((AA80+AA85+AA86)/(AA90)*LOG((AA80+AA85+AA86)/(AA90),2))-(0)</f>
        <v>0.98999279155751885</v>
      </c>
    </row>
    <row r="81" spans="1:33" x14ac:dyDescent="0.3">
      <c r="O81" s="84" t="s">
        <v>43</v>
      </c>
      <c r="P81" s="84">
        <f>-((U81+U88)/(U90)*LOG((U81+U88)/(U90),2))-((U80+U85)/(U90)*LOG((U80+U85)/(U90),2))-((U83+U84+U87)/(U90)*LOG((U83+U84+U87)/(U90),2))</f>
        <v>1.5849625007211561</v>
      </c>
      <c r="R81" s="86">
        <v>3</v>
      </c>
      <c r="S81" s="89">
        <v>56</v>
      </c>
      <c r="T81" s="86">
        <v>0</v>
      </c>
      <c r="U81" s="86">
        <v>1</v>
      </c>
      <c r="V81" s="110">
        <v>1</v>
      </c>
      <c r="W81" s="80"/>
      <c r="Y81" s="86">
        <v>3</v>
      </c>
      <c r="Z81" s="24">
        <v>98</v>
      </c>
      <c r="AA81" s="32">
        <v>0</v>
      </c>
      <c r="AB81" s="32">
        <v>1</v>
      </c>
      <c r="AC81" s="110">
        <v>1</v>
      </c>
      <c r="AD81" s="80"/>
      <c r="AE81" s="84" t="s">
        <v>58</v>
      </c>
      <c r="AF81" s="84">
        <f>-((AB81+AB82+AB88)/(AB90)*LOG((AB81+AB82+AB88)/(AB90),2))-((AB80+AB85+AB86)/(AB90)*LOG((AB80+AB85+AB86)/(AB90),2))-((AB83+AB84+AB87)/(AB90)*LOG((AB83+AB84+AB87)/(AB90),2))</f>
        <v>1.5184836582834005</v>
      </c>
    </row>
    <row r="82" spans="1:33" x14ac:dyDescent="0.3">
      <c r="R82" s="86">
        <v>5</v>
      </c>
      <c r="S82" s="89">
        <v>36</v>
      </c>
      <c r="T82" s="86">
        <v>1</v>
      </c>
      <c r="U82" s="86">
        <v>0</v>
      </c>
      <c r="V82" s="110">
        <v>1</v>
      </c>
      <c r="W82" s="80"/>
      <c r="Y82" s="86">
        <v>5</v>
      </c>
      <c r="Z82" s="27">
        <v>88</v>
      </c>
      <c r="AA82" s="31">
        <v>0</v>
      </c>
      <c r="AB82" s="31">
        <v>1</v>
      </c>
      <c r="AC82" s="110">
        <v>1</v>
      </c>
      <c r="AD82" s="80"/>
      <c r="AE82" s="20"/>
    </row>
    <row r="83" spans="1:33" x14ac:dyDescent="0.3">
      <c r="R83" s="86">
        <v>7</v>
      </c>
      <c r="S83" s="89">
        <v>43</v>
      </c>
      <c r="T83" s="86">
        <v>0.875</v>
      </c>
      <c r="U83" s="86">
        <v>0.125</v>
      </c>
      <c r="V83" s="110">
        <v>3</v>
      </c>
      <c r="W83" s="80"/>
      <c r="Y83" s="86">
        <v>7</v>
      </c>
      <c r="Z83" s="24">
        <v>89</v>
      </c>
      <c r="AA83" s="32">
        <v>0</v>
      </c>
      <c r="AB83" s="32">
        <v>1</v>
      </c>
      <c r="AC83" s="110">
        <v>3</v>
      </c>
      <c r="AD83" s="80"/>
      <c r="AE83" s="20"/>
    </row>
    <row r="84" spans="1:33" x14ac:dyDescent="0.3">
      <c r="R84" s="86">
        <v>8</v>
      </c>
      <c r="S84" s="89">
        <v>49</v>
      </c>
      <c r="T84" s="86">
        <v>0.125</v>
      </c>
      <c r="U84" s="86">
        <v>0.875</v>
      </c>
      <c r="V84" s="110">
        <v>3</v>
      </c>
      <c r="W84" s="80"/>
      <c r="Y84" s="86">
        <v>8</v>
      </c>
      <c r="Z84" s="24">
        <v>91</v>
      </c>
      <c r="AA84" s="32">
        <v>0</v>
      </c>
      <c r="AB84" s="32">
        <v>1</v>
      </c>
      <c r="AC84" s="110">
        <v>3</v>
      </c>
      <c r="AD84" s="80"/>
      <c r="AE84" s="20"/>
    </row>
    <row r="85" spans="1:33" x14ac:dyDescent="0.3">
      <c r="R85" s="86">
        <v>10</v>
      </c>
      <c r="S85" s="89">
        <v>80</v>
      </c>
      <c r="T85" s="86">
        <v>0</v>
      </c>
      <c r="U85" s="86">
        <v>1</v>
      </c>
      <c r="V85" s="110">
        <v>2</v>
      </c>
      <c r="W85" s="80"/>
      <c r="Y85" s="86">
        <v>10</v>
      </c>
      <c r="Z85" s="24">
        <v>78</v>
      </c>
      <c r="AA85" s="32">
        <v>0.33333333333333331</v>
      </c>
      <c r="AB85" s="32">
        <v>0.66666666666666663</v>
      </c>
      <c r="AC85" s="110">
        <v>2</v>
      </c>
      <c r="AD85" s="80"/>
      <c r="AE85" s="20"/>
    </row>
    <row r="86" spans="1:33" x14ac:dyDescent="0.3">
      <c r="R86" s="86">
        <v>11</v>
      </c>
      <c r="S86" s="89">
        <v>35</v>
      </c>
      <c r="T86" s="86">
        <v>1</v>
      </c>
      <c r="U86" s="86">
        <v>0</v>
      </c>
      <c r="V86" s="110">
        <v>2</v>
      </c>
      <c r="W86" s="80"/>
      <c r="Y86" s="86">
        <v>11</v>
      </c>
      <c r="Z86" s="24">
        <v>71</v>
      </c>
      <c r="AA86" s="32">
        <v>0.91666666666666663</v>
      </c>
      <c r="AB86" s="32">
        <v>8.3333333333333329E-2</v>
      </c>
      <c r="AC86" s="110">
        <v>2</v>
      </c>
      <c r="AD86" s="80"/>
      <c r="AE86" s="20"/>
    </row>
    <row r="87" spans="1:33" x14ac:dyDescent="0.3">
      <c r="R87" s="86">
        <v>13</v>
      </c>
      <c r="S87" s="89">
        <v>66</v>
      </c>
      <c r="T87" s="86">
        <v>0</v>
      </c>
      <c r="U87" s="86">
        <v>1</v>
      </c>
      <c r="V87" s="110">
        <v>3</v>
      </c>
      <c r="W87" s="80"/>
      <c r="Y87" s="86">
        <v>13</v>
      </c>
      <c r="Z87" s="27">
        <v>88</v>
      </c>
      <c r="AA87" s="31">
        <v>0</v>
      </c>
      <c r="AB87" s="31">
        <v>1</v>
      </c>
      <c r="AC87" s="110">
        <v>3</v>
      </c>
      <c r="AD87" s="80"/>
      <c r="AE87" s="20"/>
    </row>
    <row r="88" spans="1:33" x14ac:dyDescent="0.3">
      <c r="R88" s="86">
        <v>14</v>
      </c>
      <c r="S88" s="89">
        <v>54</v>
      </c>
      <c r="T88" s="86">
        <v>0</v>
      </c>
      <c r="U88" s="86">
        <v>1</v>
      </c>
      <c r="V88" s="110">
        <v>1</v>
      </c>
      <c r="W88" s="80"/>
      <c r="Y88" s="86">
        <v>14</v>
      </c>
      <c r="Z88" s="24">
        <v>79</v>
      </c>
      <c r="AA88" s="32">
        <v>0.25</v>
      </c>
      <c r="AB88" s="32">
        <v>0.75</v>
      </c>
      <c r="AC88" s="110">
        <v>1</v>
      </c>
      <c r="AD88" s="80"/>
      <c r="AE88" s="20"/>
    </row>
    <row r="89" spans="1:33" x14ac:dyDescent="0.3">
      <c r="R89" s="86">
        <v>15</v>
      </c>
      <c r="S89" s="89">
        <v>22</v>
      </c>
      <c r="T89" s="86">
        <v>1</v>
      </c>
      <c r="U89" s="86">
        <v>0</v>
      </c>
      <c r="V89" s="110">
        <v>1</v>
      </c>
      <c r="W89" s="80"/>
      <c r="Y89" s="86">
        <v>15</v>
      </c>
      <c r="Z89" s="28">
        <v>70</v>
      </c>
      <c r="AA89" s="33">
        <v>1</v>
      </c>
      <c r="AB89" s="33">
        <v>0</v>
      </c>
      <c r="AC89" s="110">
        <v>1</v>
      </c>
      <c r="AD89" s="80"/>
      <c r="AE89" s="20"/>
    </row>
    <row r="90" spans="1:33" x14ac:dyDescent="0.3">
      <c r="T90" s="80">
        <f>SUM(T80:T89)</f>
        <v>4</v>
      </c>
      <c r="U90" s="35">
        <f>SUM(U80:U89)</f>
        <v>6</v>
      </c>
      <c r="V90" s="80"/>
      <c r="W90" s="80"/>
      <c r="Y90" s="80"/>
      <c r="Z90" s="20"/>
      <c r="AA90" s="80">
        <f>SUM(AA80:AA89)</f>
        <v>2.833333333333333</v>
      </c>
      <c r="AB90" s="80">
        <f>SUM(AB80:AB89)</f>
        <v>7.1666666666666661</v>
      </c>
      <c r="AD90" s="80"/>
      <c r="AE90" s="20"/>
    </row>
    <row r="91" spans="1:33" x14ac:dyDescent="0.3">
      <c r="T91" s="80"/>
      <c r="U91" s="35"/>
      <c r="V91" s="80"/>
      <c r="W91" s="80"/>
      <c r="Y91" s="80"/>
      <c r="Z91" s="20"/>
      <c r="AA91" s="80"/>
      <c r="AB91" s="80"/>
      <c r="AD91" s="80"/>
      <c r="AE91" s="20"/>
    </row>
    <row r="92" spans="1:33" x14ac:dyDescent="0.3">
      <c r="A92" s="48" t="s">
        <v>77</v>
      </c>
      <c r="B92" s="86" t="s">
        <v>126</v>
      </c>
      <c r="C92" s="104" t="s">
        <v>79</v>
      </c>
      <c r="H92" s="48" t="s">
        <v>77</v>
      </c>
      <c r="I92" s="88" t="s">
        <v>61</v>
      </c>
      <c r="J92" s="104" t="s">
        <v>79</v>
      </c>
      <c r="O92" s="84" t="s">
        <v>72</v>
      </c>
      <c r="R92" s="48" t="s">
        <v>77</v>
      </c>
      <c r="S92" s="86" t="s">
        <v>59</v>
      </c>
      <c r="T92" s="86" t="s">
        <v>44</v>
      </c>
      <c r="U92" s="86" t="s">
        <v>62</v>
      </c>
      <c r="V92" s="88" t="s">
        <v>61</v>
      </c>
      <c r="W92" s="104" t="s">
        <v>79</v>
      </c>
      <c r="Y92" s="181" t="s">
        <v>63</v>
      </c>
      <c r="Z92" s="182"/>
      <c r="AA92" s="183"/>
      <c r="AB92" s="181">
        <f>-((4/10)*LOG((4/10),2))-((3/10)*LOG((3/10),2))-((3/10)*LOG((3/10),2))</f>
        <v>1.5709505944546684</v>
      </c>
      <c r="AC92" s="182"/>
      <c r="AD92" s="183"/>
      <c r="AE92" s="20"/>
    </row>
    <row r="93" spans="1:33" x14ac:dyDescent="0.3">
      <c r="A93" s="86">
        <v>5</v>
      </c>
      <c r="B93" s="86">
        <v>0.13333333333333333</v>
      </c>
      <c r="C93" s="110">
        <v>1</v>
      </c>
      <c r="H93" s="86">
        <v>1</v>
      </c>
      <c r="I93" s="86">
        <v>0.25</v>
      </c>
      <c r="J93" s="110">
        <v>2</v>
      </c>
      <c r="O93" s="84" t="s">
        <v>44</v>
      </c>
      <c r="P93" s="84">
        <f>-((T95+T101)/(T103)*LOG((T95+T101)/(T103),2))-(0)-(0)</f>
        <v>0</v>
      </c>
      <c r="R93" s="86">
        <v>1</v>
      </c>
      <c r="S93" s="86">
        <v>215</v>
      </c>
      <c r="T93" s="86">
        <v>0</v>
      </c>
      <c r="U93" s="86">
        <v>0.75</v>
      </c>
      <c r="V93" s="86">
        <v>0.25</v>
      </c>
      <c r="W93" s="110">
        <v>2</v>
      </c>
      <c r="Y93" s="181" t="s">
        <v>65</v>
      </c>
      <c r="Z93" s="182"/>
      <c r="AA93" s="183"/>
      <c r="AB93" s="181">
        <f>(AB92)-((T90/10)*P80)-((U90/10)*P81)</f>
        <v>1.997309402197478E-2</v>
      </c>
      <c r="AC93" s="182"/>
      <c r="AD93" s="183"/>
      <c r="AE93" s="20"/>
    </row>
    <row r="94" spans="1:33" x14ac:dyDescent="0.3">
      <c r="A94" s="86">
        <v>14</v>
      </c>
      <c r="B94" s="86">
        <v>1</v>
      </c>
      <c r="C94" s="110">
        <v>1</v>
      </c>
      <c r="H94" s="86">
        <v>3</v>
      </c>
      <c r="I94" s="86">
        <v>0.15</v>
      </c>
      <c r="J94" s="110">
        <v>1</v>
      </c>
      <c r="O94" s="84" t="s">
        <v>155</v>
      </c>
      <c r="P94" s="84">
        <f>-((U94+U95+U102)/(U103)*LOG((U94+U95+U102)/(U103),2))-((U93+U98+U99)/(U103)*LOG((U93+U98+U99)/(U103),2))-((U96)/(U103)*LOG((U96)/(U103),2))</f>
        <v>1.4832024681099976</v>
      </c>
      <c r="R94" s="86">
        <v>3</v>
      </c>
      <c r="S94" s="86">
        <v>209</v>
      </c>
      <c r="T94" s="86">
        <v>0</v>
      </c>
      <c r="U94" s="86">
        <v>0.85</v>
      </c>
      <c r="V94" s="86">
        <v>0.15</v>
      </c>
      <c r="W94" s="110">
        <v>1</v>
      </c>
      <c r="Y94" s="199" t="s">
        <v>71</v>
      </c>
      <c r="Z94" s="200"/>
      <c r="AA94" s="201"/>
      <c r="AB94" s="199">
        <f>(AB92)-((T103/10)*P93)-((U103/10)*P94)-((V103/10)*P95)</f>
        <v>0.29073248635703053</v>
      </c>
      <c r="AC94" s="200"/>
      <c r="AD94" s="201"/>
      <c r="AE94" s="202" t="s">
        <v>166</v>
      </c>
      <c r="AF94" s="203"/>
      <c r="AG94" s="203"/>
    </row>
    <row r="95" spans="1:33" x14ac:dyDescent="0.3">
      <c r="H95" s="86">
        <v>7</v>
      </c>
      <c r="I95" s="86">
        <v>0.11666666666666667</v>
      </c>
      <c r="J95" s="110">
        <v>3</v>
      </c>
      <c r="O95" s="84" t="s">
        <v>61</v>
      </c>
      <c r="P95" s="84">
        <f>-((V94+V102)/(V103)*LOG((V94+V102)/(V103),2))-((V93+V98+V99)/(V103)*LOG((V93+V98+V99)/(V103),2))-((V96+V97+V100)/(V103)*LOG((V96+V97+V100)/(V103),2))</f>
        <v>1.3952493245136277</v>
      </c>
      <c r="R95" s="86">
        <v>5</v>
      </c>
      <c r="S95" s="86">
        <v>198</v>
      </c>
      <c r="T95" s="86">
        <v>0.13333333333333333</v>
      </c>
      <c r="U95" s="86">
        <v>0.8666666666666667</v>
      </c>
      <c r="V95" s="86">
        <v>0</v>
      </c>
      <c r="W95" s="110">
        <v>1</v>
      </c>
      <c r="Y95" s="181" t="s">
        <v>73</v>
      </c>
      <c r="Z95" s="182"/>
      <c r="AA95" s="183"/>
      <c r="AB95" s="181">
        <f>(AB92)-((AA90/10)*AF80)-((AB90/10)*AF81)</f>
        <v>0.2022060150769347</v>
      </c>
      <c r="AC95" s="182"/>
      <c r="AD95" s="183"/>
      <c r="AE95" s="20"/>
    </row>
    <row r="96" spans="1:33" x14ac:dyDescent="0.3">
      <c r="D96" s="48" t="s">
        <v>77</v>
      </c>
      <c r="E96" s="86" t="s">
        <v>183</v>
      </c>
      <c r="F96" s="104" t="s">
        <v>79</v>
      </c>
      <c r="H96" s="86">
        <v>8</v>
      </c>
      <c r="I96" s="86">
        <v>1</v>
      </c>
      <c r="J96" s="110">
        <v>3</v>
      </c>
      <c r="R96" s="86">
        <v>7</v>
      </c>
      <c r="S96" s="86">
        <v>207</v>
      </c>
      <c r="T96" s="86">
        <v>0</v>
      </c>
      <c r="U96" s="86">
        <v>0.8833333333333333</v>
      </c>
      <c r="V96" s="86">
        <v>0.11666666666666667</v>
      </c>
      <c r="W96" s="110">
        <v>3</v>
      </c>
      <c r="Y96" s="80"/>
      <c r="Z96" s="20"/>
      <c r="AA96" s="80"/>
      <c r="AB96" s="80"/>
      <c r="AD96" s="80"/>
      <c r="AE96" s="20"/>
    </row>
    <row r="97" spans="4:35" x14ac:dyDescent="0.3">
      <c r="D97" s="86">
        <v>1</v>
      </c>
      <c r="E97" s="86">
        <v>0.75</v>
      </c>
      <c r="F97" s="110">
        <v>2</v>
      </c>
      <c r="H97" s="86">
        <v>10</v>
      </c>
      <c r="I97" s="86">
        <v>0.93333333333333335</v>
      </c>
      <c r="J97" s="110">
        <v>2</v>
      </c>
      <c r="R97" s="86">
        <v>8</v>
      </c>
      <c r="S97" s="86">
        <v>290</v>
      </c>
      <c r="T97" s="86">
        <v>0</v>
      </c>
      <c r="U97" s="86">
        <v>0</v>
      </c>
      <c r="V97" s="86">
        <v>1</v>
      </c>
      <c r="W97" s="110">
        <v>3</v>
      </c>
      <c r="Y97" s="80"/>
      <c r="Z97" s="20"/>
      <c r="AA97" s="80"/>
      <c r="AB97" s="80"/>
      <c r="AD97" s="80"/>
      <c r="AE97" s="20"/>
    </row>
    <row r="98" spans="4:35" x14ac:dyDescent="0.3">
      <c r="D98" s="86">
        <v>3</v>
      </c>
      <c r="E98" s="86">
        <v>0.85</v>
      </c>
      <c r="F98" s="110">
        <v>1</v>
      </c>
      <c r="H98" s="86">
        <v>11</v>
      </c>
      <c r="I98" s="86">
        <v>0.15</v>
      </c>
      <c r="J98" s="110">
        <v>2</v>
      </c>
      <c r="R98" s="86">
        <v>10</v>
      </c>
      <c r="S98" s="86">
        <v>256</v>
      </c>
      <c r="T98" s="86">
        <v>0</v>
      </c>
      <c r="U98" s="86">
        <v>6.6666666666666666E-2</v>
      </c>
      <c r="V98" s="86">
        <v>0.93333333333333335</v>
      </c>
      <c r="W98" s="110">
        <v>2</v>
      </c>
      <c r="Y98" s="46" t="s">
        <v>98</v>
      </c>
      <c r="Z98" s="47"/>
      <c r="AB98" s="80"/>
      <c r="AC98" s="46" t="s">
        <v>99</v>
      </c>
      <c r="AD98" s="47"/>
      <c r="AG98" s="46" t="s">
        <v>100</v>
      </c>
      <c r="AH98" s="47"/>
    </row>
    <row r="99" spans="4:35" x14ac:dyDescent="0.3">
      <c r="D99" s="86">
        <v>7</v>
      </c>
      <c r="E99" s="86">
        <v>0.8833333333333333</v>
      </c>
      <c r="F99" s="110">
        <v>3</v>
      </c>
      <c r="H99" s="86">
        <v>13</v>
      </c>
      <c r="I99" s="86">
        <v>1</v>
      </c>
      <c r="J99" s="110">
        <v>3</v>
      </c>
      <c r="R99" s="86">
        <v>11</v>
      </c>
      <c r="S99" s="86">
        <v>209</v>
      </c>
      <c r="T99" s="86">
        <v>0</v>
      </c>
      <c r="U99" s="86">
        <v>0.85</v>
      </c>
      <c r="V99" s="86">
        <v>0.15</v>
      </c>
      <c r="W99" s="110">
        <v>2</v>
      </c>
      <c r="Y99" s="84" t="s">
        <v>81</v>
      </c>
      <c r="AA99" s="84" t="s">
        <v>85</v>
      </c>
      <c r="AB99" s="80"/>
      <c r="AC99" s="84" t="s">
        <v>81</v>
      </c>
      <c r="AE99" s="84" t="s">
        <v>85</v>
      </c>
      <c r="AG99" s="84" t="s">
        <v>81</v>
      </c>
      <c r="AI99" s="84" t="s">
        <v>85</v>
      </c>
    </row>
    <row r="100" spans="4:35" x14ac:dyDescent="0.3">
      <c r="D100" s="86">
        <v>10</v>
      </c>
      <c r="E100" s="86">
        <v>6.6666666666666666E-2</v>
      </c>
      <c r="F100" s="110">
        <v>2</v>
      </c>
      <c r="H100" s="86">
        <v>15</v>
      </c>
      <c r="I100" s="86">
        <v>0.36666666666666664</v>
      </c>
      <c r="J100" s="110">
        <v>1</v>
      </c>
      <c r="R100" s="86">
        <v>13</v>
      </c>
      <c r="S100" s="86">
        <v>295</v>
      </c>
      <c r="T100" s="86">
        <v>0</v>
      </c>
      <c r="U100" s="86">
        <v>0</v>
      </c>
      <c r="V100" s="86">
        <v>1</v>
      </c>
      <c r="W100" s="110">
        <v>3</v>
      </c>
      <c r="Y100" s="101" t="s">
        <v>82</v>
      </c>
      <c r="Z100" s="101">
        <f>SUM(T95,T101)</f>
        <v>1.1333333333333333</v>
      </c>
      <c r="AA100" s="101">
        <f>((Z100)/(Z100+Z101+Z102))*(100)</f>
        <v>100</v>
      </c>
      <c r="AB100" s="80"/>
      <c r="AC100" s="90" t="s">
        <v>82</v>
      </c>
      <c r="AD100" s="90">
        <f>SUM(U94,U95,U102)</f>
        <v>2.35</v>
      </c>
      <c r="AE100" s="90">
        <f>((AD100)/(AD100+AD101+AD102))*(100)</f>
        <v>47.959183673469383</v>
      </c>
      <c r="AG100" s="90" t="s">
        <v>82</v>
      </c>
      <c r="AH100" s="90">
        <f>SUM(V94,V102)</f>
        <v>0.51666666666666661</v>
      </c>
      <c r="AI100" s="90">
        <f>((AH100)/(AH100+AH101+AH102))*(100)</f>
        <v>13.025210084033612</v>
      </c>
    </row>
    <row r="101" spans="4:35" x14ac:dyDescent="0.3">
      <c r="D101" s="86">
        <v>11</v>
      </c>
      <c r="E101" s="86">
        <v>0.85</v>
      </c>
      <c r="F101" s="110">
        <v>2</v>
      </c>
      <c r="R101" s="86">
        <v>14</v>
      </c>
      <c r="S101" s="86">
        <v>172</v>
      </c>
      <c r="T101" s="86">
        <f>IF(S101&lt;=$O$27,1,IF(AND($O$27&lt;S101,S101&lt;$P$27),($P$27-S101)/($P$27-$O$27),IF(S101&gt;=$O$27,0)))</f>
        <v>1</v>
      </c>
      <c r="U101" s="86">
        <f>IF(AND($O$27&lt;S101,S101&lt;$P$27),(S101-$O$27)/($P$27-$O$27),IF(AND($P$27&lt;=S101,S101&lt;$Q$27),($Q$27-S101)/($Q$27-$P$27), IF(OR(S101&lt;=$O$27,S101&gt;=$Q$27),0,salah)))</f>
        <v>0</v>
      </c>
      <c r="V101" s="86">
        <f>IF(S101&lt;=$P$27,0,IF(AND($P$27&lt;S101,S101&lt;$Q$27),(S101-$P$27)/($Q$27-$P$27),IF(S101&gt;=$Q$27,1)))</f>
        <v>0</v>
      </c>
      <c r="W101" s="110">
        <v>1</v>
      </c>
      <c r="Y101" s="84" t="s">
        <v>83</v>
      </c>
      <c r="Z101" s="84">
        <v>0</v>
      </c>
      <c r="AA101" s="84">
        <f>((Z101)/(Z100+Z101+Z102))*(100)</f>
        <v>0</v>
      </c>
      <c r="AB101" s="80"/>
      <c r="AC101" s="84" t="s">
        <v>83</v>
      </c>
      <c r="AD101" s="84">
        <f>SUM(U98,U99,U93)</f>
        <v>1.6666666666666665</v>
      </c>
      <c r="AE101" s="84">
        <f>((AD101)/(AD100+AD101+AD102))*(100)</f>
        <v>34.013605442176868</v>
      </c>
      <c r="AG101" s="84" t="s">
        <v>83</v>
      </c>
      <c r="AH101" s="84">
        <f>SUM(V93,V98,V99)</f>
        <v>1.3333333333333333</v>
      </c>
      <c r="AI101" s="84">
        <f>((AH101)/(AH100+AH101+AH102))*(100)</f>
        <v>33.613445378151255</v>
      </c>
    </row>
    <row r="102" spans="4:35" x14ac:dyDescent="0.3">
      <c r="D102" s="86">
        <v>15</v>
      </c>
      <c r="E102" s="86">
        <v>0.6333333333333333</v>
      </c>
      <c r="F102" s="110">
        <v>1</v>
      </c>
      <c r="R102" s="86">
        <v>15</v>
      </c>
      <c r="S102" s="86">
        <v>222</v>
      </c>
      <c r="T102" s="86">
        <f>IF(S102&lt;=$O$27,1,IF(AND($O$27&lt;S102,S102&lt;$P$27),($P$27-S102)/($P$27-$O$27),IF(S102&gt;=$O$27,0)))</f>
        <v>0</v>
      </c>
      <c r="U102" s="86">
        <f>IF(AND($O$27&lt;S102,S102&lt;$P$27),(S102-$O$27)/($P$27-$O$27),IF(AND($P$27&lt;=S102,S102&lt;$Q$27),($Q$27-S102)/($Q$27-$P$27), IF(OR(S102&lt;=$O$27,S102&gt;=$Q$27),0,salah)))</f>
        <v>0.6333333333333333</v>
      </c>
      <c r="V102" s="86">
        <f>IF(S102&lt;=$P$27,0,IF(AND($P$27&lt;S102,S102&lt;$Q$27),(S102-$P$27)/($Q$27-$P$27),IF(S102&gt;=$Q$27,1)))</f>
        <v>0.36666666666666664</v>
      </c>
      <c r="W102" s="110">
        <v>1</v>
      </c>
      <c r="Y102" s="84" t="s">
        <v>84</v>
      </c>
      <c r="Z102" s="84">
        <v>0</v>
      </c>
      <c r="AA102" s="84">
        <f>((Z102)/(Z100+Z101+Z102))*(100)</f>
        <v>0</v>
      </c>
      <c r="AB102" s="80"/>
      <c r="AC102" s="84" t="s">
        <v>84</v>
      </c>
      <c r="AD102" s="84">
        <f>SUM(U96)</f>
        <v>0.8833333333333333</v>
      </c>
      <c r="AE102" s="84">
        <f>((AD102)/(AD100+AD101+AD102))*(100)</f>
        <v>18.027210884353739</v>
      </c>
      <c r="AG102" s="84" t="s">
        <v>84</v>
      </c>
      <c r="AH102" s="84">
        <f>SUM(V96,V97,V100)</f>
        <v>2.1166666666666667</v>
      </c>
      <c r="AI102" s="84">
        <f>((AH102)/(AH100+AH101+AH102))*(100)</f>
        <v>53.361344537815128</v>
      </c>
    </row>
    <row r="103" spans="4:35" ht="13.8" customHeight="1" x14ac:dyDescent="0.3">
      <c r="T103" s="80">
        <f>SUM(T95,T101)</f>
        <v>1.1333333333333333</v>
      </c>
      <c r="U103" s="35">
        <f>SUM(U93:U96,U98,U99,U102)</f>
        <v>4.9000000000000004</v>
      </c>
      <c r="V103" s="80">
        <f>SUM(V93:V94,V96,V97:V100,V102)</f>
        <v>3.9666666666666668</v>
      </c>
      <c r="W103" s="80"/>
      <c r="Y103" s="80"/>
      <c r="Z103" s="20"/>
      <c r="AA103" s="80"/>
      <c r="AB103" s="80"/>
      <c r="AD103" s="80"/>
      <c r="AE103" s="20"/>
    </row>
    <row r="104" spans="4:35" x14ac:dyDescent="0.3">
      <c r="T104" s="80"/>
      <c r="U104" s="35"/>
      <c r="V104" s="80"/>
      <c r="W104" s="80"/>
      <c r="Y104" s="80"/>
      <c r="Z104" s="20"/>
      <c r="AA104" s="80"/>
      <c r="AB104" s="80"/>
      <c r="AD104" s="80"/>
      <c r="AE104" s="20"/>
    </row>
    <row r="105" spans="4:35" ht="13.8" customHeight="1" x14ac:dyDescent="0.3">
      <c r="T105" s="80"/>
      <c r="U105" s="35"/>
      <c r="V105" s="80"/>
      <c r="W105" s="80"/>
      <c r="Y105" s="80"/>
      <c r="Z105" s="20"/>
      <c r="AA105" s="80"/>
      <c r="AB105" s="80"/>
      <c r="AD105" s="80"/>
      <c r="AE105" s="20"/>
    </row>
    <row r="106" spans="4:35" x14ac:dyDescent="0.3">
      <c r="T106" s="80"/>
      <c r="U106" s="35"/>
      <c r="V106" s="80"/>
      <c r="W106" s="80"/>
      <c r="Y106" s="80"/>
      <c r="Z106" s="20"/>
      <c r="AA106" s="80"/>
      <c r="AB106" s="80"/>
      <c r="AD106" s="80"/>
      <c r="AE106" s="20"/>
    </row>
    <row r="107" spans="4:35" x14ac:dyDescent="0.3">
      <c r="O107" s="48" t="s">
        <v>77</v>
      </c>
      <c r="P107" s="86" t="s">
        <v>4</v>
      </c>
      <c r="Q107" s="88" t="s">
        <v>92</v>
      </c>
      <c r="R107" s="4" t="s">
        <v>93</v>
      </c>
      <c r="S107" s="104" t="s">
        <v>79</v>
      </c>
      <c r="T107" s="80"/>
      <c r="U107" s="84" t="s">
        <v>68</v>
      </c>
      <c r="W107" s="80"/>
      <c r="X107" s="181" t="s">
        <v>63</v>
      </c>
      <c r="Y107" s="182"/>
      <c r="Z107" s="183"/>
      <c r="AA107" s="181">
        <f>-((2/6)*LOG((2/6),2))-((3/6)*LOG((3/6),2))-((1/6)*LOG((1/6),2))</f>
        <v>1.4591479170272448</v>
      </c>
      <c r="AB107" s="182"/>
      <c r="AC107" s="183"/>
      <c r="AD107" s="80"/>
      <c r="AE107" s="20"/>
    </row>
    <row r="108" spans="4:35" x14ac:dyDescent="0.3">
      <c r="O108" s="86">
        <v>1</v>
      </c>
      <c r="P108" s="89">
        <v>52</v>
      </c>
      <c r="Q108" s="86">
        <v>0</v>
      </c>
      <c r="R108" s="86">
        <v>1</v>
      </c>
      <c r="S108" s="110">
        <v>2</v>
      </c>
      <c r="T108" s="80"/>
      <c r="U108" s="84" t="s">
        <v>55</v>
      </c>
      <c r="V108" s="84">
        <f>-((Q113)/(Q114)*LOG((Q113)/(Q114),2))-((Q112)/(Q114)*LOG((Q112)/(Q114),2))-((Q110)/(Q114)*LOG((Q110)/(Q114),2))</f>
        <v>1.5821930667351334</v>
      </c>
      <c r="W108" s="80"/>
      <c r="X108" s="181" t="s">
        <v>65</v>
      </c>
      <c r="Y108" s="182"/>
      <c r="Z108" s="183"/>
      <c r="AA108" s="181">
        <f>(AA107)-((Q114/6)*V108)-((R114/6)*V109)</f>
        <v>0.11567197370899074</v>
      </c>
      <c r="AB108" s="182"/>
      <c r="AC108" s="183"/>
      <c r="AD108" s="80"/>
      <c r="AE108" s="20"/>
    </row>
    <row r="109" spans="4:35" x14ac:dyDescent="0.3">
      <c r="O109" s="86">
        <v>3</v>
      </c>
      <c r="P109" s="89">
        <v>56</v>
      </c>
      <c r="Q109" s="86">
        <v>0</v>
      </c>
      <c r="R109" s="86">
        <v>1</v>
      </c>
      <c r="S109" s="110">
        <v>1</v>
      </c>
      <c r="T109" s="80"/>
      <c r="U109" s="84" t="s">
        <v>43</v>
      </c>
      <c r="V109" s="84">
        <f>-((R109)/(R114)*LOG((R109)/(R114),2))-((R108+R111)/(R114)*LOG((R108+R111)/(R114),2))-((R110)/(R114)*LOG((R110)/(R114),2))</f>
        <v>1.1238561897747248</v>
      </c>
      <c r="W109" s="80"/>
      <c r="X109" s="199" t="s">
        <v>73</v>
      </c>
      <c r="Y109" s="200"/>
      <c r="Z109" s="201"/>
      <c r="AA109" s="199">
        <f>(AA107)-((Q123/6)*V117)-((R123/6)*V118)</f>
        <v>0.15382046246211911</v>
      </c>
      <c r="AB109" s="200"/>
      <c r="AC109" s="201"/>
      <c r="AD109" s="202" t="s">
        <v>166</v>
      </c>
      <c r="AE109" s="203"/>
      <c r="AF109" s="203"/>
    </row>
    <row r="110" spans="4:35" x14ac:dyDescent="0.3">
      <c r="O110" s="86">
        <v>7</v>
      </c>
      <c r="P110" s="89">
        <v>43</v>
      </c>
      <c r="Q110" s="86">
        <v>0.875</v>
      </c>
      <c r="R110" s="86">
        <v>0.125</v>
      </c>
      <c r="S110" s="110">
        <v>3</v>
      </c>
      <c r="T110" s="80"/>
      <c r="U110" s="35"/>
      <c r="V110" s="80"/>
      <c r="W110" s="80"/>
      <c r="Y110" s="80"/>
      <c r="Z110" s="20"/>
      <c r="AA110" s="80"/>
      <c r="AB110" s="80"/>
      <c r="AD110" s="80"/>
      <c r="AE110" s="20"/>
    </row>
    <row r="111" spans="4:35" x14ac:dyDescent="0.3">
      <c r="O111" s="86">
        <v>10</v>
      </c>
      <c r="P111" s="89">
        <v>80</v>
      </c>
      <c r="Q111" s="86">
        <v>0</v>
      </c>
      <c r="R111" s="86">
        <v>1</v>
      </c>
      <c r="S111" s="110">
        <v>2</v>
      </c>
      <c r="T111" s="80"/>
      <c r="U111" s="35"/>
      <c r="V111" s="80"/>
      <c r="W111" s="80"/>
      <c r="Y111" s="80"/>
      <c r="Z111" s="20"/>
      <c r="AA111" s="80"/>
      <c r="AB111" s="80"/>
      <c r="AD111" s="80"/>
      <c r="AE111" s="20"/>
    </row>
    <row r="112" spans="4:35" x14ac:dyDescent="0.3">
      <c r="O112" s="86">
        <v>11</v>
      </c>
      <c r="P112" s="89">
        <v>35</v>
      </c>
      <c r="Q112" s="86">
        <v>1</v>
      </c>
      <c r="R112" s="86">
        <v>0</v>
      </c>
      <c r="S112" s="110">
        <v>2</v>
      </c>
      <c r="T112" s="80"/>
      <c r="U112" s="35"/>
      <c r="V112" s="80"/>
      <c r="W112" s="80"/>
      <c r="Y112" s="80"/>
      <c r="Z112" s="20"/>
      <c r="AA112" s="80"/>
      <c r="AB112" s="80"/>
      <c r="AD112" s="80"/>
      <c r="AE112" s="20"/>
    </row>
    <row r="113" spans="1:31" x14ac:dyDescent="0.3">
      <c r="O113" s="86">
        <v>15</v>
      </c>
      <c r="P113" s="89">
        <v>22</v>
      </c>
      <c r="Q113" s="86">
        <v>1</v>
      </c>
      <c r="R113" s="86">
        <v>0</v>
      </c>
      <c r="S113" s="110">
        <v>1</v>
      </c>
      <c r="T113" s="80"/>
      <c r="U113" s="35"/>
      <c r="V113" s="80"/>
      <c r="W113" s="80"/>
      <c r="Y113" s="80"/>
      <c r="Z113" s="20"/>
      <c r="AA113" s="80"/>
      <c r="AB113" s="80"/>
      <c r="AD113" s="80"/>
      <c r="AE113" s="20"/>
    </row>
    <row r="114" spans="1:31" x14ac:dyDescent="0.3">
      <c r="Q114" s="84">
        <f>SUM(Q108:Q113)</f>
        <v>2.875</v>
      </c>
      <c r="R114" s="84">
        <f>SUM(R108:R113)</f>
        <v>3.125</v>
      </c>
      <c r="T114" s="80"/>
      <c r="U114" s="35"/>
      <c r="V114" s="80"/>
      <c r="W114" s="80"/>
      <c r="Y114" s="80"/>
      <c r="Z114" s="20"/>
      <c r="AA114" s="80"/>
      <c r="AB114" s="80"/>
      <c r="AD114" s="80"/>
      <c r="AE114" s="20"/>
    </row>
    <row r="115" spans="1:31" x14ac:dyDescent="0.3">
      <c r="T115" s="80"/>
      <c r="U115" s="35"/>
      <c r="V115" s="80"/>
      <c r="W115" s="80"/>
      <c r="Y115" s="80"/>
      <c r="Z115" s="20"/>
      <c r="AA115" s="80"/>
      <c r="AB115" s="80"/>
      <c r="AD115" s="80"/>
      <c r="AE115" s="20"/>
    </row>
    <row r="116" spans="1:31" x14ac:dyDescent="0.3">
      <c r="O116" s="48" t="s">
        <v>77</v>
      </c>
      <c r="P116" s="86" t="s">
        <v>7</v>
      </c>
      <c r="Q116" s="86" t="s">
        <v>57</v>
      </c>
      <c r="R116" s="86" t="s">
        <v>58</v>
      </c>
      <c r="S116" s="104" t="s">
        <v>79</v>
      </c>
      <c r="T116" s="80"/>
      <c r="U116" s="84" t="s">
        <v>74</v>
      </c>
      <c r="W116" s="80"/>
      <c r="X116" s="46" t="s">
        <v>101</v>
      </c>
      <c r="Y116" s="47"/>
      <c r="AA116" s="80"/>
      <c r="AB116" s="46" t="s">
        <v>102</v>
      </c>
      <c r="AC116" s="47"/>
      <c r="AE116" s="20"/>
    </row>
    <row r="117" spans="1:31" x14ac:dyDescent="0.3">
      <c r="O117" s="86">
        <v>1</v>
      </c>
      <c r="P117" s="24">
        <v>78</v>
      </c>
      <c r="Q117" s="32">
        <v>0.33333333333333331</v>
      </c>
      <c r="R117" s="32">
        <v>0.66666666666666663</v>
      </c>
      <c r="S117" s="110">
        <v>2</v>
      </c>
      <c r="T117" s="80"/>
      <c r="U117" s="84" t="s">
        <v>57</v>
      </c>
      <c r="V117" s="84">
        <f>-((Q122)/(Q123)*LOG((Q122)/(Q123),2))-((Q117+Q120+Q121)/(Q123)*LOG((Q117+Q120+Q121)/(Q123),2))-(0)</f>
        <v>0.96290041477132682</v>
      </c>
      <c r="W117" s="80"/>
      <c r="X117" s="84" t="s">
        <v>81</v>
      </c>
      <c r="Z117" s="84" t="s">
        <v>85</v>
      </c>
      <c r="AA117" s="80"/>
      <c r="AB117" s="84" t="s">
        <v>81</v>
      </c>
      <c r="AD117" s="84" t="s">
        <v>85</v>
      </c>
      <c r="AE117" s="20"/>
    </row>
    <row r="118" spans="1:31" x14ac:dyDescent="0.3">
      <c r="O118" s="86">
        <v>3</v>
      </c>
      <c r="P118" s="24">
        <v>98</v>
      </c>
      <c r="Q118" s="32">
        <v>0</v>
      </c>
      <c r="R118" s="32">
        <v>1</v>
      </c>
      <c r="S118" s="110">
        <v>1</v>
      </c>
      <c r="T118" s="80"/>
      <c r="U118" s="84" t="s">
        <v>58</v>
      </c>
      <c r="V118" s="84">
        <f>-((R118)/(R123)*LOG((R118)/(R123),2))-((R117+R120+R121)/(R123)*LOG((R117+R120+R121)/(R123),2))-((R119)/(R123)*LOG((R119)/(R123),2))</f>
        <v>1.5642357041653152</v>
      </c>
      <c r="W118" s="80"/>
      <c r="X118" s="90" t="s">
        <v>82</v>
      </c>
      <c r="Y118" s="90">
        <f>SUM(Q122)</f>
        <v>1</v>
      </c>
      <c r="Z118" s="90">
        <f>((Y118)/(Y118+Y119+Y120))*(100)</f>
        <v>38.70967741935484</v>
      </c>
      <c r="AA118" s="80"/>
      <c r="AB118" s="90" t="s">
        <v>82</v>
      </c>
      <c r="AC118" s="90">
        <f>SUM(R118)</f>
        <v>1</v>
      </c>
      <c r="AD118" s="90">
        <f>((AC118)/(AC118+AC119+AC120))*(100)</f>
        <v>29.268292682926834</v>
      </c>
      <c r="AE118" s="20"/>
    </row>
    <row r="119" spans="1:31" x14ac:dyDescent="0.3">
      <c r="O119" s="86">
        <v>7</v>
      </c>
      <c r="P119" s="24">
        <v>89</v>
      </c>
      <c r="Q119" s="32">
        <v>0</v>
      </c>
      <c r="R119" s="32">
        <v>1</v>
      </c>
      <c r="S119" s="110">
        <v>3</v>
      </c>
      <c r="T119" s="80"/>
      <c r="U119" s="35"/>
      <c r="V119" s="80"/>
      <c r="W119" s="80"/>
      <c r="X119" s="101" t="s">
        <v>83</v>
      </c>
      <c r="Y119" s="101">
        <f>SUM(Q117,Q120:Q121)</f>
        <v>1.5833333333333333</v>
      </c>
      <c r="Z119" s="101">
        <f>((Y119)/(Y118+Y119+Y120))*(100)</f>
        <v>61.29032258064516</v>
      </c>
      <c r="AA119" s="80"/>
      <c r="AB119" s="84" t="s">
        <v>83</v>
      </c>
      <c r="AC119" s="84">
        <f>SUM(R117,R120,R121)</f>
        <v>1.4166666666666665</v>
      </c>
      <c r="AD119" s="84">
        <f>((AC119)/(AC118+AC119+AC120))*(100)</f>
        <v>41.463414634146339</v>
      </c>
      <c r="AE119" s="20"/>
    </row>
    <row r="120" spans="1:31" x14ac:dyDescent="0.3">
      <c r="O120" s="86">
        <v>10</v>
      </c>
      <c r="P120" s="24">
        <v>78</v>
      </c>
      <c r="Q120" s="32">
        <v>0.33333333333333331</v>
      </c>
      <c r="R120" s="32">
        <v>0.66666666666666663</v>
      </c>
      <c r="S120" s="110">
        <v>2</v>
      </c>
      <c r="T120" s="80"/>
      <c r="U120" s="35"/>
      <c r="V120" s="80"/>
      <c r="W120" s="80"/>
      <c r="X120" s="84" t="s">
        <v>84</v>
      </c>
      <c r="Y120" s="84">
        <v>0</v>
      </c>
      <c r="Z120" s="84">
        <f>((Y120)/(Y118+Y119+Y120))*(100)</f>
        <v>0</v>
      </c>
      <c r="AA120" s="80"/>
      <c r="AB120" s="84" t="s">
        <v>84</v>
      </c>
      <c r="AC120" s="84">
        <f>SUM(R119)</f>
        <v>1</v>
      </c>
      <c r="AD120" s="84">
        <f>((AC120)/(AC118+AC119+AC120))*(100)</f>
        <v>29.268292682926834</v>
      </c>
      <c r="AE120" s="20"/>
    </row>
    <row r="121" spans="1:31" x14ac:dyDescent="0.3">
      <c r="O121" s="86">
        <v>11</v>
      </c>
      <c r="P121" s="24">
        <v>71</v>
      </c>
      <c r="Q121" s="32">
        <v>0.91666666666666663</v>
      </c>
      <c r="R121" s="32">
        <v>8.3333333333333329E-2</v>
      </c>
      <c r="S121" s="110">
        <v>2</v>
      </c>
      <c r="T121" s="80"/>
      <c r="U121" s="35"/>
      <c r="V121" s="80"/>
      <c r="W121" s="80"/>
      <c r="Y121" s="80"/>
      <c r="Z121" s="20"/>
      <c r="AA121" s="80"/>
      <c r="AB121" s="80"/>
      <c r="AD121" s="80"/>
      <c r="AE121" s="20"/>
    </row>
    <row r="122" spans="1:31" x14ac:dyDescent="0.3">
      <c r="O122" s="86">
        <v>15</v>
      </c>
      <c r="P122" s="28">
        <v>70</v>
      </c>
      <c r="Q122" s="33">
        <v>1</v>
      </c>
      <c r="R122" s="33">
        <v>0</v>
      </c>
      <c r="S122" s="110">
        <v>1</v>
      </c>
      <c r="T122" s="80"/>
      <c r="U122" s="35"/>
      <c r="V122" s="80"/>
      <c r="W122" s="80"/>
      <c r="Y122" s="80"/>
      <c r="Z122" s="20"/>
      <c r="AA122" s="80"/>
      <c r="AB122" s="80"/>
      <c r="AD122" s="80"/>
      <c r="AE122" s="20"/>
    </row>
    <row r="123" spans="1:31" x14ac:dyDescent="0.3">
      <c r="Q123" s="84">
        <f>SUM(Q117:Q122)</f>
        <v>2.583333333333333</v>
      </c>
      <c r="R123" s="84">
        <f>SUM(R117:R122)</f>
        <v>3.4166666666666665</v>
      </c>
      <c r="T123" s="80"/>
      <c r="U123" s="35"/>
      <c r="V123" s="80"/>
      <c r="W123" s="80"/>
      <c r="Y123" s="80"/>
      <c r="Z123" s="20"/>
      <c r="AA123" s="80"/>
      <c r="AB123" s="80"/>
      <c r="AD123" s="80"/>
      <c r="AE123" s="20"/>
    </row>
    <row r="124" spans="1:31" x14ac:dyDescent="0.3">
      <c r="T124" s="80"/>
      <c r="U124" s="35"/>
      <c r="V124" s="80"/>
      <c r="W124" s="80"/>
      <c r="Y124" s="80"/>
      <c r="Z124" s="20"/>
      <c r="AA124" s="80"/>
      <c r="AB124" s="80"/>
      <c r="AD124" s="80"/>
      <c r="AE124" s="20"/>
    </row>
    <row r="125" spans="1:31" x14ac:dyDescent="0.3">
      <c r="T125" s="80"/>
      <c r="U125" s="35"/>
      <c r="V125" s="80"/>
      <c r="W125" s="80"/>
      <c r="Y125" s="80"/>
      <c r="Z125" s="20"/>
      <c r="AA125" s="80"/>
      <c r="AB125" s="80"/>
      <c r="AD125" s="80"/>
      <c r="AE125" s="20"/>
    </row>
    <row r="126" spans="1:31" x14ac:dyDescent="0.3"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94"/>
      <c r="V126" s="44"/>
      <c r="W126" s="44"/>
      <c r="X126" s="44"/>
      <c r="Y126" s="44"/>
      <c r="Z126" s="91"/>
      <c r="AA126" s="44"/>
      <c r="AB126" s="80"/>
    </row>
    <row r="127" spans="1:31" x14ac:dyDescent="0.3">
      <c r="K127" s="44"/>
      <c r="L127" s="95"/>
      <c r="M127" s="44"/>
      <c r="N127" s="96"/>
      <c r="O127" s="44"/>
      <c r="P127" s="96"/>
      <c r="Q127" s="44"/>
      <c r="R127" s="44"/>
      <c r="S127" s="44"/>
      <c r="T127" s="44"/>
      <c r="U127" s="94"/>
      <c r="V127" s="44"/>
      <c r="W127" s="44"/>
      <c r="X127" s="44"/>
      <c r="Y127" s="44"/>
      <c r="Z127" s="91"/>
      <c r="AA127" s="44"/>
      <c r="AB127" s="80"/>
    </row>
    <row r="128" spans="1:31" x14ac:dyDescent="0.3">
      <c r="A128" s="44"/>
      <c r="B128" s="44"/>
      <c r="C128" s="44"/>
      <c r="K128" s="44"/>
      <c r="L128" s="96"/>
      <c r="M128" s="91"/>
      <c r="N128" s="44"/>
      <c r="O128" s="44"/>
      <c r="P128" s="96"/>
      <c r="Q128" s="44"/>
      <c r="R128" s="44"/>
      <c r="S128" s="44"/>
      <c r="T128" s="190"/>
      <c r="U128" s="190"/>
      <c r="V128" s="44"/>
      <c r="W128" s="44"/>
      <c r="X128" s="44"/>
      <c r="Y128" s="44"/>
      <c r="Z128" s="91"/>
      <c r="AA128" s="44"/>
      <c r="AB128" s="80"/>
    </row>
    <row r="129" spans="1:54" x14ac:dyDescent="0.3">
      <c r="A129" s="44"/>
      <c r="B129" s="44"/>
      <c r="C129" s="44"/>
      <c r="E129" s="44"/>
      <c r="F129" s="44"/>
      <c r="G129" s="44"/>
      <c r="K129" s="44"/>
      <c r="L129" s="96"/>
      <c r="M129" s="91"/>
      <c r="N129" s="44"/>
      <c r="O129" s="44"/>
      <c r="P129" s="96"/>
      <c r="Q129" s="44"/>
      <c r="R129" s="44"/>
      <c r="S129" s="44"/>
      <c r="T129" s="190"/>
      <c r="U129" s="190"/>
      <c r="V129" s="44"/>
      <c r="W129" s="44"/>
      <c r="X129" s="44"/>
      <c r="Y129" s="44"/>
      <c r="Z129" s="91"/>
      <c r="AA129" s="44"/>
      <c r="AB129" s="80"/>
    </row>
    <row r="130" spans="1:54" x14ac:dyDescent="0.3">
      <c r="A130" s="44"/>
      <c r="B130" s="44"/>
      <c r="C130" s="44"/>
      <c r="E130" s="44"/>
      <c r="F130" s="44"/>
      <c r="G130" s="44"/>
      <c r="K130" s="44"/>
      <c r="L130" s="96"/>
      <c r="M130" s="91"/>
      <c r="N130" s="44"/>
      <c r="O130" s="44"/>
      <c r="P130" s="96"/>
      <c r="Q130" s="44"/>
      <c r="R130" s="44"/>
      <c r="S130" s="44"/>
      <c r="T130" s="190"/>
      <c r="U130" s="190"/>
      <c r="V130" s="44"/>
      <c r="W130" s="44"/>
      <c r="X130" s="44"/>
      <c r="Y130" s="44"/>
      <c r="Z130" s="44"/>
      <c r="AA130" s="44"/>
    </row>
    <row r="131" spans="1:54" x14ac:dyDescent="0.3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</row>
    <row r="132" spans="1:54" x14ac:dyDescent="0.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</row>
    <row r="133" spans="1:54" x14ac:dyDescent="0.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</row>
    <row r="134" spans="1:54" x14ac:dyDescent="0.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</row>
    <row r="135" spans="1:54" x14ac:dyDescent="0.3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</row>
    <row r="136" spans="1:54" x14ac:dyDescent="0.3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</row>
    <row r="137" spans="1:54" x14ac:dyDescent="0.3">
      <c r="A137" s="48" t="s">
        <v>77</v>
      </c>
      <c r="B137" s="86" t="s">
        <v>129</v>
      </c>
      <c r="C137" s="104" t="s">
        <v>79</v>
      </c>
      <c r="D137" s="44"/>
      <c r="E137" s="44"/>
      <c r="F137" s="48" t="s">
        <v>77</v>
      </c>
      <c r="G137" s="86" t="s">
        <v>184</v>
      </c>
      <c r="H137" s="104" t="s">
        <v>79</v>
      </c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</row>
    <row r="138" spans="1:54" x14ac:dyDescent="0.3">
      <c r="A138" s="86">
        <v>1</v>
      </c>
      <c r="B138" s="32">
        <v>0.33333333333333331</v>
      </c>
      <c r="C138" s="110">
        <v>2</v>
      </c>
      <c r="D138" s="44"/>
      <c r="E138" s="44"/>
      <c r="F138" s="86">
        <v>1</v>
      </c>
      <c r="G138" s="32">
        <v>0.66666666666666663</v>
      </c>
      <c r="H138" s="110">
        <v>2</v>
      </c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</row>
    <row r="139" spans="1:54" x14ac:dyDescent="0.3">
      <c r="A139" s="86">
        <v>10</v>
      </c>
      <c r="B139" s="32">
        <v>0.33333333333333331</v>
      </c>
      <c r="C139" s="110">
        <v>2</v>
      </c>
      <c r="D139" s="44"/>
      <c r="F139" s="86">
        <v>3</v>
      </c>
      <c r="G139" s="32">
        <v>1</v>
      </c>
      <c r="H139" s="110">
        <v>1</v>
      </c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</row>
    <row r="140" spans="1:54" x14ac:dyDescent="0.3">
      <c r="A140" s="86">
        <v>11</v>
      </c>
      <c r="B140" s="32">
        <v>0.91666666666666663</v>
      </c>
      <c r="C140" s="110">
        <v>2</v>
      </c>
      <c r="D140" s="44"/>
      <c r="F140" s="86">
        <v>7</v>
      </c>
      <c r="G140" s="32">
        <v>1</v>
      </c>
      <c r="H140" s="110">
        <v>3</v>
      </c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</row>
    <row r="141" spans="1:54" x14ac:dyDescent="0.3">
      <c r="A141" s="86">
        <v>15</v>
      </c>
      <c r="B141" s="33">
        <v>1</v>
      </c>
      <c r="C141" s="110">
        <v>1</v>
      </c>
      <c r="F141" s="86">
        <v>10</v>
      </c>
      <c r="G141" s="32">
        <v>0.66666666666666663</v>
      </c>
      <c r="H141" s="110">
        <v>2</v>
      </c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190"/>
      <c r="AW141" s="190"/>
      <c r="AX141" s="190"/>
      <c r="AY141" s="44"/>
      <c r="AZ141" s="44"/>
      <c r="BA141" s="44"/>
      <c r="BB141" s="44"/>
    </row>
    <row r="142" spans="1:54" x14ac:dyDescent="0.3">
      <c r="F142" s="86">
        <v>11</v>
      </c>
      <c r="G142" s="32">
        <v>8.3333333333333329E-2</v>
      </c>
      <c r="H142" s="110">
        <v>2</v>
      </c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190"/>
      <c r="AW142" s="190"/>
      <c r="AX142" s="190"/>
      <c r="AY142" s="44"/>
      <c r="AZ142" s="44"/>
      <c r="BA142" s="44"/>
      <c r="BB142" s="44"/>
    </row>
    <row r="143" spans="1:54" x14ac:dyDescent="0.3"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190"/>
      <c r="AW143" s="190"/>
      <c r="AX143" s="190"/>
      <c r="AY143" s="44"/>
      <c r="AZ143" s="44"/>
      <c r="BA143" s="44"/>
      <c r="BB143" s="44"/>
    </row>
    <row r="144" spans="1:54" x14ac:dyDescent="0.3"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96"/>
      <c r="AM144" s="44"/>
      <c r="AN144" s="44"/>
      <c r="AO144" s="44"/>
      <c r="AP144" s="44"/>
      <c r="AQ144" s="44"/>
      <c r="AR144" s="44"/>
      <c r="AS144" s="44"/>
      <c r="AT144" s="44"/>
      <c r="AU144" s="44"/>
      <c r="AV144" s="190"/>
      <c r="AW144" s="190"/>
      <c r="AX144" s="190"/>
      <c r="AY144" s="44"/>
      <c r="AZ144" s="44"/>
      <c r="BA144" s="44"/>
      <c r="BB144" s="44"/>
    </row>
    <row r="145" spans="13:54" x14ac:dyDescent="0.3"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96"/>
      <c r="AM145" s="91"/>
      <c r="AN145" s="44"/>
      <c r="AO145" s="44"/>
      <c r="AP145" s="91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</row>
    <row r="146" spans="13:54" x14ac:dyDescent="0.3">
      <c r="M146" s="48" t="s">
        <v>77</v>
      </c>
      <c r="N146" s="86" t="s">
        <v>4</v>
      </c>
      <c r="O146" s="88" t="s">
        <v>92</v>
      </c>
      <c r="P146" s="4" t="s">
        <v>93</v>
      </c>
      <c r="Q146" s="104" t="s">
        <v>79</v>
      </c>
      <c r="R146" s="44"/>
      <c r="S146" s="84" t="s">
        <v>68</v>
      </c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96"/>
      <c r="AM146" s="91"/>
      <c r="AN146" s="44"/>
      <c r="AO146" s="44"/>
      <c r="AP146" s="91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</row>
    <row r="147" spans="13:54" x14ac:dyDescent="0.3">
      <c r="M147" s="86">
        <v>1</v>
      </c>
      <c r="N147" s="89">
        <v>52</v>
      </c>
      <c r="O147" s="86">
        <v>0</v>
      </c>
      <c r="P147" s="86">
        <v>1</v>
      </c>
      <c r="Q147" s="110">
        <v>2</v>
      </c>
      <c r="R147" s="44"/>
      <c r="S147" s="84" t="s">
        <v>55</v>
      </c>
      <c r="T147" s="84">
        <f>-((0))-((O151)/(O152)*LOG((O151)/(O152),2))-((O149)/(O152)*LOG((O149)/(O152),2))</f>
        <v>0.99679163198163656</v>
      </c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96"/>
      <c r="AM147" s="91"/>
      <c r="AN147" s="44"/>
      <c r="AO147" s="44"/>
      <c r="AP147" s="91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</row>
    <row r="148" spans="13:54" x14ac:dyDescent="0.3">
      <c r="M148" s="86">
        <v>3</v>
      </c>
      <c r="N148" s="89">
        <v>56</v>
      </c>
      <c r="O148" s="86">
        <v>0</v>
      </c>
      <c r="P148" s="86">
        <v>1</v>
      </c>
      <c r="Q148" s="110">
        <v>1</v>
      </c>
      <c r="R148" s="44"/>
      <c r="S148" s="84" t="s">
        <v>43</v>
      </c>
      <c r="T148" s="84">
        <f>-((P148)/(P152)*LOG((P148)/(P152),2))-((P147+P150)/(P152)*LOG((P147+P150)/(P152),2))-((P149)/(P152)*LOG((P149)/(P152),2))</f>
        <v>1.1238561897747248</v>
      </c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96"/>
      <c r="AM148" s="91"/>
      <c r="AN148" s="44"/>
      <c r="AO148" s="44"/>
      <c r="AP148" s="91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</row>
    <row r="149" spans="13:54" x14ac:dyDescent="0.3">
      <c r="M149" s="86">
        <v>7</v>
      </c>
      <c r="N149" s="89">
        <v>43</v>
      </c>
      <c r="O149" s="86">
        <v>0.875</v>
      </c>
      <c r="P149" s="86">
        <v>0.125</v>
      </c>
      <c r="Q149" s="110">
        <v>3</v>
      </c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96"/>
      <c r="AH149" s="44"/>
      <c r="AI149" s="44"/>
      <c r="AJ149" s="44"/>
      <c r="AK149" s="44"/>
      <c r="AL149" s="96"/>
      <c r="AM149" s="91"/>
      <c r="AN149" s="44"/>
      <c r="AO149" s="44"/>
      <c r="AP149" s="91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</row>
    <row r="150" spans="13:54" x14ac:dyDescent="0.3">
      <c r="M150" s="86">
        <v>10</v>
      </c>
      <c r="N150" s="89">
        <v>80</v>
      </c>
      <c r="O150" s="86">
        <v>0</v>
      </c>
      <c r="P150" s="86">
        <v>1</v>
      </c>
      <c r="Q150" s="110">
        <v>2</v>
      </c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96"/>
      <c r="AC150" s="44"/>
      <c r="AD150" s="44"/>
      <c r="AE150" s="44"/>
      <c r="AF150" s="44"/>
      <c r="AG150" s="96"/>
      <c r="AH150" s="44"/>
      <c r="AI150" s="91"/>
      <c r="AJ150" s="44"/>
      <c r="AK150" s="44"/>
      <c r="AL150" s="96"/>
      <c r="AM150" s="91"/>
      <c r="AN150" s="44"/>
      <c r="AO150" s="44"/>
      <c r="AP150" s="91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</row>
    <row r="151" spans="13:54" x14ac:dyDescent="0.3">
      <c r="M151" s="86">
        <v>11</v>
      </c>
      <c r="N151" s="89">
        <v>35</v>
      </c>
      <c r="O151" s="86">
        <v>1</v>
      </c>
      <c r="P151" s="86">
        <v>0</v>
      </c>
      <c r="Q151" s="110">
        <v>2</v>
      </c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96"/>
      <c r="AC151" s="44"/>
      <c r="AD151" s="91"/>
      <c r="AE151" s="44"/>
      <c r="AF151" s="44"/>
      <c r="AG151" s="96"/>
      <c r="AH151" s="44"/>
      <c r="AI151" s="91"/>
      <c r="AJ151" s="44"/>
      <c r="AK151" s="44"/>
      <c r="AL151" s="96"/>
      <c r="AM151" s="91"/>
      <c r="AN151" s="44"/>
      <c r="AO151" s="44"/>
      <c r="AP151" s="91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</row>
    <row r="152" spans="13:54" x14ac:dyDescent="0.3">
      <c r="O152" s="44">
        <f>SUM(O147:O151)</f>
        <v>1.875</v>
      </c>
      <c r="P152" s="44">
        <f>SUM(P147:P151)</f>
        <v>3.125</v>
      </c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96"/>
      <c r="AC152" s="44"/>
      <c r="AD152" s="91"/>
      <c r="AE152" s="44"/>
      <c r="AF152" s="44"/>
      <c r="AG152" s="96"/>
      <c r="AH152" s="44"/>
      <c r="AI152" s="91"/>
      <c r="AJ152" s="44"/>
      <c r="AK152" s="44"/>
      <c r="AL152" s="96"/>
      <c r="AM152" s="91"/>
      <c r="AN152" s="44"/>
      <c r="AO152" s="44"/>
      <c r="AP152" s="91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</row>
    <row r="153" spans="13:54" x14ac:dyDescent="0.3"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96"/>
      <c r="AC153" s="44"/>
      <c r="AD153" s="91"/>
      <c r="AE153" s="44"/>
      <c r="AF153" s="44"/>
      <c r="AG153" s="96"/>
      <c r="AH153" s="44"/>
      <c r="AI153" s="96"/>
      <c r="AJ153" s="44"/>
      <c r="AK153" s="44"/>
      <c r="AL153" s="96"/>
      <c r="AM153" s="91"/>
      <c r="AN153" s="44"/>
      <c r="AO153" s="44"/>
      <c r="AP153" s="91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</row>
    <row r="154" spans="13:54" x14ac:dyDescent="0.3">
      <c r="M154" s="46" t="s">
        <v>111</v>
      </c>
      <c r="N154" s="47"/>
      <c r="P154" s="80"/>
      <c r="Q154" s="46" t="s">
        <v>112</v>
      </c>
      <c r="R154" s="47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96"/>
      <c r="AH154" s="44"/>
      <c r="AI154" s="91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</row>
    <row r="155" spans="13:54" x14ac:dyDescent="0.3">
      <c r="M155" s="84" t="s">
        <v>81</v>
      </c>
      <c r="O155" s="84" t="s">
        <v>85</v>
      </c>
      <c r="P155" s="80"/>
      <c r="Q155" s="84" t="s">
        <v>81</v>
      </c>
      <c r="S155" s="84" t="s">
        <v>85</v>
      </c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96"/>
      <c r="AH155" s="44"/>
      <c r="AI155" s="91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</row>
    <row r="156" spans="13:54" x14ac:dyDescent="0.3">
      <c r="M156" s="90" t="s">
        <v>82</v>
      </c>
      <c r="N156" s="90">
        <v>0</v>
      </c>
      <c r="O156" s="90">
        <f>((N156)/(N156+N157+N158))*(100)</f>
        <v>0</v>
      </c>
      <c r="P156" s="80"/>
      <c r="Q156" s="90" t="s">
        <v>82</v>
      </c>
      <c r="R156" s="90">
        <f>SUM(P148)</f>
        <v>1</v>
      </c>
      <c r="S156" s="90">
        <f>((R156)/(R156+R157+R158))*(100)</f>
        <v>32</v>
      </c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96"/>
      <c r="AH156" s="44"/>
      <c r="AI156" s="91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</row>
    <row r="157" spans="13:54" x14ac:dyDescent="0.3">
      <c r="M157" s="90" t="s">
        <v>83</v>
      </c>
      <c r="N157" s="90">
        <f>SUM(O151)</f>
        <v>1</v>
      </c>
      <c r="O157" s="90">
        <f>((N157)/(N156+N157+N158))*(100)</f>
        <v>53.333333333333336</v>
      </c>
      <c r="P157" s="80"/>
      <c r="Q157" s="101" t="s">
        <v>83</v>
      </c>
      <c r="R157" s="101">
        <f>SUM(P147,P150)</f>
        <v>2</v>
      </c>
      <c r="S157" s="101">
        <f>((R157)/(R156+R157+R158))*(100)</f>
        <v>64</v>
      </c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96"/>
      <c r="AH157" s="44"/>
      <c r="AI157" s="91"/>
      <c r="AJ157" s="44"/>
      <c r="AK157" s="44"/>
      <c r="AL157" s="96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</row>
    <row r="158" spans="13:54" x14ac:dyDescent="0.3">
      <c r="M158" s="84" t="s">
        <v>84</v>
      </c>
      <c r="N158" s="84">
        <f>SUM(O149)</f>
        <v>0.875</v>
      </c>
      <c r="O158" s="84">
        <f>((N158)/(N156+N157+N158))*(100)</f>
        <v>46.666666666666664</v>
      </c>
      <c r="P158" s="80"/>
      <c r="Q158" s="84" t="s">
        <v>84</v>
      </c>
      <c r="R158" s="84">
        <f>SUM(P149)</f>
        <v>0.125</v>
      </c>
      <c r="S158" s="84">
        <f>((R158)/(R156+R157+R158))*(100)</f>
        <v>4</v>
      </c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96"/>
      <c r="AH158" s="44"/>
      <c r="AI158" s="91"/>
      <c r="AJ158" s="44"/>
      <c r="AK158" s="44"/>
      <c r="AL158" s="96"/>
      <c r="AM158" s="44"/>
      <c r="AN158" s="44"/>
      <c r="AO158" s="44"/>
      <c r="AP158" s="91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</row>
    <row r="159" spans="13:54" x14ac:dyDescent="0.3"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96"/>
      <c r="AH159" s="44"/>
      <c r="AI159" s="91"/>
      <c r="AJ159" s="44"/>
      <c r="AK159" s="44"/>
      <c r="AL159" s="96"/>
      <c r="AM159" s="44"/>
      <c r="AN159" s="44"/>
      <c r="AO159" s="44"/>
      <c r="AP159" s="91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</row>
    <row r="160" spans="13:54" x14ac:dyDescent="0.3"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96"/>
      <c r="AM160" s="44"/>
      <c r="AN160" s="44"/>
      <c r="AO160" s="44"/>
      <c r="AP160" s="91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</row>
    <row r="161" spans="15:54" x14ac:dyDescent="0.3"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96"/>
      <c r="AM161" s="44"/>
      <c r="AN161" s="44"/>
      <c r="AO161" s="44"/>
      <c r="AP161" s="91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</row>
    <row r="162" spans="15:54" x14ac:dyDescent="0.3"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7"/>
      <c r="AD162" s="47"/>
      <c r="AE162" s="44"/>
      <c r="AF162" s="44"/>
      <c r="AG162" s="47"/>
      <c r="AH162" s="47"/>
      <c r="AI162" s="44"/>
      <c r="AJ162" s="44"/>
      <c r="AK162" s="44"/>
      <c r="AL162" s="96"/>
      <c r="AM162" s="44"/>
      <c r="AN162" s="44"/>
      <c r="AO162" s="44"/>
      <c r="AP162" s="91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</row>
    <row r="163" spans="15:54" x14ac:dyDescent="0.3"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96"/>
      <c r="AM163" s="44"/>
      <c r="AN163" s="44"/>
      <c r="AO163" s="44"/>
      <c r="AP163" s="91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</row>
    <row r="164" spans="15:54" x14ac:dyDescent="0.3"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96"/>
      <c r="AM164" s="44"/>
      <c r="AN164" s="44"/>
      <c r="AO164" s="44"/>
      <c r="AP164" s="91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</row>
    <row r="165" spans="15:54" x14ac:dyDescent="0.3"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190"/>
      <c r="AB165" s="190"/>
      <c r="AC165" s="44"/>
      <c r="AD165" s="44"/>
      <c r="AE165" s="44"/>
      <c r="AF165" s="44"/>
      <c r="AG165" s="44"/>
      <c r="AH165" s="44"/>
      <c r="AI165" s="44"/>
      <c r="AJ165" s="44"/>
      <c r="AK165" s="44"/>
      <c r="AL165" s="96"/>
      <c r="AM165" s="44"/>
      <c r="AN165" s="44"/>
      <c r="AO165" s="44"/>
      <c r="AP165" s="91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</row>
    <row r="166" spans="15:54" x14ac:dyDescent="0.3"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96"/>
      <c r="AM166" s="44"/>
      <c r="AN166" s="44"/>
      <c r="AO166" s="44"/>
      <c r="AP166" s="91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</row>
    <row r="167" spans="15:54" x14ac:dyDescent="0.3"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</row>
    <row r="168" spans="15:54" x14ac:dyDescent="0.3"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</row>
    <row r="169" spans="15:54" x14ac:dyDescent="0.3"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</row>
    <row r="170" spans="15:54" x14ac:dyDescent="0.3"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96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</row>
    <row r="171" spans="15:54" x14ac:dyDescent="0.3"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96"/>
      <c r="AM171" s="91"/>
      <c r="AN171" s="44"/>
      <c r="AO171" s="44"/>
      <c r="AP171" s="91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</row>
    <row r="172" spans="15:54" x14ac:dyDescent="0.3"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96"/>
      <c r="AM172" s="91"/>
      <c r="AN172" s="44"/>
      <c r="AO172" s="44"/>
      <c r="AP172" s="91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</row>
    <row r="173" spans="15:54" x14ac:dyDescent="0.3"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96"/>
      <c r="AM173" s="91"/>
      <c r="AN173" s="44"/>
      <c r="AO173" s="44"/>
      <c r="AP173" s="91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</row>
    <row r="174" spans="15:54" x14ac:dyDescent="0.3"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96"/>
      <c r="AM174" s="96"/>
      <c r="AN174" s="44"/>
      <c r="AO174" s="44"/>
      <c r="AP174" s="96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</row>
    <row r="175" spans="15:54" x14ac:dyDescent="0.3"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96"/>
      <c r="AM175" s="91"/>
      <c r="AN175" s="44"/>
      <c r="AO175" s="44"/>
      <c r="AP175" s="91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</row>
    <row r="176" spans="15:54" x14ac:dyDescent="0.3"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96"/>
      <c r="AM176" s="91"/>
      <c r="AN176" s="44"/>
      <c r="AO176" s="44"/>
      <c r="AP176" s="91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</row>
    <row r="177" spans="4:54" x14ac:dyDescent="0.3"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96"/>
      <c r="AM177" s="91"/>
      <c r="AN177" s="44"/>
      <c r="AO177" s="44"/>
      <c r="AP177" s="91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</row>
    <row r="178" spans="4:54" x14ac:dyDescent="0.3"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96"/>
      <c r="AM178" s="91"/>
      <c r="AN178" s="44"/>
      <c r="AO178" s="44"/>
      <c r="AP178" s="91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</row>
    <row r="179" spans="4:54" x14ac:dyDescent="0.3"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96"/>
      <c r="AM179" s="91"/>
      <c r="AN179" s="44"/>
      <c r="AO179" s="44"/>
      <c r="AP179" s="91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</row>
    <row r="180" spans="4:54" x14ac:dyDescent="0.3"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</row>
    <row r="181" spans="4:54" x14ac:dyDescent="0.3"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</row>
    <row r="182" spans="4:54" x14ac:dyDescent="0.3"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</row>
    <row r="183" spans="4:54" x14ac:dyDescent="0.3">
      <c r="I183" s="48" t="s">
        <v>77</v>
      </c>
      <c r="J183" s="4" t="s">
        <v>93</v>
      </c>
      <c r="K183" s="104" t="s">
        <v>79</v>
      </c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</row>
    <row r="184" spans="4:54" x14ac:dyDescent="0.3">
      <c r="D184" s="48" t="s">
        <v>77</v>
      </c>
      <c r="E184" s="88" t="s">
        <v>92</v>
      </c>
      <c r="F184" s="104" t="s">
        <v>79</v>
      </c>
      <c r="I184" s="86">
        <v>1</v>
      </c>
      <c r="J184" s="86">
        <v>1</v>
      </c>
      <c r="K184" s="110">
        <v>2</v>
      </c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</row>
    <row r="185" spans="4:54" x14ac:dyDescent="0.3">
      <c r="D185" s="86">
        <v>7</v>
      </c>
      <c r="E185" s="86">
        <v>0.875</v>
      </c>
      <c r="F185" s="110">
        <v>3</v>
      </c>
      <c r="I185" s="86">
        <v>3</v>
      </c>
      <c r="J185" s="86">
        <v>1</v>
      </c>
      <c r="K185" s="110">
        <v>1</v>
      </c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</row>
    <row r="186" spans="4:54" x14ac:dyDescent="0.3">
      <c r="D186" s="86">
        <v>11</v>
      </c>
      <c r="E186" s="86">
        <v>1</v>
      </c>
      <c r="F186" s="110">
        <v>2</v>
      </c>
      <c r="I186" s="86">
        <v>7</v>
      </c>
      <c r="J186" s="86">
        <v>0.125</v>
      </c>
      <c r="K186" s="110">
        <v>3</v>
      </c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96"/>
      <c r="AM186" s="44"/>
      <c r="AN186" s="44"/>
      <c r="AO186" s="44"/>
      <c r="AP186" s="44"/>
      <c r="AQ186" s="44"/>
      <c r="AR186" s="44"/>
      <c r="AS186" s="44"/>
      <c r="AT186" s="44"/>
      <c r="AU186" s="190"/>
      <c r="AV186" s="190"/>
      <c r="AW186" s="190"/>
      <c r="AX186" s="44"/>
      <c r="AY186" s="44"/>
      <c r="AZ186" s="44"/>
      <c r="BA186" s="44"/>
      <c r="BB186" s="44"/>
    </row>
    <row r="187" spans="4:54" x14ac:dyDescent="0.3">
      <c r="I187" s="86">
        <v>10</v>
      </c>
      <c r="J187" s="86">
        <v>1</v>
      </c>
      <c r="K187" s="110">
        <v>2</v>
      </c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96"/>
      <c r="AM187" s="91"/>
      <c r="AN187" s="44"/>
      <c r="AO187" s="44"/>
      <c r="AP187" s="91"/>
      <c r="AQ187" s="44"/>
      <c r="AR187" s="44"/>
      <c r="AS187" s="44"/>
      <c r="AT187" s="44"/>
      <c r="AU187" s="190"/>
      <c r="AV187" s="190"/>
      <c r="AW187" s="190"/>
      <c r="AX187" s="44"/>
      <c r="AY187" s="44"/>
      <c r="AZ187" s="44"/>
      <c r="BA187" s="44"/>
      <c r="BB187" s="44"/>
    </row>
    <row r="188" spans="4:54" x14ac:dyDescent="0.3"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96"/>
      <c r="AM188" s="91"/>
      <c r="AN188" s="44"/>
      <c r="AO188" s="44"/>
      <c r="AP188" s="91"/>
      <c r="AQ188" s="44"/>
      <c r="AR188" s="44"/>
      <c r="AS188" s="44"/>
      <c r="AT188" s="44"/>
      <c r="AU188" s="190"/>
      <c r="AV188" s="190"/>
      <c r="AW188" s="190"/>
      <c r="AX188" s="44"/>
      <c r="AY188" s="44"/>
      <c r="AZ188" s="44"/>
      <c r="BA188" s="44"/>
      <c r="BB188" s="44"/>
    </row>
    <row r="189" spans="4:54" ht="15" thickBot="1" x14ac:dyDescent="0.35"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96"/>
      <c r="AM189" s="91"/>
      <c r="AN189" s="44"/>
      <c r="AO189" s="44"/>
      <c r="AP189" s="91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</row>
    <row r="190" spans="4:54" x14ac:dyDescent="0.3">
      <c r="N190" s="48" t="s">
        <v>77</v>
      </c>
      <c r="O190" s="86" t="s">
        <v>7</v>
      </c>
      <c r="P190" s="86" t="s">
        <v>57</v>
      </c>
      <c r="Q190" s="86" t="s">
        <v>58</v>
      </c>
      <c r="R190" s="107" t="s">
        <v>79</v>
      </c>
      <c r="S190" s="84" t="s">
        <v>74</v>
      </c>
      <c r="U190" s="44"/>
      <c r="V190" s="44"/>
      <c r="W190" s="44"/>
      <c r="X190" s="44"/>
      <c r="Y190" s="181" t="s">
        <v>63</v>
      </c>
      <c r="Z190" s="182"/>
      <c r="AA190" s="183"/>
      <c r="AB190" s="181">
        <f>-((2/8)*LOG((2/8),2))-((3/8)*LOG((3/8),2))-((3/8)*LOG((3/8),2))</f>
        <v>1.5612781244591325</v>
      </c>
      <c r="AC190" s="182"/>
      <c r="AD190" s="183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</row>
    <row r="191" spans="4:54" x14ac:dyDescent="0.3">
      <c r="N191" s="86">
        <v>1</v>
      </c>
      <c r="O191" s="24">
        <v>78</v>
      </c>
      <c r="P191" s="32">
        <v>0.33333333333333331</v>
      </c>
      <c r="Q191" s="32">
        <v>0.66666666666666663</v>
      </c>
      <c r="R191" s="108">
        <v>2</v>
      </c>
      <c r="S191" s="84" t="s">
        <v>57</v>
      </c>
      <c r="T191" s="84">
        <f>-((P198)/(P199)*LOG((P198)/(P199),2))-((P191+P195+P196)/(P199)*LOG((P191+P195+P196)/(P199),2))-(0)</f>
        <v>0.96290041477132682</v>
      </c>
      <c r="U191" s="44"/>
      <c r="V191" s="44"/>
      <c r="W191" s="44"/>
      <c r="X191" s="44"/>
      <c r="Y191" s="199" t="s">
        <v>65</v>
      </c>
      <c r="Z191" s="200"/>
      <c r="AA191" s="201"/>
      <c r="AB191" s="199">
        <f>(AB190)-((P199/8)*T191)-((Q199/8)*T192)</f>
        <v>0.28336039172030136</v>
      </c>
      <c r="AC191" s="200"/>
      <c r="AD191" s="201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</row>
    <row r="192" spans="4:54" x14ac:dyDescent="0.3">
      <c r="N192" s="86">
        <v>3</v>
      </c>
      <c r="O192" s="24">
        <v>98</v>
      </c>
      <c r="P192" s="32">
        <v>0</v>
      </c>
      <c r="Q192" s="32">
        <v>1</v>
      </c>
      <c r="R192" s="108">
        <v>1</v>
      </c>
      <c r="S192" s="84" t="s">
        <v>58</v>
      </c>
      <c r="T192" s="84">
        <f>-((Q192)/(Q199)*LOG((Q192)/(Q199),2))-((Q191+Q195+Q196)/(Q199)*LOG((Q191+Q195+Q196)/(Q199),2))-((Q193+Q194+Q197)/(Q199)*LOG((Q193+Q194+Q197)/(Q199),2))</f>
        <v>1.4281567613079487</v>
      </c>
      <c r="U192" s="44"/>
      <c r="V192" s="44"/>
      <c r="W192" s="44"/>
      <c r="X192" s="44"/>
      <c r="Y192" s="205" t="s">
        <v>73</v>
      </c>
      <c r="Z192" s="206"/>
      <c r="AA192" s="207"/>
      <c r="AB192" s="205">
        <f>(AB190)-((P211/8)*T203)-((Q211/8)*T204)</f>
        <v>1.5712127384097663E-2</v>
      </c>
      <c r="AC192" s="206"/>
      <c r="AD192" s="207"/>
      <c r="AE192" s="44"/>
      <c r="AF192" s="44"/>
      <c r="AG192" s="44"/>
      <c r="AH192" s="44"/>
      <c r="AI192" s="44"/>
      <c r="AJ192" s="44"/>
      <c r="AK192" s="44"/>
      <c r="AL192" s="96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</row>
    <row r="193" spans="14:54" x14ac:dyDescent="0.3">
      <c r="N193" s="86">
        <v>7</v>
      </c>
      <c r="O193" s="24">
        <v>89</v>
      </c>
      <c r="P193" s="32">
        <v>0</v>
      </c>
      <c r="Q193" s="32">
        <v>1</v>
      </c>
      <c r="R193" s="108">
        <v>3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96"/>
      <c r="AM193" s="44"/>
      <c r="AN193" s="44"/>
      <c r="AO193" s="44"/>
      <c r="AP193" s="91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</row>
    <row r="194" spans="14:54" x14ac:dyDescent="0.3">
      <c r="N194" s="86">
        <v>8</v>
      </c>
      <c r="O194" s="24">
        <v>91</v>
      </c>
      <c r="P194" s="32">
        <v>0</v>
      </c>
      <c r="Q194" s="32">
        <v>1</v>
      </c>
      <c r="R194" s="108">
        <v>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96"/>
      <c r="AM194" s="44"/>
      <c r="AN194" s="44"/>
      <c r="AO194" s="44"/>
      <c r="AP194" s="91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</row>
    <row r="195" spans="14:54" x14ac:dyDescent="0.3">
      <c r="N195" s="86">
        <v>10</v>
      </c>
      <c r="O195" s="24">
        <v>78</v>
      </c>
      <c r="P195" s="32">
        <v>0.33333333333333331</v>
      </c>
      <c r="Q195" s="32">
        <v>0.66666666666666663</v>
      </c>
      <c r="R195" s="108">
        <v>2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96"/>
      <c r="AM195" s="44"/>
      <c r="AN195" s="44"/>
      <c r="AO195" s="44"/>
      <c r="AP195" s="91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</row>
    <row r="196" spans="14:54" x14ac:dyDescent="0.3">
      <c r="N196" s="86">
        <v>11</v>
      </c>
      <c r="O196" s="24">
        <v>71</v>
      </c>
      <c r="P196" s="32">
        <v>0.91666666666666663</v>
      </c>
      <c r="Q196" s="32">
        <v>8.3333333333333329E-2</v>
      </c>
      <c r="R196" s="108">
        <v>2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</row>
    <row r="197" spans="14:54" x14ac:dyDescent="0.3">
      <c r="N197" s="86">
        <v>13</v>
      </c>
      <c r="O197" s="27">
        <v>88</v>
      </c>
      <c r="P197" s="31">
        <v>0</v>
      </c>
      <c r="Q197" s="31">
        <v>1</v>
      </c>
      <c r="R197" s="108">
        <v>3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</row>
    <row r="198" spans="14:54" ht="15" thickBot="1" x14ac:dyDescent="0.35">
      <c r="N198" s="86">
        <v>15</v>
      </c>
      <c r="O198" s="28">
        <v>70</v>
      </c>
      <c r="P198" s="33">
        <v>1</v>
      </c>
      <c r="Q198" s="33">
        <v>0</v>
      </c>
      <c r="R198" s="109">
        <v>1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96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</row>
    <row r="199" spans="14:54" x14ac:dyDescent="0.3">
      <c r="O199" s="44"/>
      <c r="P199" s="44">
        <f>SUM(P191:P198)</f>
        <v>2.583333333333333</v>
      </c>
      <c r="Q199" s="44">
        <f>SUM(Q191:Q198)</f>
        <v>5.4166666666666661</v>
      </c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96"/>
      <c r="AM199" s="91"/>
      <c r="AN199" s="44"/>
      <c r="AO199" s="44"/>
      <c r="AP199" s="91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</row>
    <row r="200" spans="14:54" x14ac:dyDescent="0.3"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96"/>
      <c r="AM200" s="91"/>
      <c r="AN200" s="44"/>
      <c r="AO200" s="44"/>
      <c r="AP200" s="91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</row>
    <row r="201" spans="14:54" x14ac:dyDescent="0.3"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96"/>
      <c r="AM201" s="91"/>
      <c r="AN201" s="44"/>
      <c r="AO201" s="44"/>
      <c r="AP201" s="91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</row>
    <row r="202" spans="14:54" x14ac:dyDescent="0.3">
      <c r="N202" s="48" t="s">
        <v>77</v>
      </c>
      <c r="O202" s="86" t="s">
        <v>42</v>
      </c>
      <c r="P202" s="86" t="s">
        <v>55</v>
      </c>
      <c r="Q202" s="86" t="s">
        <v>43</v>
      </c>
      <c r="R202" s="86" t="s">
        <v>79</v>
      </c>
      <c r="S202" s="84" t="s">
        <v>68</v>
      </c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</row>
    <row r="203" spans="14:54" x14ac:dyDescent="0.3">
      <c r="N203" s="86">
        <v>1</v>
      </c>
      <c r="O203" s="89">
        <v>52</v>
      </c>
      <c r="P203" s="86">
        <v>0</v>
      </c>
      <c r="Q203" s="86">
        <v>1</v>
      </c>
      <c r="R203" s="89">
        <v>2</v>
      </c>
      <c r="S203" s="84" t="s">
        <v>55</v>
      </c>
      <c r="T203" s="84">
        <f>-((P210)/(P211)*LOG((P210)/(P211),2))-((P208)/(P211)*LOG((P208)/(P211),2))-((P205+P206)/(P211)*LOG((P205+P206)/(P211),2))</f>
        <v>1.5849625007211561</v>
      </c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</row>
    <row r="204" spans="14:54" x14ac:dyDescent="0.3">
      <c r="N204" s="86">
        <v>3</v>
      </c>
      <c r="O204" s="89">
        <v>56</v>
      </c>
      <c r="P204" s="86">
        <v>0</v>
      </c>
      <c r="Q204" s="86">
        <v>1</v>
      </c>
      <c r="R204" s="89">
        <v>1</v>
      </c>
      <c r="S204" s="84" t="s">
        <v>43</v>
      </c>
      <c r="T204" s="84">
        <f>-((Q204)/(Q211)*LOG((Q204)/(Q211),2))-((Q203+Q207)/(Q211)*LOG((Q203+Q207)/(Q211),2))-((Q205+Q206+Q209)/(Q211)*LOG((Q205+Q206+Q209)/(Q211),2))</f>
        <v>1.5219280948873621</v>
      </c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</row>
    <row r="205" spans="14:54" x14ac:dyDescent="0.3">
      <c r="N205" s="86">
        <v>7</v>
      </c>
      <c r="O205" s="89">
        <v>43</v>
      </c>
      <c r="P205" s="86">
        <v>0.875</v>
      </c>
      <c r="Q205" s="86">
        <v>0.125</v>
      </c>
      <c r="R205" s="89">
        <v>3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</row>
    <row r="206" spans="14:54" x14ac:dyDescent="0.3">
      <c r="N206" s="86">
        <v>8</v>
      </c>
      <c r="O206" s="89">
        <v>49</v>
      </c>
      <c r="P206" s="86">
        <v>0.125</v>
      </c>
      <c r="Q206" s="86">
        <v>0.875</v>
      </c>
      <c r="R206" s="89">
        <v>3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</row>
    <row r="207" spans="14:54" x14ac:dyDescent="0.3">
      <c r="N207" s="86">
        <v>10</v>
      </c>
      <c r="O207" s="89">
        <v>80</v>
      </c>
      <c r="P207" s="86">
        <v>0</v>
      </c>
      <c r="Q207" s="86">
        <v>1</v>
      </c>
      <c r="R207" s="89">
        <v>2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</row>
    <row r="208" spans="14:54" x14ac:dyDescent="0.3">
      <c r="N208" s="86">
        <v>11</v>
      </c>
      <c r="O208" s="89">
        <v>35</v>
      </c>
      <c r="P208" s="86">
        <v>1</v>
      </c>
      <c r="Q208" s="86">
        <v>0</v>
      </c>
      <c r="R208" s="89">
        <v>2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</row>
    <row r="209" spans="9:54" x14ac:dyDescent="0.3">
      <c r="N209" s="86">
        <v>13</v>
      </c>
      <c r="O209" s="89">
        <v>66</v>
      </c>
      <c r="P209" s="86">
        <v>0</v>
      </c>
      <c r="Q209" s="86">
        <v>1</v>
      </c>
      <c r="R209" s="89">
        <v>3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</row>
    <row r="210" spans="9:54" x14ac:dyDescent="0.3">
      <c r="N210" s="86">
        <v>15</v>
      </c>
      <c r="O210" s="89">
        <v>22</v>
      </c>
      <c r="P210" s="86">
        <v>1</v>
      </c>
      <c r="Q210" s="86">
        <v>0</v>
      </c>
      <c r="R210" s="89">
        <v>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</row>
    <row r="211" spans="9:54" x14ac:dyDescent="0.3">
      <c r="O211" s="44"/>
      <c r="P211" s="44">
        <f>SUM(P203:P210)</f>
        <v>3</v>
      </c>
      <c r="Q211" s="44">
        <f>SUM(Q203:Q210)</f>
        <v>5</v>
      </c>
      <c r="R211" s="44"/>
      <c r="S211" s="44"/>
      <c r="T211" s="44"/>
      <c r="U211" s="44"/>
      <c r="V211" s="44"/>
      <c r="W211" s="44"/>
      <c r="X211" s="44"/>
      <c r="Y211" s="44"/>
      <c r="Z211" s="96"/>
      <c r="AA211" s="44"/>
      <c r="AB211" s="44"/>
      <c r="AC211" s="44"/>
      <c r="AD211" s="96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</row>
    <row r="212" spans="9:54" x14ac:dyDescent="0.3"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96"/>
      <c r="AA212" s="44"/>
      <c r="AB212" s="91"/>
      <c r="AC212" s="44"/>
      <c r="AD212" s="96"/>
      <c r="AE212" s="44"/>
      <c r="AF212" s="91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</row>
    <row r="213" spans="9:54" x14ac:dyDescent="0.3"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96"/>
      <c r="AA213" s="44"/>
      <c r="AB213" s="91"/>
      <c r="AC213" s="44"/>
      <c r="AD213" s="96"/>
      <c r="AE213" s="44"/>
      <c r="AF213" s="91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</row>
    <row r="214" spans="9:54" x14ac:dyDescent="0.3"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96"/>
      <c r="AA214" s="44"/>
      <c r="AB214" s="91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</row>
    <row r="215" spans="9:54" x14ac:dyDescent="0.3">
      <c r="I215" s="48" t="s">
        <v>77</v>
      </c>
      <c r="J215" s="86" t="s">
        <v>55</v>
      </c>
      <c r="K215" s="86" t="s">
        <v>79</v>
      </c>
      <c r="M215" s="48" t="s">
        <v>77</v>
      </c>
      <c r="N215" s="86" t="s">
        <v>43</v>
      </c>
      <c r="O215" s="86" t="s">
        <v>79</v>
      </c>
      <c r="P215" s="44"/>
      <c r="Q215" s="46" t="s">
        <v>111</v>
      </c>
      <c r="R215" s="47"/>
      <c r="T215" s="80"/>
      <c r="U215" s="46" t="s">
        <v>112</v>
      </c>
      <c r="V215" s="47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</row>
    <row r="216" spans="9:54" x14ac:dyDescent="0.3">
      <c r="I216" s="86">
        <v>7</v>
      </c>
      <c r="J216" s="86">
        <v>0.875</v>
      </c>
      <c r="K216" s="89">
        <v>3</v>
      </c>
      <c r="M216" s="86">
        <v>1</v>
      </c>
      <c r="N216" s="86">
        <v>1</v>
      </c>
      <c r="O216" s="89">
        <v>2</v>
      </c>
      <c r="P216" s="44"/>
      <c r="Q216" s="84" t="s">
        <v>81</v>
      </c>
      <c r="S216" s="84" t="s">
        <v>85</v>
      </c>
      <c r="T216" s="80"/>
      <c r="U216" s="84" t="s">
        <v>81</v>
      </c>
      <c r="W216" s="84" t="s">
        <v>85</v>
      </c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</row>
    <row r="217" spans="9:54" x14ac:dyDescent="0.3">
      <c r="I217" s="86">
        <v>8</v>
      </c>
      <c r="J217" s="86">
        <v>0.125</v>
      </c>
      <c r="K217" s="89">
        <v>3</v>
      </c>
      <c r="M217" s="86">
        <v>3</v>
      </c>
      <c r="N217" s="86">
        <v>1</v>
      </c>
      <c r="O217" s="89">
        <v>1</v>
      </c>
      <c r="P217" s="44"/>
      <c r="Q217" s="90" t="s">
        <v>82</v>
      </c>
      <c r="R217" s="90">
        <f>SUM(P210)</f>
        <v>1</v>
      </c>
      <c r="S217" s="90">
        <f>((R217)/(R217+R218+R219))*(100)</f>
        <v>33.333333333333329</v>
      </c>
      <c r="T217" s="80"/>
      <c r="U217" s="90" t="s">
        <v>82</v>
      </c>
      <c r="V217" s="90">
        <f>SUM(Q204)</f>
        <v>1</v>
      </c>
      <c r="W217" s="90">
        <f>((V217)/(V217+V218+V219))*(100)</f>
        <v>20</v>
      </c>
      <c r="X217" s="44"/>
      <c r="Y217" s="44"/>
      <c r="Z217" s="44"/>
      <c r="AA217" s="47"/>
      <c r="AB217" s="47"/>
      <c r="AC217" s="44"/>
      <c r="AD217" s="44"/>
      <c r="AE217" s="47"/>
      <c r="AF217" s="47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</row>
    <row r="218" spans="9:54" x14ac:dyDescent="0.3">
      <c r="I218" s="86">
        <v>11</v>
      </c>
      <c r="J218" s="86">
        <v>1</v>
      </c>
      <c r="K218" s="89">
        <v>2</v>
      </c>
      <c r="M218" s="86">
        <v>7</v>
      </c>
      <c r="N218" s="86">
        <v>0.125</v>
      </c>
      <c r="O218" s="89">
        <v>3</v>
      </c>
      <c r="P218" s="44"/>
      <c r="Q218" s="90" t="s">
        <v>83</v>
      </c>
      <c r="R218" s="90">
        <f>SUM(P208)</f>
        <v>1</v>
      </c>
      <c r="S218" s="90">
        <f>((R218)/(R217+R218+R219))*(100)</f>
        <v>33.333333333333329</v>
      </c>
      <c r="T218" s="80"/>
      <c r="U218" s="90" t="s">
        <v>83</v>
      </c>
      <c r="V218" s="90">
        <f>SUM(Q203,Q207)</f>
        <v>2</v>
      </c>
      <c r="W218" s="90">
        <f>((V218)/(V217+V218+V219))*(100)</f>
        <v>40</v>
      </c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</row>
    <row r="219" spans="9:54" x14ac:dyDescent="0.3">
      <c r="I219" s="86">
        <v>15</v>
      </c>
      <c r="J219" s="86">
        <v>1</v>
      </c>
      <c r="K219" s="89">
        <v>1</v>
      </c>
      <c r="M219" s="86">
        <v>8</v>
      </c>
      <c r="N219" s="86">
        <v>0.875</v>
      </c>
      <c r="O219" s="89">
        <v>3</v>
      </c>
      <c r="P219" s="44"/>
      <c r="Q219" s="84" t="s">
        <v>84</v>
      </c>
      <c r="R219" s="84">
        <f>SUM(P205,P206)</f>
        <v>1</v>
      </c>
      <c r="S219" s="84">
        <f>((R219)/(R217+R218+R219))*(100)</f>
        <v>33.333333333333329</v>
      </c>
      <c r="T219" s="80"/>
      <c r="U219" s="84" t="s">
        <v>84</v>
      </c>
      <c r="V219" s="84">
        <f>SUM(Q205,Q206,Q209)</f>
        <v>2</v>
      </c>
      <c r="W219" s="84">
        <f>((V219)/(V217+V218+V219))*(100)</f>
        <v>40</v>
      </c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</row>
    <row r="220" spans="9:54" x14ac:dyDescent="0.3">
      <c r="M220" s="86">
        <v>10</v>
      </c>
      <c r="N220" s="86">
        <v>1</v>
      </c>
      <c r="O220" s="89">
        <v>2</v>
      </c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</row>
    <row r="221" spans="9:54" x14ac:dyDescent="0.3">
      <c r="M221" s="86">
        <v>13</v>
      </c>
      <c r="N221" s="86">
        <v>1</v>
      </c>
      <c r="O221" s="89">
        <v>3</v>
      </c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</row>
    <row r="222" spans="9:54" x14ac:dyDescent="0.3"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</row>
    <row r="223" spans="9:54" x14ac:dyDescent="0.3"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</row>
    <row r="224" spans="9:54" x14ac:dyDescent="0.3"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</row>
    <row r="225" spans="15:54" x14ac:dyDescent="0.3"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96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</row>
    <row r="226" spans="15:54" x14ac:dyDescent="0.3"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96"/>
      <c r="AN226" s="44"/>
      <c r="AO226" s="44"/>
      <c r="AP226" s="44"/>
      <c r="AQ226" s="91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</row>
    <row r="227" spans="15:54" x14ac:dyDescent="0.3"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96"/>
      <c r="AN227" s="44"/>
      <c r="AO227" s="44"/>
      <c r="AP227" s="44"/>
      <c r="AQ227" s="91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</row>
    <row r="228" spans="15:54" x14ac:dyDescent="0.3"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96"/>
      <c r="AN228" s="44"/>
      <c r="AO228" s="44"/>
      <c r="AP228" s="44"/>
      <c r="AQ228" s="91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</row>
    <row r="229" spans="15:54" x14ac:dyDescent="0.3"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</row>
    <row r="230" spans="15:54" x14ac:dyDescent="0.3"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</row>
    <row r="231" spans="15:54" x14ac:dyDescent="0.3"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</row>
    <row r="232" spans="15:54" x14ac:dyDescent="0.3"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</row>
    <row r="233" spans="15:54" ht="15" thickBot="1" x14ac:dyDescent="0.35"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</row>
    <row r="234" spans="15:54" x14ac:dyDescent="0.3">
      <c r="O234" s="48" t="s">
        <v>77</v>
      </c>
      <c r="P234" s="86" t="s">
        <v>7</v>
      </c>
      <c r="Q234" s="86" t="s">
        <v>57</v>
      </c>
      <c r="R234" s="86" t="s">
        <v>58</v>
      </c>
      <c r="S234" s="107" t="s">
        <v>79</v>
      </c>
      <c r="T234" s="84" t="s">
        <v>74</v>
      </c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</row>
    <row r="235" spans="15:54" x14ac:dyDescent="0.3">
      <c r="O235" s="86">
        <v>7</v>
      </c>
      <c r="P235" s="24">
        <v>89</v>
      </c>
      <c r="Q235" s="32">
        <v>0</v>
      </c>
      <c r="R235" s="32">
        <v>1</v>
      </c>
      <c r="S235" s="108">
        <v>3</v>
      </c>
      <c r="T235" s="84" t="s">
        <v>57</v>
      </c>
      <c r="U235" s="84">
        <f>-((Q238)/(Q239)*LOG((Q238)/(Q239),2))-((Q237)/(Q239)*LOG((Q237)/(Q239),2))-(0)</f>
        <v>0.99863596415857181</v>
      </c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</row>
    <row r="236" spans="15:54" x14ac:dyDescent="0.3">
      <c r="O236" s="86">
        <v>8</v>
      </c>
      <c r="P236" s="24">
        <v>91</v>
      </c>
      <c r="Q236" s="32">
        <v>0</v>
      </c>
      <c r="R236" s="32">
        <v>1</v>
      </c>
      <c r="S236" s="108">
        <v>3</v>
      </c>
      <c r="T236" s="84" t="s">
        <v>58</v>
      </c>
      <c r="U236" s="84">
        <f>-(0)-((R237)/(R239)*LOG((R237)/(R239),2))-((R235+R236)/(R239)*LOG((R235+R236)/(R239),2))</f>
        <v>0.24229218908241482</v>
      </c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</row>
    <row r="237" spans="15:54" x14ac:dyDescent="0.3">
      <c r="O237" s="86">
        <v>11</v>
      </c>
      <c r="P237" s="24">
        <v>71</v>
      </c>
      <c r="Q237" s="32">
        <v>0.91666666666666663</v>
      </c>
      <c r="R237" s="32">
        <v>8.3333333333333329E-2</v>
      </c>
      <c r="S237" s="108">
        <v>2</v>
      </c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</row>
    <row r="238" spans="15:54" ht="15" thickBot="1" x14ac:dyDescent="0.35">
      <c r="O238" s="86">
        <v>15</v>
      </c>
      <c r="P238" s="28">
        <v>70</v>
      </c>
      <c r="Q238" s="33">
        <v>1</v>
      </c>
      <c r="R238" s="33">
        <v>0</v>
      </c>
      <c r="S238" s="109">
        <v>1</v>
      </c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</row>
    <row r="239" spans="15:54" x14ac:dyDescent="0.3">
      <c r="O239" s="44"/>
      <c r="P239" s="44"/>
      <c r="Q239" s="44">
        <f>SUM(Q235:Q238)</f>
        <v>1.9166666666666665</v>
      </c>
      <c r="R239" s="44">
        <f>SUM(R235:R238)</f>
        <v>2.0833333333333335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7"/>
      <c r="AN239" s="47"/>
      <c r="AO239" s="44"/>
      <c r="AP239" s="44"/>
      <c r="AQ239" s="47"/>
      <c r="AR239" s="47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</row>
    <row r="240" spans="15:54" x14ac:dyDescent="0.3"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</row>
    <row r="241" spans="15:54" x14ac:dyDescent="0.3">
      <c r="O241" s="46" t="s">
        <v>101</v>
      </c>
      <c r="P241" s="47"/>
      <c r="R241" s="80"/>
      <c r="S241" s="46" t="s">
        <v>102</v>
      </c>
      <c r="T241" s="47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</row>
    <row r="242" spans="15:54" x14ac:dyDescent="0.3">
      <c r="O242" s="84" t="s">
        <v>81</v>
      </c>
      <c r="Q242" s="84" t="s">
        <v>85</v>
      </c>
      <c r="R242" s="80"/>
      <c r="S242" s="84" t="s">
        <v>81</v>
      </c>
      <c r="U242" s="84" t="s">
        <v>85</v>
      </c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</row>
    <row r="243" spans="15:54" x14ac:dyDescent="0.3">
      <c r="O243" s="90" t="s">
        <v>82</v>
      </c>
      <c r="P243" s="90">
        <f>SUM(Q238)</f>
        <v>1</v>
      </c>
      <c r="Q243" s="90">
        <f>((P243)/(P243+P244+P245))*(100)</f>
        <v>52.173913043478258</v>
      </c>
      <c r="R243" s="80"/>
      <c r="S243" s="90" t="s">
        <v>82</v>
      </c>
      <c r="T243" s="90">
        <v>0</v>
      </c>
      <c r="U243" s="90">
        <f>((T243)/(T243+T244+T245))*(100)</f>
        <v>0</v>
      </c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</row>
    <row r="244" spans="15:54" x14ac:dyDescent="0.3">
      <c r="O244" s="90" t="s">
        <v>83</v>
      </c>
      <c r="P244" s="90">
        <f>SUM(Q237)</f>
        <v>0.91666666666666663</v>
      </c>
      <c r="Q244" s="90">
        <f>((P244)/(P243+P244+P245))*(100)</f>
        <v>47.826086956521742</v>
      </c>
      <c r="R244" s="80"/>
      <c r="S244" s="90" t="s">
        <v>83</v>
      </c>
      <c r="T244" s="90">
        <f>SUM(R237)</f>
        <v>8.3333333333333329E-2</v>
      </c>
      <c r="U244" s="90">
        <f>((T244)/(T243+T244+T245))*(100)</f>
        <v>3.9999999999999996</v>
      </c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</row>
    <row r="245" spans="15:54" x14ac:dyDescent="0.3">
      <c r="O245" s="84" t="s">
        <v>84</v>
      </c>
      <c r="P245" s="84">
        <v>0</v>
      </c>
      <c r="Q245" s="84">
        <f>((P245)/(P243+P244+P245))*(100)</f>
        <v>0</v>
      </c>
      <c r="R245" s="80"/>
      <c r="S245" s="101" t="s">
        <v>84</v>
      </c>
      <c r="T245" s="101">
        <f>SUM(R235:R236)</f>
        <v>2</v>
      </c>
      <c r="U245" s="101">
        <f>((T245)/(T243+T244+T245))*(100)</f>
        <v>96</v>
      </c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</row>
    <row r="246" spans="15:54" x14ac:dyDescent="0.3"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</row>
    <row r="247" spans="15:54" x14ac:dyDescent="0.3"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</row>
    <row r="248" spans="15:54" x14ac:dyDescent="0.3"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</row>
    <row r="249" spans="15:54" x14ac:dyDescent="0.3"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</row>
    <row r="250" spans="15:54" x14ac:dyDescent="0.3"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</row>
    <row r="251" spans="15:54" x14ac:dyDescent="0.3"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</row>
    <row r="252" spans="15:54" x14ac:dyDescent="0.3"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</row>
    <row r="253" spans="15:54" x14ac:dyDescent="0.3"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</row>
    <row r="254" spans="15:54" x14ac:dyDescent="0.3"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</row>
    <row r="255" spans="15:54" x14ac:dyDescent="0.3"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</row>
    <row r="256" spans="15:54" x14ac:dyDescent="0.3"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96"/>
      <c r="AA256" s="44"/>
      <c r="AB256" s="44"/>
      <c r="AC256" s="44"/>
      <c r="AD256" s="96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</row>
    <row r="257" spans="9:54" x14ac:dyDescent="0.3"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96"/>
      <c r="AA257" s="44"/>
      <c r="AB257" s="91"/>
      <c r="AC257" s="44"/>
      <c r="AD257" s="96"/>
      <c r="AE257" s="44"/>
      <c r="AF257" s="91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</row>
    <row r="258" spans="9:54" x14ac:dyDescent="0.3">
      <c r="O258" s="44"/>
      <c r="P258" s="44"/>
      <c r="Q258" s="44"/>
      <c r="R258" s="44"/>
      <c r="V258" s="44"/>
      <c r="W258" s="44"/>
      <c r="X258" s="44"/>
      <c r="Y258" s="44"/>
      <c r="Z258" s="96"/>
      <c r="AA258" s="44"/>
      <c r="AB258" s="91"/>
      <c r="AC258" s="44"/>
      <c r="AD258" s="96"/>
      <c r="AE258" s="44"/>
      <c r="AF258" s="91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</row>
    <row r="259" spans="9:54" x14ac:dyDescent="0.3">
      <c r="O259" s="44"/>
      <c r="P259" s="44"/>
      <c r="Q259" s="44"/>
      <c r="R259" s="44"/>
      <c r="V259" s="44"/>
      <c r="W259" s="44"/>
      <c r="X259" s="44"/>
      <c r="Y259" s="44"/>
      <c r="Z259" s="96"/>
      <c r="AA259" s="44"/>
      <c r="AB259" s="91"/>
      <c r="AC259" s="44"/>
      <c r="AD259" s="96"/>
      <c r="AE259" s="44"/>
      <c r="AF259" s="91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</row>
    <row r="260" spans="9:54" x14ac:dyDescent="0.3">
      <c r="M260" s="95"/>
      <c r="N260" s="44"/>
      <c r="O260" s="44"/>
      <c r="P260" s="44"/>
      <c r="Q260" s="44"/>
      <c r="R260" s="44"/>
      <c r="V260" s="44"/>
      <c r="W260" s="44"/>
      <c r="X260" s="44"/>
      <c r="Y260" s="44"/>
      <c r="Z260" s="96"/>
      <c r="AA260" s="44"/>
      <c r="AB260" s="91"/>
      <c r="AC260" s="44"/>
      <c r="AD260" s="96"/>
      <c r="AE260" s="44"/>
      <c r="AF260" s="91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</row>
    <row r="261" spans="9:54" x14ac:dyDescent="0.3">
      <c r="M261" s="44"/>
      <c r="N261" s="44"/>
      <c r="O261" s="91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96"/>
      <c r="AA261" s="44"/>
      <c r="AB261" s="91"/>
      <c r="AC261" s="44"/>
      <c r="AD261" s="96"/>
      <c r="AE261" s="44"/>
      <c r="AF261" s="91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</row>
    <row r="262" spans="9:54" x14ac:dyDescent="0.3">
      <c r="M262" s="44"/>
      <c r="N262" s="44"/>
      <c r="O262" s="91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96"/>
      <c r="AA262" s="44"/>
      <c r="AB262" s="91"/>
      <c r="AC262" s="44"/>
      <c r="AD262" s="96"/>
      <c r="AE262" s="44"/>
      <c r="AF262" s="91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</row>
    <row r="263" spans="9:54" x14ac:dyDescent="0.3">
      <c r="M263" s="44"/>
      <c r="N263" s="44"/>
      <c r="O263" s="91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96"/>
      <c r="AA263" s="44"/>
      <c r="AB263" s="91"/>
      <c r="AC263" s="44"/>
      <c r="AD263" s="96"/>
      <c r="AE263" s="44"/>
      <c r="AF263" s="91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</row>
    <row r="264" spans="9:54" x14ac:dyDescent="0.3"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96"/>
      <c r="AA264" s="44"/>
      <c r="AB264" s="91"/>
      <c r="AC264" s="44"/>
      <c r="AD264" s="96"/>
      <c r="AE264" s="44"/>
      <c r="AF264" s="91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</row>
    <row r="265" spans="9:54" x14ac:dyDescent="0.3"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96"/>
      <c r="AA265" s="44"/>
      <c r="AB265" s="91"/>
      <c r="AC265" s="44"/>
      <c r="AD265" s="96"/>
      <c r="AE265" s="44"/>
      <c r="AF265" s="91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</row>
    <row r="266" spans="9:54" x14ac:dyDescent="0.3">
      <c r="I266" s="95"/>
      <c r="J266" s="44"/>
      <c r="K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96"/>
      <c r="AA266" s="44"/>
      <c r="AB266" s="91"/>
      <c r="AC266" s="44"/>
      <c r="AD266" s="96"/>
      <c r="AE266" s="44"/>
      <c r="AF266" s="91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</row>
    <row r="267" spans="9:54" x14ac:dyDescent="0.3">
      <c r="I267" s="44"/>
      <c r="J267" s="44"/>
      <c r="K267" s="91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96"/>
      <c r="AA267" s="44"/>
      <c r="AB267" s="91"/>
      <c r="AC267" s="44"/>
      <c r="AD267" s="96"/>
      <c r="AE267" s="44"/>
      <c r="AF267" s="91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</row>
    <row r="268" spans="9:54" x14ac:dyDescent="0.3">
      <c r="I268" s="44"/>
      <c r="J268" s="44"/>
      <c r="K268" s="91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96"/>
      <c r="AA268" s="44"/>
      <c r="AB268" s="91"/>
      <c r="AC268" s="44"/>
      <c r="AD268" s="96"/>
      <c r="AE268" s="44"/>
      <c r="AF268" s="91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</row>
    <row r="269" spans="9:54" x14ac:dyDescent="0.3"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96"/>
      <c r="AA269" s="44"/>
      <c r="AB269" s="91"/>
      <c r="AC269" s="44"/>
      <c r="AD269" s="96"/>
      <c r="AE269" s="44"/>
      <c r="AF269" s="91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</row>
    <row r="270" spans="9:54" x14ac:dyDescent="0.3"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96"/>
      <c r="AA270" s="44"/>
      <c r="AB270" s="91"/>
      <c r="AC270" s="44"/>
      <c r="AD270" s="96"/>
      <c r="AE270" s="44"/>
      <c r="AF270" s="91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</row>
    <row r="271" spans="9:54" x14ac:dyDescent="0.3"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96"/>
      <c r="AA271" s="44"/>
      <c r="AB271" s="91"/>
      <c r="AC271" s="44"/>
      <c r="AD271" s="96"/>
      <c r="AE271" s="44"/>
      <c r="AF271" s="91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</row>
    <row r="272" spans="9:54" x14ac:dyDescent="0.3"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</row>
    <row r="273" spans="13:54" x14ac:dyDescent="0.3"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</row>
    <row r="274" spans="13:54" x14ac:dyDescent="0.3"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</row>
    <row r="275" spans="13:54" x14ac:dyDescent="0.3"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</row>
    <row r="276" spans="13:54" x14ac:dyDescent="0.3"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</row>
    <row r="277" spans="13:54" x14ac:dyDescent="0.3"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</row>
    <row r="278" spans="13:54" ht="15" thickBot="1" x14ac:dyDescent="0.35"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</row>
    <row r="279" spans="13:54" x14ac:dyDescent="0.3">
      <c r="M279" s="113"/>
      <c r="N279" s="48" t="s">
        <v>77</v>
      </c>
      <c r="O279" s="86" t="s">
        <v>7</v>
      </c>
      <c r="P279" s="86" t="s">
        <v>57</v>
      </c>
      <c r="Q279" s="86" t="s">
        <v>58</v>
      </c>
      <c r="R279" s="107" t="s">
        <v>79</v>
      </c>
      <c r="S279" s="84" t="s">
        <v>74</v>
      </c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</row>
    <row r="280" spans="13:54" x14ac:dyDescent="0.3">
      <c r="M280" s="80"/>
      <c r="N280" s="86">
        <v>1</v>
      </c>
      <c r="O280" s="24">
        <v>78</v>
      </c>
      <c r="P280" s="32">
        <v>0.33333333333333331</v>
      </c>
      <c r="Q280" s="32">
        <v>0.66666666666666663</v>
      </c>
      <c r="R280" s="108">
        <v>2</v>
      </c>
      <c r="S280" s="84" t="s">
        <v>57</v>
      </c>
      <c r="T280" s="84">
        <f>-(0)-((P280+P284)/(P286)*LOG((P280+P284)/(P286),2))-(0)</f>
        <v>0</v>
      </c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</row>
    <row r="281" spans="13:54" x14ac:dyDescent="0.3">
      <c r="M281" s="80"/>
      <c r="N281" s="86">
        <v>3</v>
      </c>
      <c r="O281" s="24">
        <v>98</v>
      </c>
      <c r="P281" s="32">
        <v>0</v>
      </c>
      <c r="Q281" s="32">
        <v>1</v>
      </c>
      <c r="R281" s="108">
        <v>1</v>
      </c>
      <c r="S281" s="84" t="s">
        <v>58</v>
      </c>
      <c r="T281" s="84">
        <f>-((Q281)/(Q286)*LOG((Q281)/(Q286),2))-((Q280+Q284)/(Q286)*LOG((Q280+Q284)/(Q286),2))-((Q282+Q283+Q285)/(Q286)*LOG((Q282+Q283+Q285)/(Q286),2))</f>
        <v>1.4197367178034825</v>
      </c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</row>
    <row r="282" spans="13:54" x14ac:dyDescent="0.3">
      <c r="M282" s="80"/>
      <c r="N282" s="86">
        <v>7</v>
      </c>
      <c r="O282" s="24">
        <v>89</v>
      </c>
      <c r="P282" s="32">
        <v>0</v>
      </c>
      <c r="Q282" s="32">
        <v>1</v>
      </c>
      <c r="R282" s="108">
        <v>3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</row>
    <row r="283" spans="13:54" x14ac:dyDescent="0.3">
      <c r="M283" s="80"/>
      <c r="N283" s="86">
        <v>8</v>
      </c>
      <c r="O283" s="24">
        <v>91</v>
      </c>
      <c r="P283" s="32">
        <v>0</v>
      </c>
      <c r="Q283" s="32">
        <v>1</v>
      </c>
      <c r="R283" s="108">
        <v>3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</row>
    <row r="284" spans="13:54" x14ac:dyDescent="0.3">
      <c r="M284" s="80"/>
      <c r="N284" s="86">
        <v>10</v>
      </c>
      <c r="O284" s="24">
        <v>78</v>
      </c>
      <c r="P284" s="32">
        <v>0.33333333333333331</v>
      </c>
      <c r="Q284" s="32">
        <v>0.66666666666666663</v>
      </c>
      <c r="R284" s="108">
        <v>2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</row>
    <row r="285" spans="13:54" x14ac:dyDescent="0.3">
      <c r="M285" s="80"/>
      <c r="N285" s="86">
        <v>13</v>
      </c>
      <c r="O285" s="27">
        <v>88</v>
      </c>
      <c r="P285" s="31">
        <v>0</v>
      </c>
      <c r="Q285" s="31">
        <v>1</v>
      </c>
      <c r="R285" s="108">
        <v>3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</row>
    <row r="286" spans="13:54" x14ac:dyDescent="0.3">
      <c r="O286" s="44"/>
      <c r="P286" s="44">
        <f>SUM(P280:P285)</f>
        <v>0.66666666666666663</v>
      </c>
      <c r="Q286" s="44">
        <f>SUM(Q280:Q285)</f>
        <v>5.333333333333333</v>
      </c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</row>
    <row r="287" spans="13:54" x14ac:dyDescent="0.3"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</row>
    <row r="288" spans="13:54" x14ac:dyDescent="0.3">
      <c r="N288" s="46" t="s">
        <v>101</v>
      </c>
      <c r="O288" s="47"/>
      <c r="Q288" s="80"/>
      <c r="R288" s="46" t="s">
        <v>102</v>
      </c>
      <c r="S288" s="47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</row>
    <row r="289" spans="14:54" x14ac:dyDescent="0.3">
      <c r="N289" s="84" t="s">
        <v>81</v>
      </c>
      <c r="P289" s="84" t="s">
        <v>85</v>
      </c>
      <c r="Q289" s="80"/>
      <c r="R289" s="84" t="s">
        <v>81</v>
      </c>
      <c r="T289" s="84" t="s">
        <v>85</v>
      </c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</row>
    <row r="290" spans="14:54" x14ac:dyDescent="0.3">
      <c r="N290" s="90" t="s">
        <v>82</v>
      </c>
      <c r="O290" s="90">
        <f>SUM(P285)</f>
        <v>0</v>
      </c>
      <c r="P290" s="90">
        <f>((O290)/(O290+O291+O292))*(100)</f>
        <v>0</v>
      </c>
      <c r="Q290" s="80"/>
      <c r="R290" s="90" t="s">
        <v>82</v>
      </c>
      <c r="S290" s="90">
        <f>SUM(Q281)</f>
        <v>1</v>
      </c>
      <c r="T290" s="90">
        <f>((S290)/(S290+S291+S292))*(100)</f>
        <v>18.75</v>
      </c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</row>
    <row r="291" spans="14:54" x14ac:dyDescent="0.3">
      <c r="N291" s="101" t="s">
        <v>83</v>
      </c>
      <c r="O291" s="101">
        <f>SUM(P280,P284)</f>
        <v>0.66666666666666663</v>
      </c>
      <c r="P291" s="101">
        <f>((O291)/(O290+O291+O292))*(100)</f>
        <v>100</v>
      </c>
      <c r="Q291" s="80"/>
      <c r="R291" s="90" t="s">
        <v>83</v>
      </c>
      <c r="S291" s="90">
        <f>SUM(Q280,Q284)</f>
        <v>1.3333333333333333</v>
      </c>
      <c r="T291" s="90">
        <f>((S291)/(S290+S291+S292))*(100)</f>
        <v>25</v>
      </c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</row>
    <row r="292" spans="14:54" x14ac:dyDescent="0.3">
      <c r="N292" s="84" t="s">
        <v>84</v>
      </c>
      <c r="O292" s="84">
        <v>0</v>
      </c>
      <c r="P292" s="84">
        <f>((O292)/(O290+O291+O292))*(100)</f>
        <v>0</v>
      </c>
      <c r="Q292" s="80"/>
      <c r="R292" s="90" t="s">
        <v>84</v>
      </c>
      <c r="S292" s="90">
        <f>SUM(Q282,Q283,Q285)</f>
        <v>3</v>
      </c>
      <c r="T292" s="90">
        <f>((S292)/(S290+S291+S292))*(100)</f>
        <v>56.25</v>
      </c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190"/>
      <c r="AY292" s="190"/>
      <c r="AZ292" s="190"/>
      <c r="BA292" s="44"/>
      <c r="BB292" s="44"/>
    </row>
    <row r="293" spans="14:54" x14ac:dyDescent="0.3"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96"/>
      <c r="AP293" s="44"/>
      <c r="AQ293" s="44"/>
      <c r="AR293" s="44"/>
      <c r="AS293" s="44"/>
      <c r="AT293" s="44"/>
      <c r="AU293" s="44"/>
      <c r="AV293" s="44"/>
      <c r="AW293" s="44"/>
      <c r="AX293" s="190"/>
      <c r="AY293" s="190"/>
      <c r="AZ293" s="190"/>
      <c r="BA293" s="44"/>
      <c r="BB293" s="44"/>
    </row>
    <row r="294" spans="14:54" x14ac:dyDescent="0.3"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96"/>
      <c r="AP294" s="91"/>
      <c r="AQ294" s="44"/>
      <c r="AR294" s="44"/>
      <c r="AS294" s="91"/>
      <c r="AT294" s="44"/>
      <c r="AU294" s="44"/>
      <c r="AV294" s="44"/>
      <c r="AW294" s="44"/>
      <c r="AX294" s="190"/>
      <c r="AY294" s="190"/>
      <c r="AZ294" s="190"/>
      <c r="BA294" s="44"/>
      <c r="BB294" s="44"/>
    </row>
    <row r="295" spans="14:54" x14ac:dyDescent="0.3"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96"/>
      <c r="AP295" s="91"/>
      <c r="AQ295" s="44"/>
      <c r="AR295" s="44"/>
      <c r="AS295" s="91"/>
      <c r="AT295" s="44"/>
      <c r="AU295" s="44"/>
      <c r="AV295" s="44"/>
      <c r="AW295" s="44"/>
      <c r="AX295" s="44"/>
      <c r="AY295" s="44"/>
      <c r="AZ295" s="44"/>
      <c r="BA295" s="44"/>
      <c r="BB295" s="44"/>
    </row>
    <row r="296" spans="14:54" x14ac:dyDescent="0.3"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96"/>
      <c r="AP296" s="91"/>
      <c r="AQ296" s="44"/>
      <c r="AR296" s="44"/>
      <c r="AS296" s="91"/>
      <c r="AT296" s="44"/>
      <c r="AU296" s="44"/>
      <c r="AV296" s="44"/>
      <c r="AW296" s="44"/>
      <c r="AX296" s="44"/>
      <c r="AY296" s="44"/>
      <c r="AZ296" s="44"/>
      <c r="BA296" s="44"/>
      <c r="BB296" s="44"/>
    </row>
    <row r="297" spans="14:54" x14ac:dyDescent="0.3"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96"/>
      <c r="AP297" s="91"/>
      <c r="AQ297" s="44"/>
      <c r="AR297" s="44"/>
      <c r="AS297" s="91"/>
      <c r="AT297" s="44"/>
      <c r="AU297" s="44"/>
      <c r="AV297" s="44"/>
      <c r="AW297" s="44"/>
      <c r="AX297" s="44"/>
      <c r="AY297" s="44"/>
      <c r="AZ297" s="44"/>
      <c r="BA297" s="44"/>
      <c r="BB297" s="44"/>
    </row>
    <row r="298" spans="14:54" x14ac:dyDescent="0.3"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96"/>
      <c r="AP298" s="91"/>
      <c r="AQ298" s="44"/>
      <c r="AR298" s="44"/>
      <c r="AS298" s="91"/>
      <c r="AT298" s="44"/>
      <c r="AU298" s="44"/>
      <c r="AV298" s="44"/>
      <c r="AW298" s="44"/>
      <c r="AX298" s="44"/>
      <c r="AY298" s="44"/>
      <c r="AZ298" s="44"/>
      <c r="BA298" s="44"/>
      <c r="BB298" s="44"/>
    </row>
    <row r="299" spans="14:54" x14ac:dyDescent="0.3"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96"/>
      <c r="AP299" s="91"/>
      <c r="AQ299" s="44"/>
      <c r="AR299" s="44"/>
      <c r="AS299" s="91"/>
      <c r="AT299" s="44"/>
      <c r="AU299" s="44"/>
      <c r="AV299" s="44"/>
      <c r="AW299" s="44"/>
      <c r="AX299" s="44"/>
      <c r="AY299" s="44"/>
      <c r="AZ299" s="44"/>
      <c r="BA299" s="44"/>
      <c r="BB299" s="44"/>
    </row>
    <row r="300" spans="14:54" x14ac:dyDescent="0.3">
      <c r="S300" s="104" t="s">
        <v>77</v>
      </c>
      <c r="T300" s="192" t="s">
        <v>167</v>
      </c>
      <c r="U300" s="192"/>
      <c r="V300" s="192"/>
      <c r="W300" s="192"/>
      <c r="X300" s="192"/>
      <c r="Y300" s="192"/>
      <c r="Z300" s="192"/>
      <c r="AA300" s="192"/>
      <c r="AB300" s="192"/>
      <c r="AC300" s="192"/>
      <c r="AD300" s="192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96"/>
      <c r="AP300" s="91"/>
      <c r="AQ300" s="44"/>
      <c r="AR300" s="44"/>
      <c r="AS300" s="91"/>
      <c r="AT300" s="44"/>
      <c r="AU300" s="44"/>
      <c r="AV300" s="44"/>
      <c r="AW300" s="44"/>
      <c r="AX300" s="44"/>
      <c r="AY300" s="44"/>
      <c r="AZ300" s="44"/>
      <c r="BA300" s="44"/>
      <c r="BB300" s="44"/>
    </row>
    <row r="301" spans="14:54" x14ac:dyDescent="0.3">
      <c r="S301" s="87">
        <v>1</v>
      </c>
      <c r="T301" s="189" t="s">
        <v>185</v>
      </c>
      <c r="U301" s="189"/>
      <c r="V301" s="189"/>
      <c r="W301" s="189"/>
      <c r="X301" s="189"/>
      <c r="Y301" s="189"/>
      <c r="Z301" s="189"/>
      <c r="AA301" s="189"/>
      <c r="AB301" s="189"/>
      <c r="AC301" s="189"/>
      <c r="AD301" s="189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96"/>
      <c r="AP301" s="91"/>
      <c r="AQ301" s="44"/>
      <c r="AR301" s="44"/>
      <c r="AS301" s="91"/>
      <c r="AT301" s="44"/>
      <c r="AU301" s="44"/>
      <c r="AV301" s="44"/>
      <c r="AW301" s="44"/>
      <c r="AX301" s="44"/>
      <c r="AY301" s="44"/>
      <c r="AZ301" s="44"/>
      <c r="BA301" s="44"/>
      <c r="BB301" s="44"/>
    </row>
    <row r="302" spans="14:54" x14ac:dyDescent="0.3">
      <c r="S302" s="87">
        <v>2</v>
      </c>
      <c r="T302" s="189" t="s">
        <v>186</v>
      </c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96"/>
      <c r="AF302" s="44"/>
      <c r="AG302" s="44"/>
      <c r="AH302" s="44"/>
      <c r="AI302" s="44"/>
      <c r="AJ302" s="44"/>
      <c r="AK302" s="96"/>
      <c r="AL302" s="44"/>
      <c r="AM302" s="44"/>
      <c r="AN302" s="44"/>
      <c r="AO302" s="96"/>
      <c r="AP302" s="91"/>
      <c r="AQ302" s="44"/>
      <c r="AR302" s="44"/>
      <c r="AS302" s="91"/>
      <c r="AT302" s="44"/>
      <c r="AU302" s="44"/>
      <c r="AV302" s="44"/>
      <c r="AW302" s="44"/>
      <c r="AX302" s="44"/>
      <c r="AY302" s="44"/>
      <c r="AZ302" s="44"/>
      <c r="BA302" s="44"/>
      <c r="BB302" s="44"/>
    </row>
    <row r="303" spans="14:54" x14ac:dyDescent="0.3">
      <c r="S303" s="87">
        <v>3</v>
      </c>
      <c r="T303" s="189" t="s">
        <v>187</v>
      </c>
      <c r="U303" s="189"/>
      <c r="V303" s="189"/>
      <c r="W303" s="189"/>
      <c r="X303" s="189"/>
      <c r="Y303" s="189"/>
      <c r="Z303" s="189"/>
      <c r="AA303" s="189"/>
      <c r="AB303" s="189"/>
      <c r="AC303" s="189"/>
      <c r="AD303" s="189"/>
      <c r="AE303" s="96"/>
      <c r="AF303" s="44"/>
      <c r="AG303" s="91"/>
      <c r="AH303" s="44"/>
      <c r="AI303" s="44"/>
      <c r="AJ303" s="44"/>
      <c r="AK303" s="96"/>
      <c r="AL303" s="44"/>
      <c r="AM303" s="91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</row>
    <row r="304" spans="14:54" x14ac:dyDescent="0.3">
      <c r="S304" s="87">
        <v>4</v>
      </c>
      <c r="T304" s="189" t="s">
        <v>188</v>
      </c>
      <c r="U304" s="189"/>
      <c r="V304" s="189"/>
      <c r="W304" s="189"/>
      <c r="X304" s="189"/>
      <c r="Y304" s="189"/>
      <c r="Z304" s="189"/>
      <c r="AA304" s="189"/>
      <c r="AB304" s="189"/>
      <c r="AC304" s="189"/>
      <c r="AD304" s="189"/>
      <c r="AE304" s="96"/>
      <c r="AF304" s="44"/>
      <c r="AG304" s="91"/>
      <c r="AH304" s="44"/>
      <c r="AI304" s="44"/>
      <c r="AJ304" s="44"/>
      <c r="AK304" s="96"/>
      <c r="AL304" s="44"/>
      <c r="AM304" s="91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</row>
    <row r="305" spans="19:54" x14ac:dyDescent="0.3">
      <c r="S305" s="87">
        <v>5</v>
      </c>
      <c r="T305" s="189" t="s">
        <v>189</v>
      </c>
      <c r="U305" s="189"/>
      <c r="V305" s="189"/>
      <c r="W305" s="189"/>
      <c r="X305" s="189"/>
      <c r="Y305" s="189"/>
      <c r="Z305" s="189"/>
      <c r="AA305" s="189"/>
      <c r="AB305" s="189"/>
      <c r="AC305" s="189"/>
      <c r="AD305" s="189"/>
      <c r="AE305" s="44"/>
      <c r="AF305" s="44"/>
      <c r="AG305" s="44"/>
      <c r="AH305" s="44"/>
      <c r="AI305" s="44"/>
      <c r="AJ305" s="44"/>
      <c r="AK305" s="96"/>
      <c r="AL305" s="44"/>
      <c r="AM305" s="91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</row>
    <row r="306" spans="19:54" x14ac:dyDescent="0.3">
      <c r="S306" s="87">
        <v>6</v>
      </c>
      <c r="T306" s="189" t="s">
        <v>190</v>
      </c>
      <c r="U306" s="189"/>
      <c r="V306" s="189"/>
      <c r="W306" s="189"/>
      <c r="X306" s="189"/>
      <c r="Y306" s="189"/>
      <c r="Z306" s="189"/>
      <c r="AA306" s="189"/>
      <c r="AB306" s="189"/>
      <c r="AC306" s="189"/>
      <c r="AD306" s="189"/>
      <c r="AE306" s="44"/>
      <c r="AF306" s="44"/>
      <c r="AG306" s="44"/>
      <c r="AH306" s="44"/>
      <c r="AI306" s="44"/>
      <c r="AJ306" s="44"/>
      <c r="AK306" s="96"/>
      <c r="AL306" s="44"/>
      <c r="AM306" s="91"/>
      <c r="AN306" s="44"/>
      <c r="AO306" s="96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</row>
    <row r="307" spans="19:54" x14ac:dyDescent="0.3">
      <c r="S307" s="87">
        <v>7</v>
      </c>
      <c r="T307" s="189" t="s">
        <v>191</v>
      </c>
      <c r="U307" s="189"/>
      <c r="V307" s="189"/>
      <c r="W307" s="189"/>
      <c r="X307" s="189"/>
      <c r="Y307" s="189"/>
      <c r="Z307" s="189"/>
      <c r="AA307" s="189"/>
      <c r="AB307" s="189"/>
      <c r="AC307" s="189"/>
      <c r="AD307" s="189"/>
      <c r="AE307" s="44"/>
      <c r="AF307" s="44"/>
      <c r="AG307" s="44"/>
      <c r="AH307" s="44"/>
      <c r="AI307" s="44"/>
      <c r="AJ307" s="44"/>
      <c r="AK307" s="96"/>
      <c r="AL307" s="44"/>
      <c r="AM307" s="91"/>
      <c r="AN307" s="44"/>
      <c r="AO307" s="96"/>
      <c r="AP307" s="44"/>
      <c r="AQ307" s="44"/>
      <c r="AR307" s="44"/>
      <c r="AS307" s="91"/>
      <c r="AT307" s="44"/>
      <c r="AU307" s="44"/>
      <c r="AV307" s="44"/>
      <c r="AW307" s="44"/>
      <c r="AX307" s="44"/>
      <c r="AY307" s="44"/>
      <c r="AZ307" s="44"/>
      <c r="BA307" s="44"/>
      <c r="BB307" s="44"/>
    </row>
    <row r="308" spans="19:54" x14ac:dyDescent="0.3">
      <c r="S308" s="87">
        <v>8</v>
      </c>
      <c r="T308" s="189" t="s">
        <v>192</v>
      </c>
      <c r="U308" s="189"/>
      <c r="V308" s="189"/>
      <c r="W308" s="189"/>
      <c r="X308" s="189"/>
      <c r="Y308" s="189"/>
      <c r="Z308" s="189"/>
      <c r="AA308" s="189"/>
      <c r="AB308" s="189"/>
      <c r="AC308" s="189"/>
      <c r="AD308" s="189"/>
      <c r="AE308" s="44"/>
      <c r="AF308" s="44"/>
      <c r="AG308" s="44"/>
      <c r="AH308" s="44"/>
      <c r="AI308" s="44"/>
      <c r="AJ308" s="44"/>
      <c r="AK308" s="96"/>
      <c r="AL308" s="44"/>
      <c r="AM308" s="91"/>
      <c r="AN308" s="44"/>
      <c r="AO308" s="96"/>
      <c r="AP308" s="44"/>
      <c r="AQ308" s="44"/>
      <c r="AR308" s="44"/>
      <c r="AS308" s="91"/>
      <c r="AT308" s="44"/>
      <c r="AU308" s="44"/>
      <c r="AV308" s="44"/>
      <c r="AW308" s="44"/>
      <c r="AX308" s="44"/>
      <c r="AY308" s="44"/>
      <c r="AZ308" s="44"/>
      <c r="BA308" s="44"/>
      <c r="BB308" s="44"/>
    </row>
    <row r="309" spans="19:54" x14ac:dyDescent="0.3">
      <c r="S309" s="87">
        <v>9</v>
      </c>
      <c r="T309" s="189" t="s">
        <v>193</v>
      </c>
      <c r="U309" s="189"/>
      <c r="V309" s="189"/>
      <c r="W309" s="189"/>
      <c r="X309" s="189"/>
      <c r="Y309" s="189"/>
      <c r="Z309" s="189"/>
      <c r="AA309" s="189"/>
      <c r="AB309" s="189"/>
      <c r="AC309" s="189"/>
      <c r="AD309" s="189"/>
      <c r="AE309" s="44"/>
      <c r="AF309" s="44"/>
      <c r="AG309" s="44"/>
      <c r="AH309" s="44"/>
      <c r="AI309" s="44"/>
      <c r="AJ309" s="44"/>
      <c r="AK309" s="96"/>
      <c r="AL309" s="44"/>
      <c r="AM309" s="91"/>
      <c r="AN309" s="44"/>
      <c r="AO309" s="96"/>
      <c r="AP309" s="44"/>
      <c r="AQ309" s="44"/>
      <c r="AR309" s="44"/>
      <c r="AS309" s="91"/>
      <c r="AT309" s="44"/>
      <c r="AU309" s="44"/>
      <c r="AV309" s="44"/>
      <c r="AW309" s="44"/>
      <c r="AX309" s="44"/>
      <c r="AY309" s="44"/>
      <c r="AZ309" s="44"/>
      <c r="BA309" s="44"/>
      <c r="BB309" s="44"/>
    </row>
    <row r="310" spans="19:54" x14ac:dyDescent="0.3">
      <c r="AB310" s="44"/>
      <c r="AC310" s="44"/>
      <c r="AD310" s="44"/>
      <c r="AE310" s="44"/>
      <c r="AF310" s="44"/>
      <c r="AG310" s="44"/>
      <c r="AH310" s="44"/>
      <c r="AI310" s="44"/>
      <c r="AJ310" s="44"/>
      <c r="AK310" s="96"/>
      <c r="AL310" s="44"/>
      <c r="AM310" s="91"/>
      <c r="AN310" s="44"/>
      <c r="AO310" s="96"/>
      <c r="AP310" s="44"/>
      <c r="AQ310" s="44"/>
      <c r="AR310" s="44"/>
      <c r="AS310" s="91"/>
      <c r="AT310" s="44"/>
      <c r="AU310" s="44"/>
      <c r="AV310" s="44"/>
      <c r="AW310" s="44"/>
      <c r="AX310" s="44"/>
      <c r="AY310" s="44"/>
      <c r="AZ310" s="44"/>
      <c r="BA310" s="44"/>
      <c r="BB310" s="44"/>
    </row>
    <row r="311" spans="19:54" x14ac:dyDescent="0.3">
      <c r="AB311" s="44"/>
      <c r="AC311" s="44"/>
      <c r="AD311" s="44"/>
      <c r="AE311" s="44"/>
      <c r="AF311" s="44"/>
      <c r="AG311" s="44"/>
      <c r="AH311" s="44"/>
      <c r="AI311" s="44"/>
      <c r="AJ311" s="44"/>
      <c r="AK311" s="96"/>
      <c r="AL311" s="44"/>
      <c r="AM311" s="91"/>
      <c r="AN311" s="44"/>
      <c r="AO311" s="96"/>
      <c r="AP311" s="44"/>
      <c r="AQ311" s="44"/>
      <c r="AR311" s="44"/>
      <c r="AS311" s="91"/>
      <c r="AT311" s="44"/>
      <c r="AU311" s="44"/>
      <c r="AV311" s="44"/>
      <c r="AW311" s="44"/>
      <c r="AX311" s="44"/>
      <c r="AY311" s="44"/>
      <c r="AZ311" s="44"/>
      <c r="BA311" s="44"/>
      <c r="BB311" s="44"/>
    </row>
    <row r="312" spans="19:54" x14ac:dyDescent="0.3">
      <c r="AB312" s="44"/>
      <c r="AC312" s="44"/>
      <c r="AD312" s="44"/>
      <c r="AE312" s="44"/>
      <c r="AF312" s="44"/>
      <c r="AG312" s="44"/>
      <c r="AH312" s="44"/>
      <c r="AI312" s="44"/>
      <c r="AJ312" s="44"/>
      <c r="AK312" s="96"/>
      <c r="AL312" s="44"/>
      <c r="AM312" s="91"/>
      <c r="AN312" s="44"/>
      <c r="AO312" s="96"/>
      <c r="AP312" s="44"/>
      <c r="AQ312" s="44"/>
      <c r="AR312" s="44"/>
      <c r="AS312" s="91"/>
      <c r="AT312" s="44"/>
      <c r="AU312" s="44"/>
      <c r="AV312" s="44"/>
      <c r="AW312" s="44"/>
      <c r="AX312" s="44"/>
      <c r="AY312" s="44"/>
      <c r="AZ312" s="44"/>
      <c r="BA312" s="44"/>
      <c r="BB312" s="44"/>
    </row>
    <row r="313" spans="19:54" x14ac:dyDescent="0.3"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96"/>
      <c r="AP313" s="44"/>
      <c r="AQ313" s="44"/>
      <c r="AR313" s="44"/>
      <c r="AS313" s="91"/>
      <c r="AT313" s="44"/>
      <c r="AU313" s="44"/>
      <c r="AV313" s="44"/>
      <c r="AW313" s="44"/>
      <c r="AX313" s="44"/>
      <c r="AY313" s="44"/>
      <c r="AZ313" s="44"/>
      <c r="BA313" s="44"/>
      <c r="BB313" s="44"/>
    </row>
    <row r="314" spans="19:54" x14ac:dyDescent="0.3"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96"/>
      <c r="AP314" s="44"/>
      <c r="AQ314" s="44"/>
      <c r="AR314" s="44"/>
      <c r="AS314" s="91"/>
      <c r="AT314" s="44"/>
      <c r="AU314" s="44"/>
      <c r="AV314" s="44"/>
      <c r="AW314" s="44"/>
      <c r="AX314" s="44"/>
      <c r="AY314" s="44"/>
      <c r="AZ314" s="44"/>
      <c r="BA314" s="44"/>
      <c r="BB314" s="44"/>
    </row>
    <row r="315" spans="19:54" x14ac:dyDescent="0.3"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96"/>
      <c r="AP315" s="44"/>
      <c r="AQ315" s="44"/>
      <c r="AR315" s="44"/>
      <c r="AS315" s="91"/>
      <c r="AT315" s="44"/>
      <c r="AU315" s="44"/>
      <c r="AV315" s="44"/>
      <c r="AW315" s="44"/>
      <c r="AX315" s="44"/>
      <c r="AY315" s="44"/>
      <c r="AZ315" s="44"/>
      <c r="BA315" s="44"/>
      <c r="BB315" s="44"/>
    </row>
    <row r="316" spans="19:54" x14ac:dyDescent="0.3">
      <c r="AB316" s="44"/>
      <c r="AC316" s="44"/>
      <c r="AD316" s="44"/>
      <c r="AE316" s="44"/>
      <c r="AF316" s="47"/>
      <c r="AG316" s="47"/>
      <c r="AH316" s="44"/>
      <c r="AI316" s="44"/>
      <c r="AJ316" s="47"/>
      <c r="AK316" s="47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</row>
    <row r="317" spans="19:54" x14ac:dyDescent="0.3"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</row>
    <row r="318" spans="19:54" x14ac:dyDescent="0.3">
      <c r="AB318" s="44"/>
      <c r="AC318" s="44"/>
      <c r="AD318" s="190"/>
      <c r="AE318" s="190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</row>
    <row r="319" spans="19:54" x14ac:dyDescent="0.3"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</row>
    <row r="320" spans="19:54" x14ac:dyDescent="0.3"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</row>
    <row r="321" spans="28:54" x14ac:dyDescent="0.3"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</row>
    <row r="322" spans="28:54" x14ac:dyDescent="0.3"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</row>
    <row r="323" spans="28:54" x14ac:dyDescent="0.3"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</row>
    <row r="324" spans="28:54" x14ac:dyDescent="0.3"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</row>
    <row r="360" spans="33:51" x14ac:dyDescent="0.3"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</row>
    <row r="361" spans="33:51" x14ac:dyDescent="0.3"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</row>
    <row r="362" spans="33:51" x14ac:dyDescent="0.3"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</row>
    <row r="363" spans="33:51" x14ac:dyDescent="0.3"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</row>
    <row r="364" spans="33:51" x14ac:dyDescent="0.3"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</row>
    <row r="365" spans="33:51" x14ac:dyDescent="0.3"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</row>
    <row r="366" spans="33:51" x14ac:dyDescent="0.3"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</row>
    <row r="367" spans="33:51" x14ac:dyDescent="0.3">
      <c r="AG367" s="44"/>
      <c r="AH367" s="44"/>
      <c r="AI367" s="44"/>
      <c r="AJ367" s="44"/>
      <c r="AK367" s="44"/>
      <c r="AL367" s="44"/>
      <c r="AM367" s="44"/>
      <c r="AN367" s="44"/>
      <c r="AO367" s="96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</row>
    <row r="368" spans="33:51" x14ac:dyDescent="0.3">
      <c r="AG368" s="44"/>
      <c r="AH368" s="44"/>
      <c r="AI368" s="44"/>
      <c r="AJ368" s="44"/>
      <c r="AK368" s="44"/>
      <c r="AL368" s="44"/>
      <c r="AM368" s="44"/>
      <c r="AN368" s="44"/>
      <c r="AO368" s="96"/>
      <c r="AP368" s="91"/>
      <c r="AQ368" s="44"/>
      <c r="AR368" s="44"/>
      <c r="AS368" s="91"/>
      <c r="AT368" s="44"/>
      <c r="AU368" s="44"/>
      <c r="AV368" s="44"/>
      <c r="AW368" s="44"/>
      <c r="AX368" s="44"/>
      <c r="AY368" s="44"/>
    </row>
    <row r="369" spans="33:51" x14ac:dyDescent="0.3">
      <c r="AG369" s="44"/>
      <c r="AH369" s="44"/>
      <c r="AI369" s="44"/>
      <c r="AJ369" s="44"/>
      <c r="AK369" s="44"/>
      <c r="AL369" s="44"/>
      <c r="AM369" s="44"/>
      <c r="AN369" s="44"/>
      <c r="AO369" s="96"/>
      <c r="AP369" s="91"/>
      <c r="AQ369" s="44"/>
      <c r="AR369" s="44"/>
      <c r="AS369" s="91"/>
      <c r="AT369" s="44"/>
      <c r="AU369" s="44"/>
      <c r="AV369" s="44"/>
      <c r="AW369" s="44"/>
      <c r="AX369" s="44"/>
      <c r="AY369" s="44"/>
    </row>
    <row r="370" spans="33:51" x14ac:dyDescent="0.3">
      <c r="AG370" s="44"/>
      <c r="AH370" s="44"/>
      <c r="AI370" s="44"/>
      <c r="AJ370" s="44"/>
      <c r="AK370" s="44"/>
      <c r="AL370" s="44"/>
      <c r="AM370" s="44"/>
      <c r="AN370" s="44"/>
      <c r="AO370" s="96"/>
      <c r="AP370" s="91"/>
      <c r="AQ370" s="44"/>
      <c r="AR370" s="44"/>
      <c r="AS370" s="91"/>
      <c r="AT370" s="44"/>
      <c r="AU370" s="44"/>
      <c r="AV370" s="44"/>
      <c r="AW370" s="44"/>
      <c r="AX370" s="44"/>
      <c r="AY370" s="44"/>
    </row>
    <row r="371" spans="33:51" x14ac:dyDescent="0.3">
      <c r="AG371" s="44"/>
      <c r="AH371" s="44"/>
      <c r="AI371" s="44"/>
      <c r="AJ371" s="44"/>
      <c r="AK371" s="44"/>
      <c r="AL371" s="44"/>
      <c r="AM371" s="44"/>
      <c r="AN371" s="44"/>
      <c r="AO371" s="96"/>
      <c r="AP371" s="91"/>
      <c r="AQ371" s="44"/>
      <c r="AR371" s="44"/>
      <c r="AS371" s="91"/>
      <c r="AT371" s="44"/>
      <c r="AU371" s="44"/>
      <c r="AV371" s="44"/>
      <c r="AW371" s="44"/>
      <c r="AX371" s="44"/>
      <c r="AY371" s="44"/>
    </row>
    <row r="372" spans="33:51" x14ac:dyDescent="0.3">
      <c r="AG372" s="44"/>
      <c r="AH372" s="44"/>
      <c r="AI372" s="44"/>
      <c r="AJ372" s="44"/>
      <c r="AK372" s="44"/>
      <c r="AL372" s="44"/>
      <c r="AM372" s="44"/>
      <c r="AN372" s="44"/>
      <c r="AO372" s="96"/>
      <c r="AP372" s="91"/>
      <c r="AQ372" s="44"/>
      <c r="AR372" s="44"/>
      <c r="AS372" s="91"/>
      <c r="AT372" s="44"/>
      <c r="AU372" s="44"/>
      <c r="AV372" s="44"/>
      <c r="AW372" s="44"/>
      <c r="AX372" s="44"/>
      <c r="AY372" s="44"/>
    </row>
    <row r="373" spans="33:51" x14ac:dyDescent="0.3">
      <c r="AG373" s="44"/>
      <c r="AH373" s="44"/>
      <c r="AI373" s="44"/>
      <c r="AJ373" s="44"/>
      <c r="AK373" s="44"/>
      <c r="AL373" s="44"/>
      <c r="AM373" s="44"/>
      <c r="AN373" s="44"/>
      <c r="AO373" s="96"/>
      <c r="AP373" s="91"/>
      <c r="AQ373" s="44"/>
      <c r="AR373" s="44"/>
      <c r="AS373" s="91"/>
      <c r="AT373" s="44"/>
      <c r="AU373" s="44"/>
      <c r="AV373" s="44"/>
      <c r="AW373" s="44"/>
      <c r="AX373" s="44"/>
      <c r="AY373" s="44"/>
    </row>
    <row r="374" spans="33:51" x14ac:dyDescent="0.3">
      <c r="AG374" s="44"/>
      <c r="AH374" s="44"/>
      <c r="AI374" s="44"/>
      <c r="AJ374" s="44"/>
      <c r="AK374" s="44"/>
      <c r="AL374" s="44"/>
      <c r="AM374" s="44"/>
      <c r="AN374" s="44"/>
      <c r="AO374" s="96"/>
      <c r="AP374" s="91"/>
      <c r="AQ374" s="44"/>
      <c r="AR374" s="44"/>
      <c r="AS374" s="91"/>
      <c r="AT374" s="44"/>
      <c r="AU374" s="44"/>
      <c r="AV374" s="44"/>
      <c r="AW374" s="44"/>
      <c r="AX374" s="44"/>
      <c r="AY374" s="44"/>
    </row>
    <row r="375" spans="33:51" x14ac:dyDescent="0.3">
      <c r="AG375" s="44"/>
      <c r="AH375" s="44"/>
      <c r="AI375" s="44"/>
      <c r="AJ375" s="44"/>
      <c r="AK375" s="44"/>
      <c r="AL375" s="44"/>
      <c r="AM375" s="44"/>
      <c r="AN375" s="44"/>
      <c r="AO375" s="96"/>
      <c r="AP375" s="91"/>
      <c r="AQ375" s="44"/>
      <c r="AR375" s="44"/>
      <c r="AS375" s="91"/>
      <c r="AT375" s="44"/>
      <c r="AU375" s="44"/>
      <c r="AV375" s="44"/>
      <c r="AW375" s="44"/>
      <c r="AX375" s="44"/>
      <c r="AY375" s="44"/>
    </row>
    <row r="376" spans="33:51" x14ac:dyDescent="0.3">
      <c r="AG376" s="44"/>
      <c r="AH376" s="44"/>
      <c r="AI376" s="44"/>
      <c r="AJ376" s="44"/>
      <c r="AK376" s="44"/>
      <c r="AL376" s="44"/>
      <c r="AM376" s="44"/>
      <c r="AN376" s="44"/>
      <c r="AO376" s="96"/>
      <c r="AP376" s="91"/>
      <c r="AQ376" s="44"/>
      <c r="AR376" s="44"/>
      <c r="AS376" s="91"/>
      <c r="AT376" s="44"/>
      <c r="AU376" s="44"/>
      <c r="AV376" s="44"/>
      <c r="AW376" s="44"/>
      <c r="AX376" s="44"/>
      <c r="AY376" s="44"/>
    </row>
    <row r="377" spans="33:51" x14ac:dyDescent="0.3"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</row>
    <row r="378" spans="33:51" x14ac:dyDescent="0.3"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</row>
    <row r="379" spans="33:51" x14ac:dyDescent="0.3"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</row>
    <row r="380" spans="33:51" x14ac:dyDescent="0.3"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</row>
    <row r="381" spans="33:51" x14ac:dyDescent="0.3"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</row>
    <row r="382" spans="33:51" x14ac:dyDescent="0.3">
      <c r="AG382" s="44"/>
      <c r="AH382" s="96"/>
      <c r="AI382" s="44"/>
      <c r="AJ382" s="44"/>
      <c r="AK382" s="44"/>
      <c r="AL382" s="44"/>
      <c r="AM382" s="44"/>
      <c r="AN382" s="96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</row>
    <row r="383" spans="33:51" x14ac:dyDescent="0.3">
      <c r="AG383" s="44"/>
      <c r="AH383" s="96"/>
      <c r="AI383" s="44"/>
      <c r="AJ383" s="91"/>
      <c r="AK383" s="44"/>
      <c r="AL383" s="44"/>
      <c r="AM383" s="44"/>
      <c r="AN383" s="96"/>
      <c r="AO383" s="44"/>
      <c r="AP383" s="91"/>
      <c r="AQ383" s="96"/>
      <c r="AR383" s="44"/>
      <c r="AS383" s="44"/>
      <c r="AT383" s="44"/>
      <c r="AU383" s="44"/>
      <c r="AV383" s="44"/>
      <c r="AW383" s="44"/>
      <c r="AX383" s="44"/>
      <c r="AY383" s="44"/>
    </row>
    <row r="384" spans="33:51" x14ac:dyDescent="0.3">
      <c r="AG384" s="44"/>
      <c r="AH384" s="96"/>
      <c r="AI384" s="44"/>
      <c r="AJ384" s="91"/>
      <c r="AK384" s="44"/>
      <c r="AL384" s="44"/>
      <c r="AM384" s="44"/>
      <c r="AN384" s="96"/>
      <c r="AO384" s="44"/>
      <c r="AP384" s="91"/>
      <c r="AQ384" s="96"/>
      <c r="AR384" s="44"/>
      <c r="AS384" s="44"/>
      <c r="AT384" s="44"/>
      <c r="AU384" s="44"/>
      <c r="AV384" s="44"/>
      <c r="AW384" s="44"/>
      <c r="AX384" s="44"/>
      <c r="AY384" s="44"/>
    </row>
    <row r="385" spans="33:51" x14ac:dyDescent="0.3">
      <c r="AG385" s="44"/>
      <c r="AH385" s="96"/>
      <c r="AI385" s="44"/>
      <c r="AJ385" s="91"/>
      <c r="AK385" s="44"/>
      <c r="AL385" s="44"/>
      <c r="AM385" s="44"/>
      <c r="AN385" s="96"/>
      <c r="AO385" s="44"/>
      <c r="AP385" s="91"/>
      <c r="AQ385" s="96"/>
      <c r="AR385" s="44"/>
      <c r="AS385" s="44"/>
      <c r="AT385" s="44"/>
      <c r="AU385" s="44"/>
      <c r="AV385" s="44"/>
      <c r="AW385" s="44"/>
      <c r="AX385" s="44"/>
      <c r="AY385" s="44"/>
    </row>
    <row r="386" spans="33:51" x14ac:dyDescent="0.3">
      <c r="AG386" s="44"/>
      <c r="AH386" s="96"/>
      <c r="AI386" s="44"/>
      <c r="AJ386" s="91"/>
      <c r="AK386" s="44"/>
      <c r="AL386" s="44"/>
      <c r="AM386" s="44"/>
      <c r="AN386" s="96"/>
      <c r="AO386" s="44"/>
      <c r="AP386" s="91"/>
      <c r="AQ386" s="96"/>
      <c r="AR386" s="44"/>
      <c r="AS386" s="44"/>
      <c r="AT386" s="44"/>
      <c r="AU386" s="44"/>
      <c r="AV386" s="44"/>
      <c r="AW386" s="44"/>
      <c r="AX386" s="44"/>
      <c r="AY386" s="44"/>
    </row>
    <row r="387" spans="33:51" x14ac:dyDescent="0.3">
      <c r="AG387" s="44"/>
      <c r="AH387" s="96"/>
      <c r="AI387" s="44"/>
      <c r="AJ387" s="91"/>
      <c r="AK387" s="44"/>
      <c r="AL387" s="44"/>
      <c r="AM387" s="44"/>
      <c r="AN387" s="96"/>
      <c r="AO387" s="44"/>
      <c r="AP387" s="91"/>
      <c r="AQ387" s="96"/>
      <c r="AR387" s="44"/>
      <c r="AS387" s="44"/>
      <c r="AT387" s="44"/>
      <c r="AU387" s="44"/>
      <c r="AV387" s="44"/>
      <c r="AW387" s="44"/>
      <c r="AX387" s="44"/>
      <c r="AY387" s="44"/>
    </row>
    <row r="388" spans="33:51" x14ac:dyDescent="0.3">
      <c r="AG388" s="44"/>
      <c r="AH388" s="96"/>
      <c r="AI388" s="44"/>
      <c r="AJ388" s="91"/>
      <c r="AK388" s="44"/>
      <c r="AL388" s="44"/>
      <c r="AM388" s="44"/>
      <c r="AN388" s="96"/>
      <c r="AO388" s="44"/>
      <c r="AP388" s="91"/>
      <c r="AQ388" s="96"/>
      <c r="AR388" s="44"/>
      <c r="AS388" s="44"/>
      <c r="AT388" s="44"/>
      <c r="AU388" s="44"/>
      <c r="AV388" s="44"/>
      <c r="AW388" s="44"/>
      <c r="AX388" s="44"/>
      <c r="AY388" s="44"/>
    </row>
    <row r="389" spans="33:51" x14ac:dyDescent="0.3">
      <c r="AG389" s="44"/>
      <c r="AH389" s="96"/>
      <c r="AI389" s="44"/>
      <c r="AJ389" s="91"/>
      <c r="AK389" s="44"/>
      <c r="AL389" s="44"/>
      <c r="AM389" s="44"/>
      <c r="AN389" s="44"/>
      <c r="AO389" s="44"/>
      <c r="AP389" s="44"/>
      <c r="AQ389" s="96"/>
      <c r="AR389" s="44"/>
      <c r="AS389" s="44"/>
      <c r="AT389" s="44"/>
      <c r="AU389" s="44"/>
      <c r="AV389" s="44"/>
      <c r="AW389" s="44"/>
      <c r="AX389" s="44"/>
      <c r="AY389" s="44"/>
    </row>
    <row r="390" spans="33:51" x14ac:dyDescent="0.3"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</row>
    <row r="391" spans="33:51" x14ac:dyDescent="0.3"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</row>
    <row r="392" spans="33:51" x14ac:dyDescent="0.3"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</row>
    <row r="393" spans="33:51" x14ac:dyDescent="0.3"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</row>
    <row r="394" spans="33:51" x14ac:dyDescent="0.3">
      <c r="AG394" s="44"/>
      <c r="AH394" s="47"/>
      <c r="AI394" s="47"/>
      <c r="AJ394" s="44"/>
      <c r="AK394" s="44"/>
      <c r="AL394" s="47"/>
      <c r="AM394" s="47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</row>
    <row r="395" spans="33:51" x14ac:dyDescent="0.3"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</row>
    <row r="396" spans="33:51" x14ac:dyDescent="0.3"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</row>
    <row r="397" spans="33:51" x14ac:dyDescent="0.3"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</row>
    <row r="398" spans="33:51" x14ac:dyDescent="0.3"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</row>
    <row r="399" spans="33:51" x14ac:dyDescent="0.3"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</row>
    <row r="400" spans="33:51" x14ac:dyDescent="0.3"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</row>
    <row r="404" spans="39:50" x14ac:dyDescent="0.3">
      <c r="AM404" s="112"/>
      <c r="AN404" s="204"/>
      <c r="AO404" s="204"/>
      <c r="AP404" s="204"/>
      <c r="AQ404" s="204"/>
      <c r="AR404" s="204"/>
      <c r="AS404" s="204"/>
      <c r="AT404" s="204"/>
      <c r="AU404" s="204"/>
      <c r="AV404" s="204"/>
      <c r="AW404" s="204"/>
      <c r="AX404" s="204"/>
    </row>
    <row r="405" spans="39:50" x14ac:dyDescent="0.3">
      <c r="AM405" s="96"/>
      <c r="AN405" s="190"/>
      <c r="AO405" s="190"/>
      <c r="AP405" s="190"/>
      <c r="AQ405" s="190"/>
      <c r="AR405" s="190"/>
      <c r="AS405" s="190"/>
      <c r="AT405" s="190"/>
      <c r="AU405" s="190"/>
      <c r="AV405" s="190"/>
      <c r="AW405" s="190"/>
      <c r="AX405" s="190"/>
    </row>
    <row r="406" spans="39:50" x14ac:dyDescent="0.3">
      <c r="AM406" s="96"/>
      <c r="AN406" s="190"/>
      <c r="AO406" s="190"/>
      <c r="AP406" s="190"/>
      <c r="AQ406" s="190"/>
      <c r="AR406" s="190"/>
      <c r="AS406" s="190"/>
      <c r="AT406" s="190"/>
      <c r="AU406" s="190"/>
      <c r="AV406" s="190"/>
      <c r="AW406" s="190"/>
      <c r="AX406" s="190"/>
    </row>
    <row r="407" spans="39:50" x14ac:dyDescent="0.3">
      <c r="AM407" s="96"/>
      <c r="AN407" s="190"/>
      <c r="AO407" s="190"/>
      <c r="AP407" s="190"/>
      <c r="AQ407" s="190"/>
      <c r="AR407" s="190"/>
      <c r="AS407" s="190"/>
      <c r="AT407" s="190"/>
      <c r="AU407" s="190"/>
      <c r="AV407" s="190"/>
      <c r="AW407" s="190"/>
      <c r="AX407" s="190"/>
    </row>
    <row r="408" spans="39:50" x14ac:dyDescent="0.3">
      <c r="AM408" s="96"/>
      <c r="AN408" s="190"/>
      <c r="AO408" s="190"/>
      <c r="AP408" s="190"/>
      <c r="AQ408" s="190"/>
      <c r="AR408" s="190"/>
      <c r="AS408" s="190"/>
      <c r="AT408" s="190"/>
      <c r="AU408" s="190"/>
      <c r="AV408" s="190"/>
      <c r="AW408" s="190"/>
      <c r="AX408" s="190"/>
    </row>
    <row r="409" spans="39:50" x14ac:dyDescent="0.3">
      <c r="AM409" s="96"/>
      <c r="AN409" s="190"/>
      <c r="AO409" s="190"/>
      <c r="AP409" s="190"/>
      <c r="AQ409" s="190"/>
      <c r="AR409" s="190"/>
      <c r="AS409" s="190"/>
      <c r="AT409" s="190"/>
      <c r="AU409" s="190"/>
      <c r="AV409" s="190"/>
      <c r="AW409" s="190"/>
      <c r="AX409" s="190"/>
    </row>
    <row r="410" spans="39:50" x14ac:dyDescent="0.3">
      <c r="AM410" s="96"/>
      <c r="AN410" s="190"/>
      <c r="AO410" s="190"/>
      <c r="AP410" s="190"/>
      <c r="AQ410" s="190"/>
      <c r="AR410" s="190"/>
      <c r="AS410" s="190"/>
      <c r="AT410" s="190"/>
      <c r="AU410" s="190"/>
      <c r="AV410" s="190"/>
      <c r="AW410" s="190"/>
      <c r="AX410" s="190"/>
    </row>
    <row r="411" spans="39:50" x14ac:dyDescent="0.3">
      <c r="AM411" s="96"/>
      <c r="AN411" s="190"/>
      <c r="AO411" s="190"/>
      <c r="AP411" s="190"/>
      <c r="AQ411" s="190"/>
      <c r="AR411" s="190"/>
      <c r="AS411" s="190"/>
      <c r="AT411" s="190"/>
      <c r="AU411" s="190"/>
      <c r="AV411" s="190"/>
      <c r="AW411" s="190"/>
      <c r="AX411" s="190"/>
    </row>
    <row r="412" spans="39:50" x14ac:dyDescent="0.3">
      <c r="AM412" s="96"/>
      <c r="AN412" s="190"/>
      <c r="AO412" s="190"/>
      <c r="AP412" s="190"/>
      <c r="AQ412" s="190"/>
      <c r="AR412" s="190"/>
      <c r="AS412" s="190"/>
      <c r="AT412" s="190"/>
      <c r="AU412" s="190"/>
      <c r="AV412" s="190"/>
      <c r="AW412" s="190"/>
      <c r="AX412" s="190"/>
    </row>
    <row r="413" spans="39:50" x14ac:dyDescent="0.3"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</row>
    <row r="414" spans="39:50" x14ac:dyDescent="0.3"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</row>
    <row r="415" spans="39:50" x14ac:dyDescent="0.3">
      <c r="AM415" s="44"/>
      <c r="AN415" s="190"/>
      <c r="AO415" s="190"/>
      <c r="AP415" s="190"/>
      <c r="AQ415" s="190"/>
      <c r="AR415" s="190"/>
      <c r="AS415" s="190"/>
      <c r="AT415" s="190"/>
      <c r="AU415" s="190"/>
      <c r="AV415" s="190"/>
      <c r="AW415" s="44"/>
      <c r="AX415" s="44"/>
    </row>
    <row r="416" spans="39:50" x14ac:dyDescent="0.3">
      <c r="AM416" s="91"/>
      <c r="AN416" s="91"/>
      <c r="AO416" s="91"/>
      <c r="AP416" s="91"/>
      <c r="AQ416" s="91"/>
      <c r="AR416" s="96"/>
      <c r="AS416" s="96"/>
      <c r="AT416" s="91"/>
      <c r="AU416" s="91"/>
      <c r="AV416" s="91"/>
      <c r="AW416" s="44"/>
      <c r="AX416" s="44"/>
    </row>
    <row r="417" spans="39:50" x14ac:dyDescent="0.3"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</row>
    <row r="418" spans="39:50" x14ac:dyDescent="0.3"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</row>
    <row r="419" spans="39:50" x14ac:dyDescent="0.3"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</row>
    <row r="421" spans="39:50" x14ac:dyDescent="0.3">
      <c r="AO421" s="80"/>
      <c r="AP421" s="80"/>
      <c r="AQ421" s="80"/>
    </row>
    <row r="422" spans="39:50" x14ac:dyDescent="0.3">
      <c r="AO422" s="80"/>
      <c r="AP422" s="80"/>
      <c r="AQ422" s="80"/>
    </row>
    <row r="423" spans="39:50" x14ac:dyDescent="0.3">
      <c r="AO423" s="80"/>
      <c r="AP423" s="80"/>
      <c r="AQ423" s="80"/>
    </row>
    <row r="424" spans="39:50" x14ac:dyDescent="0.3">
      <c r="AO424" s="80"/>
      <c r="AP424" s="187"/>
      <c r="AQ424" s="187"/>
      <c r="AR424" s="80"/>
      <c r="AS424" s="80"/>
      <c r="AT424" s="80"/>
      <c r="AU424" s="80"/>
      <c r="AV424" s="80"/>
    </row>
    <row r="425" spans="39:50" x14ac:dyDescent="0.3">
      <c r="AO425" s="80"/>
      <c r="AP425" s="80"/>
      <c r="AQ425" s="80"/>
      <c r="AR425" s="80"/>
      <c r="AS425" s="80"/>
      <c r="AT425" s="80"/>
      <c r="AU425" s="80"/>
      <c r="AV425" s="80"/>
    </row>
    <row r="426" spans="39:50" x14ac:dyDescent="0.3">
      <c r="AO426" s="20"/>
      <c r="AP426" s="20"/>
      <c r="AQ426" s="80"/>
      <c r="AR426" s="80"/>
      <c r="AS426" s="80"/>
      <c r="AT426" s="20"/>
      <c r="AU426" s="80"/>
      <c r="AV426" s="80"/>
    </row>
    <row r="428" spans="39:50" x14ac:dyDescent="0.3">
      <c r="AR428" s="20"/>
      <c r="AS428" s="20"/>
      <c r="AT428" s="80"/>
    </row>
  </sheetData>
  <mergeCells count="113">
    <mergeCell ref="B1:J1"/>
    <mergeCell ref="AM4:AW4"/>
    <mergeCell ref="A5:P5"/>
    <mergeCell ref="AM5:AW5"/>
    <mergeCell ref="A6:A7"/>
    <mergeCell ref="B6:B7"/>
    <mergeCell ref="C6:C7"/>
    <mergeCell ref="D6:E6"/>
    <mergeCell ref="F6:F7"/>
    <mergeCell ref="G6:G7"/>
    <mergeCell ref="BO15:BP15"/>
    <mergeCell ref="O6:O7"/>
    <mergeCell ref="P6:P7"/>
    <mergeCell ref="AM6:AW6"/>
    <mergeCell ref="AM7:AW7"/>
    <mergeCell ref="AM8:AW8"/>
    <mergeCell ref="AM9:AW9"/>
    <mergeCell ref="H6:H7"/>
    <mergeCell ref="J6:J7"/>
    <mergeCell ref="K6:K7"/>
    <mergeCell ref="L6:L7"/>
    <mergeCell ref="M6:M7"/>
    <mergeCell ref="N6:N7"/>
    <mergeCell ref="BL16:BM16"/>
    <mergeCell ref="BL17:BM17"/>
    <mergeCell ref="BL18:BM18"/>
    <mergeCell ref="BL19:BM19"/>
    <mergeCell ref="BL20:BM20"/>
    <mergeCell ref="BL21:BM21"/>
    <mergeCell ref="AM10:AW10"/>
    <mergeCell ref="AM11:AW11"/>
    <mergeCell ref="AM12:AW12"/>
    <mergeCell ref="BL14:BM14"/>
    <mergeCell ref="BL15:BM15"/>
    <mergeCell ref="E27:G27"/>
    <mergeCell ref="H27:J27"/>
    <mergeCell ref="BL27:BM27"/>
    <mergeCell ref="E28:G28"/>
    <mergeCell ref="H28:J28"/>
    <mergeCell ref="BL28:BM28"/>
    <mergeCell ref="BL22:BM22"/>
    <mergeCell ref="BL23:BM23"/>
    <mergeCell ref="BL24:BM24"/>
    <mergeCell ref="BL25:BM25"/>
    <mergeCell ref="E26:G26"/>
    <mergeCell ref="H26:J26"/>
    <mergeCell ref="BL26:BM26"/>
    <mergeCell ref="AV141:AX141"/>
    <mergeCell ref="AV142:AX142"/>
    <mergeCell ref="AV143:AX143"/>
    <mergeCell ref="AV144:AX144"/>
    <mergeCell ref="E29:G29"/>
    <mergeCell ref="H29:J29"/>
    <mergeCell ref="BL29:BM29"/>
    <mergeCell ref="E30:G30"/>
    <mergeCell ref="H30:J30"/>
    <mergeCell ref="T128:U128"/>
    <mergeCell ref="X107:Z107"/>
    <mergeCell ref="AA107:AC107"/>
    <mergeCell ref="X108:Z108"/>
    <mergeCell ref="AA108:AC108"/>
    <mergeCell ref="X109:Z109"/>
    <mergeCell ref="AA109:AC109"/>
    <mergeCell ref="AD109:AF109"/>
    <mergeCell ref="T129:U129"/>
    <mergeCell ref="T130:U130"/>
    <mergeCell ref="AN407:AX407"/>
    <mergeCell ref="T300:AD300"/>
    <mergeCell ref="T301:AD301"/>
    <mergeCell ref="T302:AD302"/>
    <mergeCell ref="T303:AD303"/>
    <mergeCell ref="AA165:AB165"/>
    <mergeCell ref="AU186:AW186"/>
    <mergeCell ref="AU187:AW187"/>
    <mergeCell ref="AU188:AW188"/>
    <mergeCell ref="AX292:AZ292"/>
    <mergeCell ref="AX293:AZ293"/>
    <mergeCell ref="Y192:AA192"/>
    <mergeCell ref="AB192:AD192"/>
    <mergeCell ref="T304:AD304"/>
    <mergeCell ref="T305:AD305"/>
    <mergeCell ref="T306:AD306"/>
    <mergeCell ref="T307:AD307"/>
    <mergeCell ref="T308:AD308"/>
    <mergeCell ref="T309:AD309"/>
    <mergeCell ref="Y190:AA190"/>
    <mergeCell ref="AB190:AD190"/>
    <mergeCell ref="Y191:AA191"/>
    <mergeCell ref="AB191:AD191"/>
    <mergeCell ref="AP424:AQ424"/>
    <mergeCell ref="Y92:AA92"/>
    <mergeCell ref="AB92:AD92"/>
    <mergeCell ref="Y93:AA93"/>
    <mergeCell ref="AB93:AD93"/>
    <mergeCell ref="Y94:AA94"/>
    <mergeCell ref="AB94:AD94"/>
    <mergeCell ref="Y95:AA95"/>
    <mergeCell ref="AB95:AD95"/>
    <mergeCell ref="AE94:AG94"/>
    <mergeCell ref="AN408:AX408"/>
    <mergeCell ref="AN409:AX409"/>
    <mergeCell ref="AN410:AX410"/>
    <mergeCell ref="AN411:AX411"/>
    <mergeCell ref="AN412:AX412"/>
    <mergeCell ref="AN415:AO415"/>
    <mergeCell ref="AP415:AQ415"/>
    <mergeCell ref="AR415:AS415"/>
    <mergeCell ref="AT415:AV415"/>
    <mergeCell ref="AX294:AZ294"/>
    <mergeCell ref="AD318:AE318"/>
    <mergeCell ref="AN404:AX404"/>
    <mergeCell ref="AN405:AX405"/>
    <mergeCell ref="AN406:AX40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3"/>
  <sheetViews>
    <sheetView topLeftCell="A118" zoomScale="10" zoomScaleNormal="10" workbookViewId="0">
      <selection activeCell="BX240" sqref="BX153:BZ240"/>
    </sheetView>
  </sheetViews>
  <sheetFormatPr defaultRowHeight="14.4" x14ac:dyDescent="0.3"/>
  <cols>
    <col min="1" max="1" width="8.88671875" style="84"/>
    <col min="2" max="2" width="10.6640625" style="84" customWidth="1"/>
    <col min="3" max="12" width="8.88671875" style="84"/>
    <col min="13" max="13" width="8.21875" style="84" customWidth="1"/>
    <col min="14" max="14" width="7.6640625" style="84" customWidth="1"/>
    <col min="15" max="15" width="11.6640625" style="84" customWidth="1"/>
    <col min="16" max="16" width="9" style="84" customWidth="1"/>
    <col min="17" max="21" width="8.88671875" style="84"/>
    <col min="22" max="22" width="9.33203125" style="84" customWidth="1"/>
    <col min="23" max="16384" width="8.88671875" style="84"/>
  </cols>
  <sheetData>
    <row r="1" spans="1:68" x14ac:dyDescent="0.3">
      <c r="B1" s="186" t="s">
        <v>156</v>
      </c>
      <c r="C1" s="186"/>
      <c r="D1" s="186"/>
      <c r="E1" s="186"/>
      <c r="F1" s="186"/>
      <c r="G1" s="186"/>
      <c r="H1" s="186"/>
      <c r="I1" s="186"/>
      <c r="J1" s="186"/>
      <c r="V1" s="84" t="s">
        <v>53</v>
      </c>
      <c r="W1" s="84" t="s">
        <v>54</v>
      </c>
    </row>
    <row r="2" spans="1:68" x14ac:dyDescent="0.3">
      <c r="A2" s="86" t="s">
        <v>139</v>
      </c>
      <c r="B2" s="86" t="s">
        <v>140</v>
      </c>
      <c r="C2" s="86" t="s">
        <v>141</v>
      </c>
      <c r="D2" s="86" t="s">
        <v>142</v>
      </c>
      <c r="E2" s="86" t="s">
        <v>143</v>
      </c>
      <c r="F2" s="86" t="s">
        <v>145</v>
      </c>
      <c r="G2" s="86" t="s">
        <v>144</v>
      </c>
      <c r="H2" s="86" t="s">
        <v>146</v>
      </c>
      <c r="I2" s="86" t="s">
        <v>147</v>
      </c>
      <c r="J2" s="86" t="s">
        <v>154</v>
      </c>
      <c r="U2" s="84" t="s">
        <v>4</v>
      </c>
      <c r="V2" s="84">
        <v>25</v>
      </c>
      <c r="W2" s="84">
        <v>52</v>
      </c>
      <c r="Z2" s="84" t="s">
        <v>25</v>
      </c>
      <c r="AA2" s="84">
        <v>1</v>
      </c>
      <c r="AB2" s="84">
        <v>0</v>
      </c>
      <c r="AE2" s="20" t="s">
        <v>28</v>
      </c>
      <c r="AF2" s="80">
        <v>1</v>
      </c>
      <c r="AG2" s="80">
        <v>0</v>
      </c>
    </row>
    <row r="3" spans="1:68" x14ac:dyDescent="0.3">
      <c r="A3" s="86" t="s">
        <v>150</v>
      </c>
      <c r="B3" s="86">
        <v>25</v>
      </c>
      <c r="C3" s="86">
        <v>52</v>
      </c>
      <c r="D3" s="86">
        <v>69</v>
      </c>
      <c r="E3" s="86">
        <v>89</v>
      </c>
      <c r="F3" s="86">
        <v>22</v>
      </c>
      <c r="G3" s="86">
        <v>30</v>
      </c>
      <c r="H3" s="86">
        <v>195</v>
      </c>
      <c r="I3" s="86">
        <v>205</v>
      </c>
      <c r="J3" s="86">
        <v>240</v>
      </c>
      <c r="Z3" s="84" t="s">
        <v>34</v>
      </c>
      <c r="AA3" s="84">
        <v>0</v>
      </c>
      <c r="AB3" s="84">
        <v>1</v>
      </c>
      <c r="AE3" s="20" t="s">
        <v>33</v>
      </c>
      <c r="AF3" s="80">
        <v>0</v>
      </c>
      <c r="AG3" s="80">
        <v>1</v>
      </c>
    </row>
    <row r="4" spans="1:68" x14ac:dyDescent="0.3">
      <c r="A4" s="85" t="s">
        <v>152</v>
      </c>
      <c r="B4" s="85" t="s">
        <v>55</v>
      </c>
      <c r="C4" s="85" t="s">
        <v>43</v>
      </c>
      <c r="D4" s="85" t="s">
        <v>57</v>
      </c>
      <c r="E4" s="85" t="s">
        <v>58</v>
      </c>
      <c r="F4" s="87" t="s">
        <v>44</v>
      </c>
      <c r="G4" s="87" t="s">
        <v>47</v>
      </c>
      <c r="H4" s="85" t="s">
        <v>44</v>
      </c>
      <c r="I4" s="85" t="s">
        <v>155</v>
      </c>
      <c r="J4" s="85" t="s">
        <v>61</v>
      </c>
      <c r="S4" s="85" t="s">
        <v>46</v>
      </c>
      <c r="T4" s="86" t="s">
        <v>79</v>
      </c>
      <c r="U4" s="86" t="s">
        <v>42</v>
      </c>
      <c r="V4" s="86" t="s">
        <v>55</v>
      </c>
      <c r="W4" s="86" t="s">
        <v>43</v>
      </c>
      <c r="Y4" s="86" t="s">
        <v>46</v>
      </c>
      <c r="Z4" s="86" t="s">
        <v>11</v>
      </c>
      <c r="AA4" s="86" t="s">
        <v>25</v>
      </c>
      <c r="AB4" s="86" t="s">
        <v>34</v>
      </c>
      <c r="AD4" s="86" t="s">
        <v>46</v>
      </c>
      <c r="AE4" s="86" t="s">
        <v>52</v>
      </c>
      <c r="AF4" s="21" t="s">
        <v>28</v>
      </c>
      <c r="AG4" s="21" t="s">
        <v>33</v>
      </c>
      <c r="AL4" s="104" t="s">
        <v>77</v>
      </c>
      <c r="AM4" s="192" t="s">
        <v>167</v>
      </c>
      <c r="AN4" s="192"/>
      <c r="AO4" s="192"/>
      <c r="AP4" s="192"/>
      <c r="AQ4" s="192"/>
      <c r="AR4" s="192"/>
      <c r="AS4" s="192"/>
      <c r="AT4" s="192"/>
      <c r="AU4" s="192"/>
      <c r="AV4" s="192"/>
      <c r="AW4" s="192"/>
    </row>
    <row r="5" spans="1:68" x14ac:dyDescent="0.3">
      <c r="A5" s="168" t="s">
        <v>0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S5" s="86">
        <v>1</v>
      </c>
      <c r="T5" s="89">
        <v>2</v>
      </c>
      <c r="U5" s="89">
        <v>52</v>
      </c>
      <c r="V5" s="86">
        <f>IF(U5&lt;=$V$2,1,IF(AND($V$2&lt;U5,U5&lt;$W$2),($W$2-U5)/($W$2-$V$2),IF(U5&gt;=$W$2,0)))</f>
        <v>0</v>
      </c>
      <c r="W5" s="86">
        <f>IF(U5&lt;=$V$2,0,IF(AND($V$2&lt;U5,U5&lt;$W$2),(U5-$V$2)/($W$2-$V$2),IF(U5&gt;=$W$2,1)))</f>
        <v>1</v>
      </c>
      <c r="Y5" s="86">
        <v>1</v>
      </c>
      <c r="Z5" s="85">
        <v>1</v>
      </c>
      <c r="AA5" s="86">
        <f>($AB$2-Z5)/($AB$2-$AA$2)</f>
        <v>1</v>
      </c>
      <c r="AB5" s="86">
        <f>(Z5-$AA$3)/($AB$3-$AA$3)</f>
        <v>1</v>
      </c>
      <c r="AD5" s="86">
        <v>1</v>
      </c>
      <c r="AE5" s="89">
        <v>1</v>
      </c>
      <c r="AF5" s="86">
        <f>($AG$2-AE5)/(AG$2-$AF$2)</f>
        <v>1</v>
      </c>
      <c r="AG5" s="86">
        <f>(AE5-$AF$3)/($AG$3-$AF$3)</f>
        <v>1</v>
      </c>
      <c r="AL5" s="87">
        <v>1</v>
      </c>
      <c r="AM5" s="189" t="s">
        <v>168</v>
      </c>
      <c r="AN5" s="189"/>
      <c r="AO5" s="189"/>
      <c r="AP5" s="189"/>
      <c r="AQ5" s="189"/>
      <c r="AR5" s="189"/>
      <c r="AS5" s="189"/>
      <c r="AT5" s="189"/>
      <c r="AU5" s="189"/>
      <c r="AV5" s="189"/>
      <c r="AW5" s="189"/>
    </row>
    <row r="6" spans="1:68" x14ac:dyDescent="0.3">
      <c r="A6" s="169" t="s">
        <v>3</v>
      </c>
      <c r="B6" s="169" t="s">
        <v>4</v>
      </c>
      <c r="C6" s="169" t="s">
        <v>5</v>
      </c>
      <c r="D6" s="169" t="s">
        <v>6</v>
      </c>
      <c r="E6" s="169"/>
      <c r="F6" s="170" t="s">
        <v>7</v>
      </c>
      <c r="G6" s="169" t="s">
        <v>8</v>
      </c>
      <c r="H6" s="169" t="s">
        <v>9</v>
      </c>
      <c r="I6" s="89" t="s">
        <v>10</v>
      </c>
      <c r="J6" s="169" t="s">
        <v>11</v>
      </c>
      <c r="K6" s="170" t="s">
        <v>12</v>
      </c>
      <c r="L6" s="169" t="s">
        <v>13</v>
      </c>
      <c r="M6" s="169" t="s">
        <v>14</v>
      </c>
      <c r="N6" s="169" t="s">
        <v>15</v>
      </c>
      <c r="O6" s="175" t="s">
        <v>16</v>
      </c>
      <c r="P6" s="175" t="s">
        <v>17</v>
      </c>
      <c r="S6" s="86">
        <v>2</v>
      </c>
      <c r="T6" s="89">
        <v>3</v>
      </c>
      <c r="U6" s="89">
        <v>66</v>
      </c>
      <c r="V6" s="86">
        <f t="shared" ref="V6:V19" si="0">IF(U6&lt;=$V$2,1,IF(AND($V$2&lt;U6,U6&lt;$W$2),($W$2-U6)/($W$2-$V$2),IF(U6&gt;=$W$2,0)))</f>
        <v>0</v>
      </c>
      <c r="W6" s="86">
        <f t="shared" ref="W6:W19" si="1">IF(U6&lt;=$V$2,0,IF(AND($V$2&lt;U6,U6&lt;$W$2),(U6-$V$2)/($W$2-$V$2),IF(U6&gt;=$W$2,1)))</f>
        <v>1</v>
      </c>
      <c r="Y6" s="86">
        <v>2</v>
      </c>
      <c r="Z6" s="85">
        <v>0</v>
      </c>
      <c r="AA6" s="86">
        <f t="shared" ref="AA6:AA19" si="2">($AB$2-Z6)/($AB$2-$AA$2)</f>
        <v>0</v>
      </c>
      <c r="AB6" s="86">
        <f t="shared" ref="AB6:AB19" si="3">(Z6-$AA$3)/($AB$3-$AA$3)</f>
        <v>0</v>
      </c>
      <c r="AD6" s="86">
        <v>2</v>
      </c>
      <c r="AE6" s="89">
        <v>0</v>
      </c>
      <c r="AF6" s="86">
        <f t="shared" ref="AF6:AF19" si="4">($AG$2-AE6)/(AG$2-$AF$2)</f>
        <v>0</v>
      </c>
      <c r="AG6" s="86">
        <f t="shared" ref="AG6:AG19" si="5">(AE6-$AF$3)/($AG$3-$AF$3)</f>
        <v>0</v>
      </c>
      <c r="AL6" s="87">
        <v>2</v>
      </c>
      <c r="AM6" s="189" t="s">
        <v>169</v>
      </c>
      <c r="AN6" s="189"/>
      <c r="AO6" s="189"/>
      <c r="AP6" s="189"/>
      <c r="AQ6" s="189"/>
      <c r="AR6" s="189"/>
      <c r="AS6" s="189"/>
      <c r="AT6" s="189"/>
      <c r="AU6" s="189"/>
      <c r="AV6" s="189"/>
      <c r="AW6" s="189"/>
    </row>
    <row r="7" spans="1:68" x14ac:dyDescent="0.3">
      <c r="A7" s="169"/>
      <c r="B7" s="169"/>
      <c r="C7" s="169"/>
      <c r="D7" s="89" t="s">
        <v>19</v>
      </c>
      <c r="E7" s="89" t="s">
        <v>20</v>
      </c>
      <c r="F7" s="171"/>
      <c r="G7" s="169"/>
      <c r="H7" s="169"/>
      <c r="I7" s="3" t="s">
        <v>21</v>
      </c>
      <c r="J7" s="169"/>
      <c r="K7" s="171"/>
      <c r="L7" s="169"/>
      <c r="M7" s="169"/>
      <c r="N7" s="169"/>
      <c r="O7" s="175"/>
      <c r="P7" s="175"/>
      <c r="S7" s="86">
        <v>3</v>
      </c>
      <c r="T7" s="89">
        <v>1</v>
      </c>
      <c r="U7" s="89">
        <v>56</v>
      </c>
      <c r="V7" s="86">
        <f t="shared" si="0"/>
        <v>0</v>
      </c>
      <c r="W7" s="86">
        <f t="shared" si="1"/>
        <v>1</v>
      </c>
      <c r="Y7" s="86">
        <v>3</v>
      </c>
      <c r="Z7" s="85">
        <v>1</v>
      </c>
      <c r="AA7" s="86">
        <f t="shared" si="2"/>
        <v>1</v>
      </c>
      <c r="AB7" s="86">
        <f t="shared" si="3"/>
        <v>1</v>
      </c>
      <c r="AD7" s="86">
        <v>3</v>
      </c>
      <c r="AE7" s="89">
        <v>1</v>
      </c>
      <c r="AF7" s="86">
        <f t="shared" si="4"/>
        <v>1</v>
      </c>
      <c r="AG7" s="86">
        <f t="shared" si="5"/>
        <v>1</v>
      </c>
      <c r="AL7" s="87">
        <v>3</v>
      </c>
      <c r="AM7" s="189" t="s">
        <v>170</v>
      </c>
      <c r="AN7" s="189"/>
      <c r="AO7" s="189"/>
      <c r="AP7" s="189"/>
      <c r="AQ7" s="189"/>
      <c r="AR7" s="189"/>
      <c r="AS7" s="189"/>
      <c r="AT7" s="189"/>
      <c r="AU7" s="189"/>
      <c r="AV7" s="189"/>
      <c r="AW7" s="189"/>
    </row>
    <row r="8" spans="1:68" x14ac:dyDescent="0.3">
      <c r="A8" s="89">
        <v>1</v>
      </c>
      <c r="B8" s="89">
        <v>52</v>
      </c>
      <c r="C8" s="24" t="s">
        <v>24</v>
      </c>
      <c r="D8" s="89">
        <v>125</v>
      </c>
      <c r="E8" s="89">
        <v>90</v>
      </c>
      <c r="F8" s="89">
        <v>78</v>
      </c>
      <c r="G8" s="89">
        <v>1.63</v>
      </c>
      <c r="H8" s="89">
        <v>62.7</v>
      </c>
      <c r="I8" s="4">
        <f>H8/(G8*G8)</f>
        <v>23.598931085099178</v>
      </c>
      <c r="J8" s="85" t="s">
        <v>25</v>
      </c>
      <c r="K8" s="89" t="s">
        <v>26</v>
      </c>
      <c r="L8" s="89" t="s">
        <v>27</v>
      </c>
      <c r="M8" s="89" t="s">
        <v>28</v>
      </c>
      <c r="N8" s="89" t="s">
        <v>25</v>
      </c>
      <c r="O8" s="89" t="s">
        <v>29</v>
      </c>
      <c r="P8" s="89" t="s">
        <v>30</v>
      </c>
      <c r="S8" s="86">
        <v>4</v>
      </c>
      <c r="T8" s="89">
        <v>1</v>
      </c>
      <c r="U8" s="89">
        <v>38</v>
      </c>
      <c r="V8" s="86">
        <f t="shared" si="0"/>
        <v>0.51851851851851849</v>
      </c>
      <c r="W8" s="86">
        <f t="shared" si="1"/>
        <v>0.48148148148148145</v>
      </c>
      <c r="Y8" s="86">
        <v>4</v>
      </c>
      <c r="Z8" s="85">
        <v>0</v>
      </c>
      <c r="AA8" s="86">
        <f t="shared" si="2"/>
        <v>0</v>
      </c>
      <c r="AB8" s="86">
        <f t="shared" si="3"/>
        <v>0</v>
      </c>
      <c r="AD8" s="86">
        <v>4</v>
      </c>
      <c r="AE8" s="89">
        <v>0</v>
      </c>
      <c r="AF8" s="86">
        <f t="shared" si="4"/>
        <v>0</v>
      </c>
      <c r="AG8" s="86">
        <f t="shared" si="5"/>
        <v>0</v>
      </c>
      <c r="AL8" s="87">
        <v>4</v>
      </c>
      <c r="AM8" s="189" t="s">
        <v>171</v>
      </c>
      <c r="AN8" s="189"/>
      <c r="AO8" s="189"/>
      <c r="AP8" s="189"/>
      <c r="AQ8" s="189"/>
      <c r="AR8" s="189"/>
      <c r="AS8" s="189"/>
      <c r="AT8" s="189"/>
      <c r="AU8" s="189"/>
      <c r="AV8" s="189"/>
      <c r="AW8" s="189"/>
    </row>
    <row r="9" spans="1:68" x14ac:dyDescent="0.3">
      <c r="A9" s="89">
        <v>2</v>
      </c>
      <c r="B9" s="89">
        <v>66</v>
      </c>
      <c r="C9" s="24" t="s">
        <v>24</v>
      </c>
      <c r="D9" s="89">
        <v>194</v>
      </c>
      <c r="E9" s="89">
        <v>114</v>
      </c>
      <c r="F9" s="89">
        <v>98</v>
      </c>
      <c r="G9" s="89">
        <v>1.63</v>
      </c>
      <c r="H9" s="89">
        <v>72.2</v>
      </c>
      <c r="I9" s="4">
        <f t="shared" ref="I9:I22" si="6">H9/(G9*G9)</f>
        <v>27.174526704053598</v>
      </c>
      <c r="J9" s="85" t="s">
        <v>31</v>
      </c>
      <c r="K9" s="89" t="s">
        <v>26</v>
      </c>
      <c r="L9" s="89" t="s">
        <v>32</v>
      </c>
      <c r="M9" s="89" t="s">
        <v>33</v>
      </c>
      <c r="N9" s="89" t="s">
        <v>25</v>
      </c>
      <c r="O9" s="89" t="s">
        <v>34</v>
      </c>
      <c r="P9" s="89" t="s">
        <v>35</v>
      </c>
      <c r="S9" s="86">
        <v>5</v>
      </c>
      <c r="T9" s="89">
        <v>1</v>
      </c>
      <c r="U9" s="89">
        <v>36</v>
      </c>
      <c r="V9" s="86">
        <f t="shared" si="0"/>
        <v>0.59259259259259256</v>
      </c>
      <c r="W9" s="86">
        <f t="shared" si="1"/>
        <v>0.40740740740740738</v>
      </c>
      <c r="Y9" s="86">
        <v>5</v>
      </c>
      <c r="Z9" s="85">
        <v>0</v>
      </c>
      <c r="AA9" s="86">
        <f t="shared" si="2"/>
        <v>0</v>
      </c>
      <c r="AB9" s="86">
        <f t="shared" si="3"/>
        <v>0</v>
      </c>
      <c r="AD9" s="86">
        <v>5</v>
      </c>
      <c r="AE9" s="89">
        <v>1</v>
      </c>
      <c r="AF9" s="86">
        <f t="shared" si="4"/>
        <v>1</v>
      </c>
      <c r="AG9" s="86">
        <f t="shared" si="5"/>
        <v>1</v>
      </c>
      <c r="AL9" s="87">
        <v>5</v>
      </c>
      <c r="AM9" s="189" t="s">
        <v>172</v>
      </c>
      <c r="AN9" s="189"/>
      <c r="AO9" s="189"/>
      <c r="AP9" s="189"/>
      <c r="AQ9" s="189"/>
      <c r="AR9" s="189"/>
      <c r="AS9" s="189"/>
      <c r="AT9" s="189"/>
      <c r="AU9" s="189"/>
      <c r="AV9" s="189"/>
      <c r="AW9" s="189"/>
    </row>
    <row r="10" spans="1:68" x14ac:dyDescent="0.3">
      <c r="A10" s="89">
        <v>3</v>
      </c>
      <c r="B10" s="89">
        <v>56</v>
      </c>
      <c r="C10" s="24" t="s">
        <v>24</v>
      </c>
      <c r="D10" s="89">
        <v>129</v>
      </c>
      <c r="E10" s="89">
        <v>80</v>
      </c>
      <c r="F10" s="89">
        <v>98</v>
      </c>
      <c r="G10" s="89">
        <v>1.51</v>
      </c>
      <c r="H10" s="89">
        <v>61.2</v>
      </c>
      <c r="I10" s="4">
        <f t="shared" si="6"/>
        <v>26.840928029472394</v>
      </c>
      <c r="J10" s="85" t="s">
        <v>25</v>
      </c>
      <c r="K10" s="89" t="s">
        <v>26</v>
      </c>
      <c r="L10" s="89" t="s">
        <v>27</v>
      </c>
      <c r="M10" s="89" t="s">
        <v>28</v>
      </c>
      <c r="N10" s="89" t="s">
        <v>25</v>
      </c>
      <c r="O10" s="89" t="s">
        <v>34</v>
      </c>
      <c r="P10" s="89" t="s">
        <v>36</v>
      </c>
      <c r="S10" s="86">
        <v>6</v>
      </c>
      <c r="T10" s="89">
        <v>2</v>
      </c>
      <c r="U10" s="89">
        <v>31</v>
      </c>
      <c r="V10" s="86">
        <f t="shared" si="0"/>
        <v>0.77777777777777779</v>
      </c>
      <c r="W10" s="86">
        <f t="shared" si="1"/>
        <v>0.22222222222222221</v>
      </c>
      <c r="Y10" s="86">
        <v>6</v>
      </c>
      <c r="Z10" s="89">
        <v>0</v>
      </c>
      <c r="AA10" s="86">
        <f t="shared" si="2"/>
        <v>0</v>
      </c>
      <c r="AB10" s="86">
        <f t="shared" si="3"/>
        <v>0</v>
      </c>
      <c r="AD10" s="86">
        <v>6</v>
      </c>
      <c r="AE10" s="89">
        <v>1</v>
      </c>
      <c r="AF10" s="86">
        <f t="shared" si="4"/>
        <v>1</v>
      </c>
      <c r="AG10" s="86">
        <f t="shared" si="5"/>
        <v>1</v>
      </c>
      <c r="AL10" s="87">
        <v>6</v>
      </c>
      <c r="AM10" s="189" t="s">
        <v>173</v>
      </c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</row>
    <row r="11" spans="1:68" ht="15.6" x14ac:dyDescent="0.3">
      <c r="A11" s="89">
        <v>32</v>
      </c>
      <c r="B11" s="89">
        <v>38</v>
      </c>
      <c r="C11" s="25" t="s">
        <v>37</v>
      </c>
      <c r="D11" s="89">
        <v>116</v>
      </c>
      <c r="E11" s="89">
        <v>87</v>
      </c>
      <c r="F11" s="89">
        <v>99</v>
      </c>
      <c r="G11" s="89">
        <v>1.512</v>
      </c>
      <c r="H11" s="89">
        <v>74.2</v>
      </c>
      <c r="I11" s="4">
        <f t="shared" si="6"/>
        <v>32.456398197138938</v>
      </c>
      <c r="J11" s="85" t="s">
        <v>31</v>
      </c>
      <c r="K11" s="89" t="s">
        <v>39</v>
      </c>
      <c r="L11" s="89" t="s">
        <v>32</v>
      </c>
      <c r="M11" s="89" t="s">
        <v>33</v>
      </c>
      <c r="N11" s="89" t="s">
        <v>25</v>
      </c>
      <c r="O11" s="89" t="s">
        <v>34</v>
      </c>
      <c r="P11" s="89" t="s">
        <v>36</v>
      </c>
      <c r="S11" s="86">
        <v>7</v>
      </c>
      <c r="T11" s="89">
        <v>3</v>
      </c>
      <c r="U11" s="89">
        <v>43</v>
      </c>
      <c r="V11" s="86">
        <f t="shared" si="0"/>
        <v>0.33333333333333331</v>
      </c>
      <c r="W11" s="86">
        <f t="shared" si="1"/>
        <v>0.66666666666666663</v>
      </c>
      <c r="Y11" s="86">
        <v>7</v>
      </c>
      <c r="Z11" s="89">
        <v>0</v>
      </c>
      <c r="AA11" s="86">
        <f t="shared" si="2"/>
        <v>0</v>
      </c>
      <c r="AB11" s="86">
        <f t="shared" si="3"/>
        <v>0</v>
      </c>
      <c r="AD11" s="86">
        <v>7</v>
      </c>
      <c r="AE11" s="89">
        <v>0</v>
      </c>
      <c r="AF11" s="86">
        <f t="shared" si="4"/>
        <v>0</v>
      </c>
      <c r="AG11" s="86">
        <f t="shared" si="5"/>
        <v>0</v>
      </c>
      <c r="AL11" s="87">
        <v>7</v>
      </c>
      <c r="AM11" s="189" t="s">
        <v>174</v>
      </c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</row>
    <row r="12" spans="1:68" ht="15.6" x14ac:dyDescent="0.3">
      <c r="A12" s="89">
        <v>34</v>
      </c>
      <c r="B12" s="89">
        <v>36</v>
      </c>
      <c r="C12" s="25" t="s">
        <v>37</v>
      </c>
      <c r="D12" s="89">
        <v>115</v>
      </c>
      <c r="E12" s="89">
        <v>83</v>
      </c>
      <c r="F12" s="89">
        <v>88</v>
      </c>
      <c r="G12" s="89">
        <v>1.46</v>
      </c>
      <c r="H12" s="89">
        <v>50.3</v>
      </c>
      <c r="I12" s="4">
        <f t="shared" si="6"/>
        <v>23.59729780446613</v>
      </c>
      <c r="J12" s="85" t="s">
        <v>31</v>
      </c>
      <c r="K12" s="89" t="s">
        <v>39</v>
      </c>
      <c r="L12" s="89" t="s">
        <v>27</v>
      </c>
      <c r="M12" s="89" t="s">
        <v>28</v>
      </c>
      <c r="N12" s="89" t="s">
        <v>25</v>
      </c>
      <c r="O12" s="89" t="s">
        <v>34</v>
      </c>
      <c r="P12" s="89" t="s">
        <v>36</v>
      </c>
      <c r="S12" s="86">
        <v>8</v>
      </c>
      <c r="T12" s="89">
        <v>3</v>
      </c>
      <c r="U12" s="89">
        <v>49</v>
      </c>
      <c r="V12" s="86">
        <f t="shared" si="0"/>
        <v>0.1111111111111111</v>
      </c>
      <c r="W12" s="86">
        <f t="shared" si="1"/>
        <v>0.88888888888888884</v>
      </c>
      <c r="Y12" s="86">
        <v>8</v>
      </c>
      <c r="Z12" s="89">
        <v>1</v>
      </c>
      <c r="AA12" s="86">
        <f t="shared" si="2"/>
        <v>1</v>
      </c>
      <c r="AB12" s="86">
        <f t="shared" si="3"/>
        <v>1</v>
      </c>
      <c r="AD12" s="86">
        <v>8</v>
      </c>
      <c r="AE12" s="89">
        <v>0</v>
      </c>
      <c r="AF12" s="86">
        <f t="shared" si="4"/>
        <v>0</v>
      </c>
      <c r="AG12" s="86">
        <f t="shared" si="5"/>
        <v>0</v>
      </c>
      <c r="AL12" s="87">
        <v>8</v>
      </c>
      <c r="AM12" s="189" t="s">
        <v>175</v>
      </c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</row>
    <row r="13" spans="1:68" ht="15.6" x14ac:dyDescent="0.3">
      <c r="A13" s="89">
        <v>38</v>
      </c>
      <c r="B13" s="89">
        <v>31</v>
      </c>
      <c r="C13" s="25" t="s">
        <v>37</v>
      </c>
      <c r="D13" s="89">
        <v>122</v>
      </c>
      <c r="E13" s="89">
        <v>83</v>
      </c>
      <c r="F13" s="89">
        <v>89</v>
      </c>
      <c r="G13" s="89">
        <v>1.4750000000000001</v>
      </c>
      <c r="H13" s="89">
        <v>68.099999999999994</v>
      </c>
      <c r="I13" s="4">
        <f t="shared" si="6"/>
        <v>31.301350186727948</v>
      </c>
      <c r="J13" s="89" t="s">
        <v>31</v>
      </c>
      <c r="K13" s="89" t="s">
        <v>39</v>
      </c>
      <c r="L13" s="89" t="s">
        <v>32</v>
      </c>
      <c r="M13" s="89" t="s">
        <v>28</v>
      </c>
      <c r="N13" s="89" t="s">
        <v>31</v>
      </c>
      <c r="O13" s="89" t="s">
        <v>29</v>
      </c>
      <c r="P13" s="89" t="s">
        <v>30</v>
      </c>
      <c r="S13" s="86">
        <v>9</v>
      </c>
      <c r="T13" s="89">
        <v>3</v>
      </c>
      <c r="U13" s="89">
        <v>27</v>
      </c>
      <c r="V13" s="86">
        <f t="shared" si="0"/>
        <v>0.92592592592592593</v>
      </c>
      <c r="W13" s="86">
        <f t="shared" si="1"/>
        <v>7.407407407407407E-2</v>
      </c>
      <c r="Y13" s="86">
        <v>9</v>
      </c>
      <c r="Z13" s="89">
        <v>1</v>
      </c>
      <c r="AA13" s="86">
        <f t="shared" si="2"/>
        <v>1</v>
      </c>
      <c r="AB13" s="86">
        <f t="shared" si="3"/>
        <v>1</v>
      </c>
      <c r="AD13" s="86">
        <v>9</v>
      </c>
      <c r="AE13" s="89">
        <v>0</v>
      </c>
      <c r="AF13" s="86">
        <f t="shared" si="4"/>
        <v>0</v>
      </c>
      <c r="AG13" s="86">
        <f t="shared" si="5"/>
        <v>0</v>
      </c>
    </row>
    <row r="14" spans="1:68" ht="15.6" x14ac:dyDescent="0.3">
      <c r="A14" s="89">
        <v>71</v>
      </c>
      <c r="B14" s="89">
        <v>43</v>
      </c>
      <c r="C14" s="26" t="s">
        <v>24</v>
      </c>
      <c r="D14" s="89">
        <v>130</v>
      </c>
      <c r="E14" s="89">
        <v>77</v>
      </c>
      <c r="F14" s="89">
        <v>89</v>
      </c>
      <c r="G14" s="89">
        <v>1.56</v>
      </c>
      <c r="H14" s="89">
        <v>63.6</v>
      </c>
      <c r="I14" s="4">
        <f t="shared" si="6"/>
        <v>26.134122287968442</v>
      </c>
      <c r="J14" s="89" t="s">
        <v>31</v>
      </c>
      <c r="K14" s="89" t="s">
        <v>39</v>
      </c>
      <c r="L14" s="89" t="s">
        <v>27</v>
      </c>
      <c r="M14" s="89" t="s">
        <v>33</v>
      </c>
      <c r="N14" s="89" t="s">
        <v>31</v>
      </c>
      <c r="O14" s="89" t="s">
        <v>38</v>
      </c>
      <c r="P14" s="89" t="s">
        <v>35</v>
      </c>
      <c r="S14" s="86">
        <v>10</v>
      </c>
      <c r="T14" s="89">
        <v>2</v>
      </c>
      <c r="U14" s="89">
        <v>80</v>
      </c>
      <c r="V14" s="86">
        <f t="shared" si="0"/>
        <v>0</v>
      </c>
      <c r="W14" s="86">
        <f t="shared" si="1"/>
        <v>1</v>
      </c>
      <c r="Y14" s="86">
        <v>10</v>
      </c>
      <c r="Z14" s="89">
        <v>0</v>
      </c>
      <c r="AA14" s="86">
        <f t="shared" si="2"/>
        <v>0</v>
      </c>
      <c r="AB14" s="86">
        <f t="shared" si="3"/>
        <v>0</v>
      </c>
      <c r="AD14" s="86">
        <v>10</v>
      </c>
      <c r="AE14" s="89">
        <v>1</v>
      </c>
      <c r="AF14" s="86">
        <f t="shared" si="4"/>
        <v>1</v>
      </c>
      <c r="AG14" s="86">
        <f t="shared" si="5"/>
        <v>1</v>
      </c>
      <c r="BK14" s="86" t="s">
        <v>178</v>
      </c>
      <c r="BL14" s="189" t="s">
        <v>177</v>
      </c>
      <c r="BM14" s="189"/>
    </row>
    <row r="15" spans="1:68" ht="15.6" x14ac:dyDescent="0.3">
      <c r="A15" s="89">
        <v>74</v>
      </c>
      <c r="B15" s="89">
        <v>49</v>
      </c>
      <c r="C15" s="26" t="s">
        <v>24</v>
      </c>
      <c r="D15" s="89">
        <v>176</v>
      </c>
      <c r="E15" s="89">
        <v>114</v>
      </c>
      <c r="F15" s="89">
        <v>91</v>
      </c>
      <c r="G15" s="89">
        <v>1.536</v>
      </c>
      <c r="H15" s="89">
        <v>62.3</v>
      </c>
      <c r="I15" s="4">
        <f t="shared" si="6"/>
        <v>26.406182183159721</v>
      </c>
      <c r="J15" s="89" t="s">
        <v>25</v>
      </c>
      <c r="K15" s="89" t="s">
        <v>39</v>
      </c>
      <c r="L15" s="89" t="s">
        <v>27</v>
      </c>
      <c r="M15" s="89" t="s">
        <v>33</v>
      </c>
      <c r="N15" s="89" t="s">
        <v>25</v>
      </c>
      <c r="O15" s="89" t="s">
        <v>38</v>
      </c>
      <c r="P15" s="89" t="s">
        <v>35</v>
      </c>
      <c r="S15" s="86">
        <v>11</v>
      </c>
      <c r="T15" s="89">
        <v>2</v>
      </c>
      <c r="U15" s="89">
        <v>35</v>
      </c>
      <c r="V15" s="86">
        <f t="shared" si="0"/>
        <v>0.62962962962962965</v>
      </c>
      <c r="W15" s="86">
        <f t="shared" si="1"/>
        <v>0.37037037037037035</v>
      </c>
      <c r="Y15" s="86">
        <v>11</v>
      </c>
      <c r="Z15" s="89">
        <v>1</v>
      </c>
      <c r="AA15" s="86">
        <f t="shared" si="2"/>
        <v>1</v>
      </c>
      <c r="AB15" s="86">
        <f t="shared" si="3"/>
        <v>1</v>
      </c>
      <c r="AD15" s="86">
        <v>11</v>
      </c>
      <c r="AE15" s="89">
        <v>1</v>
      </c>
      <c r="AF15" s="86">
        <f t="shared" si="4"/>
        <v>1</v>
      </c>
      <c r="AG15" s="86">
        <f t="shared" si="5"/>
        <v>1</v>
      </c>
      <c r="AL15" s="85" t="s">
        <v>46</v>
      </c>
      <c r="AM15" s="86" t="s">
        <v>66</v>
      </c>
      <c r="AN15" s="86" t="s">
        <v>42</v>
      </c>
      <c r="AO15" s="86" t="s">
        <v>55</v>
      </c>
      <c r="AP15" s="86" t="s">
        <v>43</v>
      </c>
      <c r="AR15" s="86" t="s">
        <v>46</v>
      </c>
      <c r="AS15" s="88" t="s">
        <v>7</v>
      </c>
      <c r="AT15" s="88" t="s">
        <v>57</v>
      </c>
      <c r="AU15" s="88" t="s">
        <v>58</v>
      </c>
      <c r="AW15" s="86" t="s">
        <v>46</v>
      </c>
      <c r="AX15" s="86" t="s">
        <v>59</v>
      </c>
      <c r="AY15" s="105" t="s">
        <v>44</v>
      </c>
      <c r="AZ15" s="86" t="s">
        <v>62</v>
      </c>
      <c r="BA15" s="88" t="s">
        <v>61</v>
      </c>
      <c r="BC15" s="86" t="s">
        <v>46</v>
      </c>
      <c r="BD15" s="86" t="s">
        <v>10</v>
      </c>
      <c r="BE15" s="105" t="s">
        <v>44</v>
      </c>
      <c r="BF15" s="86" t="s">
        <v>47</v>
      </c>
      <c r="BK15" s="86">
        <v>1</v>
      </c>
      <c r="BL15" s="181" t="s">
        <v>180</v>
      </c>
      <c r="BM15" s="183"/>
      <c r="BO15" s="181" t="s">
        <v>179</v>
      </c>
      <c r="BP15" s="183"/>
    </row>
    <row r="16" spans="1:68" ht="15.6" x14ac:dyDescent="0.3">
      <c r="A16" s="89">
        <v>62</v>
      </c>
      <c r="B16" s="89">
        <v>27</v>
      </c>
      <c r="C16" s="25" t="s">
        <v>37</v>
      </c>
      <c r="D16" s="89">
        <v>143</v>
      </c>
      <c r="E16" s="89">
        <v>107</v>
      </c>
      <c r="F16" s="89">
        <v>106</v>
      </c>
      <c r="G16" s="89">
        <v>1.44</v>
      </c>
      <c r="H16" s="89">
        <v>76.5</v>
      </c>
      <c r="I16" s="4">
        <f t="shared" si="6"/>
        <v>36.892361111111114</v>
      </c>
      <c r="J16" s="89" t="s">
        <v>25</v>
      </c>
      <c r="K16" s="89" t="s">
        <v>26</v>
      </c>
      <c r="L16" s="89" t="s">
        <v>32</v>
      </c>
      <c r="M16" s="89" t="s">
        <v>33</v>
      </c>
      <c r="N16" s="89" t="s">
        <v>31</v>
      </c>
      <c r="O16" s="89" t="s">
        <v>34</v>
      </c>
      <c r="P16" s="89" t="s">
        <v>35</v>
      </c>
      <c r="S16" s="86">
        <v>12</v>
      </c>
      <c r="T16" s="89">
        <v>2</v>
      </c>
      <c r="U16" s="89">
        <v>36</v>
      </c>
      <c r="V16" s="86">
        <f t="shared" si="0"/>
        <v>0.59259259259259256</v>
      </c>
      <c r="W16" s="86">
        <f t="shared" si="1"/>
        <v>0.40740740740740738</v>
      </c>
      <c r="Y16" s="86">
        <v>12</v>
      </c>
      <c r="Z16" s="89">
        <v>0</v>
      </c>
      <c r="AA16" s="86">
        <f t="shared" si="2"/>
        <v>0</v>
      </c>
      <c r="AB16" s="86">
        <f t="shared" si="3"/>
        <v>0</v>
      </c>
      <c r="AD16" s="86">
        <v>12</v>
      </c>
      <c r="AE16" s="89">
        <v>1</v>
      </c>
      <c r="AF16" s="86">
        <f t="shared" si="4"/>
        <v>1</v>
      </c>
      <c r="AG16" s="86">
        <f t="shared" si="5"/>
        <v>1</v>
      </c>
      <c r="AL16" s="86">
        <v>1</v>
      </c>
      <c r="AM16" s="89" t="s">
        <v>30</v>
      </c>
      <c r="AN16" s="89">
        <v>52</v>
      </c>
      <c r="AO16" s="86">
        <f>IF(AN16&lt;=$V$2,1,IF(AND($V$2&lt;AN16,AN16&lt;$W$2),($W$2-AN16)/($W$2-$V$2),IF(AN16&gt;=$W$2,0)))</f>
        <v>0</v>
      </c>
      <c r="AP16" s="86">
        <f>IF(AN16&lt;=$V$2,0,IF(AND($V$2&lt;AN16,AN16&lt;$W$2),(AN16-$V$2)/($W$2-$V$2),IF(AN16&gt;=$W$2,1)))</f>
        <v>1</v>
      </c>
      <c r="AR16" s="86">
        <v>1</v>
      </c>
      <c r="AS16" s="85">
        <v>78</v>
      </c>
      <c r="AT16" s="88">
        <f>IF(AS16&lt;=$V$29,1,IF(AND($V$29&lt;AS16,AS16&lt;$W$29),($W$29-AS16)/($W$29-$V$29),IF(AS16&gt;=$W$29,0)))</f>
        <v>0.55000000000000004</v>
      </c>
      <c r="AU16" s="88">
        <f>IF(AS16&lt;=$V$29,0,IF(AND($V$29&lt;AS16,AS16&lt;$W$29),(AS16-$V$29)/($W$29-$V$29),IF(AS16&gt;=$W$29,1)))</f>
        <v>0.45</v>
      </c>
      <c r="AW16" s="86">
        <v>1</v>
      </c>
      <c r="AX16" s="86">
        <f>(D8+E8)</f>
        <v>215</v>
      </c>
      <c r="AY16" s="105">
        <f>IF(AX16&lt;=$O$27,1,IF(AND($O$27&lt;AX16,AX16&lt;$P$27),($P$27-AX16)/($P$27-$O$27),IF(AX16&gt;=$O$27,0)))</f>
        <v>0</v>
      </c>
      <c r="AZ16" s="86">
        <f>IF(AND($O$27&lt;AX16,AX16&lt;$P$27),(AX16-$O$27)/($P$27-$O$27),IF(AND($P$27&lt;=AX16,AX16&lt;$Q$27),($Q$27-AX16)/($Q$27-$P$27), IF(OR(AX16&lt;=$O$27,AX16&gt;=$Q$27),0,salah)))</f>
        <v>0.7142857142857143</v>
      </c>
      <c r="BA16" s="86">
        <f>IF(AX16&lt;=$P$27,0,IF(AND($P$27&lt;AX16,AX16&lt;$Q$27),(AX16-$P$27)/($Q$27-$P$27),IF(AX16&gt;=$Q$27,1)))</f>
        <v>0.2857142857142857</v>
      </c>
      <c r="BC16" s="86">
        <v>1</v>
      </c>
      <c r="BD16" s="4">
        <f>H8/(G8*G8)</f>
        <v>23.598931085099178</v>
      </c>
      <c r="BE16" s="105">
        <f>IF(BD16&lt;=$V$54,1,IF(AND($V$54&lt;BD16,BD16&lt;$W$54),($W$54-BD16)/($W$54-$V$54),IF(BD16&gt;=$W$54,0)))</f>
        <v>0.80013361436260277</v>
      </c>
      <c r="BF16" s="86">
        <f>IF(BD16&lt;=$V$54,0,IF(AND($V$54&lt;BD16,BD16&lt;$W$54),(BD16-$V$54)/($W$54-$V$54),IF(BD16&gt;=$W$54,1)))</f>
        <v>0.19986638563739723</v>
      </c>
      <c r="BK16" s="86"/>
      <c r="BL16" s="181"/>
      <c r="BM16" s="183"/>
    </row>
    <row r="17" spans="1:65" ht="15.6" x14ac:dyDescent="0.3">
      <c r="A17" s="89">
        <v>54</v>
      </c>
      <c r="B17" s="89">
        <v>80</v>
      </c>
      <c r="C17" s="26" t="s">
        <v>24</v>
      </c>
      <c r="D17" s="89">
        <v>167</v>
      </c>
      <c r="E17" s="89">
        <v>89</v>
      </c>
      <c r="F17" s="89">
        <v>78</v>
      </c>
      <c r="G17" s="89">
        <v>1.55</v>
      </c>
      <c r="H17" s="89">
        <v>50.2</v>
      </c>
      <c r="I17" s="4">
        <f t="shared" si="6"/>
        <v>20.894901144640997</v>
      </c>
      <c r="J17" s="89" t="s">
        <v>31</v>
      </c>
      <c r="K17" s="89" t="s">
        <v>26</v>
      </c>
      <c r="L17" s="89" t="s">
        <v>27</v>
      </c>
      <c r="M17" s="89" t="s">
        <v>28</v>
      </c>
      <c r="N17" s="89" t="s">
        <v>31</v>
      </c>
      <c r="O17" s="89" t="s">
        <v>29</v>
      </c>
      <c r="P17" s="89" t="s">
        <v>30</v>
      </c>
      <c r="S17" s="86">
        <v>13</v>
      </c>
      <c r="T17" s="89">
        <v>3</v>
      </c>
      <c r="U17" s="89">
        <v>66</v>
      </c>
      <c r="V17" s="86">
        <f t="shared" si="0"/>
        <v>0</v>
      </c>
      <c r="W17" s="86">
        <f t="shared" si="1"/>
        <v>1</v>
      </c>
      <c r="Y17" s="86">
        <v>13</v>
      </c>
      <c r="Z17" s="85">
        <v>0</v>
      </c>
      <c r="AA17" s="86">
        <f t="shared" si="2"/>
        <v>0</v>
      </c>
      <c r="AB17" s="86">
        <f t="shared" si="3"/>
        <v>0</v>
      </c>
      <c r="AD17" s="86">
        <v>13</v>
      </c>
      <c r="AE17" s="89">
        <v>1</v>
      </c>
      <c r="AF17" s="86">
        <f t="shared" si="4"/>
        <v>1</v>
      </c>
      <c r="AG17" s="86">
        <f t="shared" si="5"/>
        <v>1</v>
      </c>
      <c r="BK17" s="86"/>
      <c r="BL17" s="181"/>
      <c r="BM17" s="183"/>
    </row>
    <row r="18" spans="1:65" ht="15.6" x14ac:dyDescent="0.3">
      <c r="A18" s="89">
        <v>41</v>
      </c>
      <c r="B18" s="89">
        <v>35</v>
      </c>
      <c r="C18" s="26" t="s">
        <v>24</v>
      </c>
      <c r="D18" s="89">
        <v>123</v>
      </c>
      <c r="E18" s="89">
        <v>86</v>
      </c>
      <c r="F18" s="89">
        <v>71</v>
      </c>
      <c r="G18" s="89">
        <v>1.615</v>
      </c>
      <c r="H18" s="89">
        <v>50.7</v>
      </c>
      <c r="I18" s="4">
        <f t="shared" si="6"/>
        <v>19.438507030643446</v>
      </c>
      <c r="J18" s="89" t="s">
        <v>25</v>
      </c>
      <c r="K18" s="89" t="s">
        <v>39</v>
      </c>
      <c r="L18" s="89" t="s">
        <v>27</v>
      </c>
      <c r="M18" s="89" t="s">
        <v>28</v>
      </c>
      <c r="N18" s="89" t="s">
        <v>25</v>
      </c>
      <c r="O18" s="89" t="s">
        <v>34</v>
      </c>
      <c r="P18" s="89" t="s">
        <v>30</v>
      </c>
      <c r="S18" s="86">
        <v>14</v>
      </c>
      <c r="T18" s="89">
        <v>1</v>
      </c>
      <c r="U18" s="89">
        <v>54</v>
      </c>
      <c r="V18" s="86">
        <f t="shared" si="0"/>
        <v>0</v>
      </c>
      <c r="W18" s="86">
        <f t="shared" si="1"/>
        <v>1</v>
      </c>
      <c r="Y18" s="86">
        <v>14</v>
      </c>
      <c r="Z18" s="85">
        <v>0</v>
      </c>
      <c r="AA18" s="86">
        <f t="shared" si="2"/>
        <v>0</v>
      </c>
      <c r="AB18" s="86">
        <f t="shared" si="3"/>
        <v>0</v>
      </c>
      <c r="AD18" s="86">
        <v>14</v>
      </c>
      <c r="AE18" s="89">
        <v>1</v>
      </c>
      <c r="AF18" s="86">
        <f t="shared" si="4"/>
        <v>1</v>
      </c>
      <c r="AG18" s="86">
        <f t="shared" si="5"/>
        <v>1</v>
      </c>
      <c r="BK18" s="86"/>
      <c r="BL18" s="181"/>
      <c r="BM18" s="183"/>
    </row>
    <row r="19" spans="1:65" ht="15.6" x14ac:dyDescent="0.3">
      <c r="A19" s="89">
        <v>42</v>
      </c>
      <c r="B19" s="89">
        <v>36</v>
      </c>
      <c r="C19" s="25" t="s">
        <v>37</v>
      </c>
      <c r="D19" s="89">
        <v>127</v>
      </c>
      <c r="E19" s="89">
        <v>98</v>
      </c>
      <c r="F19" s="89">
        <v>101</v>
      </c>
      <c r="G19" s="89">
        <v>1.6</v>
      </c>
      <c r="H19" s="89">
        <v>75.400000000000006</v>
      </c>
      <c r="I19" s="4">
        <f t="shared" si="6"/>
        <v>29.453124999999996</v>
      </c>
      <c r="J19" s="89" t="s">
        <v>31</v>
      </c>
      <c r="K19" s="89" t="s">
        <v>39</v>
      </c>
      <c r="L19" s="89" t="s">
        <v>27</v>
      </c>
      <c r="M19" s="89" t="s">
        <v>28</v>
      </c>
      <c r="N19" s="89" t="s">
        <v>31</v>
      </c>
      <c r="O19" s="89" t="s">
        <v>34</v>
      </c>
      <c r="P19" s="89" t="s">
        <v>30</v>
      </c>
      <c r="S19" s="86">
        <v>15</v>
      </c>
      <c r="T19" s="89">
        <v>1</v>
      </c>
      <c r="U19" s="19">
        <v>22</v>
      </c>
      <c r="V19" s="22">
        <f t="shared" si="0"/>
        <v>1</v>
      </c>
      <c r="W19" s="86">
        <f t="shared" si="1"/>
        <v>0</v>
      </c>
      <c r="Y19" s="22">
        <v>15</v>
      </c>
      <c r="Z19" s="89">
        <v>0</v>
      </c>
      <c r="AA19" s="22">
        <f t="shared" si="2"/>
        <v>0</v>
      </c>
      <c r="AB19" s="22">
        <f t="shared" si="3"/>
        <v>0</v>
      </c>
      <c r="AD19" s="22">
        <v>15</v>
      </c>
      <c r="AE19" s="19">
        <v>1</v>
      </c>
      <c r="AF19" s="22">
        <f t="shared" si="4"/>
        <v>1</v>
      </c>
      <c r="AG19" s="22">
        <f t="shared" si="5"/>
        <v>1</v>
      </c>
      <c r="BK19" s="86"/>
      <c r="BL19" s="181"/>
      <c r="BM19" s="183"/>
    </row>
    <row r="20" spans="1:65" x14ac:dyDescent="0.3">
      <c r="A20" s="89">
        <v>16</v>
      </c>
      <c r="B20" s="89">
        <v>66</v>
      </c>
      <c r="C20" s="89" t="s">
        <v>37</v>
      </c>
      <c r="D20" s="89">
        <v>187</v>
      </c>
      <c r="E20" s="89">
        <v>108</v>
      </c>
      <c r="F20" s="89">
        <v>88</v>
      </c>
      <c r="G20" s="89">
        <v>1.47</v>
      </c>
      <c r="H20" s="89">
        <v>43.6</v>
      </c>
      <c r="I20" s="4">
        <f t="shared" si="6"/>
        <v>20.176778194270909</v>
      </c>
      <c r="J20" s="85" t="s">
        <v>31</v>
      </c>
      <c r="K20" s="89" t="s">
        <v>26</v>
      </c>
      <c r="L20" s="89" t="s">
        <v>27</v>
      </c>
      <c r="M20" s="89" t="s">
        <v>28</v>
      </c>
      <c r="N20" s="89" t="s">
        <v>25</v>
      </c>
      <c r="O20" s="89" t="s">
        <v>38</v>
      </c>
      <c r="P20" s="89" t="s">
        <v>35</v>
      </c>
      <c r="T20" s="80"/>
      <c r="U20" s="89" t="s">
        <v>64</v>
      </c>
      <c r="V20" s="86">
        <f>SUM(V5:V19)</f>
        <v>5.4814814814814818</v>
      </c>
      <c r="W20" s="86">
        <f>SUM(W5:W19)</f>
        <v>9.518518518518519</v>
      </c>
      <c r="Y20" s="16"/>
      <c r="Z20" s="16"/>
      <c r="AA20" s="16">
        <f>SUM(AA5:AA19)</f>
        <v>5</v>
      </c>
      <c r="AB20" s="16">
        <f>SUM(AB5:AB19)</f>
        <v>5</v>
      </c>
      <c r="AD20" s="16"/>
      <c r="AE20" s="23"/>
      <c r="AF20" s="16"/>
      <c r="AG20" s="16"/>
      <c r="BK20" s="86"/>
      <c r="BL20" s="181"/>
      <c r="BM20" s="183"/>
    </row>
    <row r="21" spans="1:65" ht="14.4" customHeight="1" x14ac:dyDescent="0.3">
      <c r="A21" s="89">
        <v>22</v>
      </c>
      <c r="B21" s="89">
        <v>54</v>
      </c>
      <c r="C21" s="24" t="s">
        <v>24</v>
      </c>
      <c r="D21" s="89">
        <v>105</v>
      </c>
      <c r="E21" s="89">
        <v>67</v>
      </c>
      <c r="F21" s="89">
        <v>79</v>
      </c>
      <c r="G21" s="89">
        <v>1.58</v>
      </c>
      <c r="H21" s="89">
        <v>58.6</v>
      </c>
      <c r="I21" s="4">
        <f t="shared" si="6"/>
        <v>23.473802275276395</v>
      </c>
      <c r="J21" s="85" t="s">
        <v>31</v>
      </c>
      <c r="K21" s="89" t="s">
        <v>26</v>
      </c>
      <c r="L21" s="89" t="s">
        <v>27</v>
      </c>
      <c r="M21" s="89" t="s">
        <v>28</v>
      </c>
      <c r="N21" s="89" t="s">
        <v>25</v>
      </c>
      <c r="O21" s="89" t="s">
        <v>29</v>
      </c>
      <c r="P21" s="89" t="s">
        <v>36</v>
      </c>
      <c r="T21" s="80"/>
      <c r="U21" s="20"/>
      <c r="V21" s="80"/>
      <c r="W21" s="80"/>
      <c r="Y21" s="80"/>
      <c r="Z21" s="80"/>
      <c r="AA21" s="80"/>
      <c r="AB21" s="80"/>
      <c r="AD21" s="80"/>
      <c r="AE21" s="20"/>
      <c r="AF21" s="80"/>
      <c r="AG21" s="80"/>
      <c r="BK21" s="86"/>
      <c r="BL21" s="181"/>
      <c r="BM21" s="183"/>
    </row>
    <row r="22" spans="1:65" ht="15.6" x14ac:dyDescent="0.3">
      <c r="A22" s="89">
        <v>57</v>
      </c>
      <c r="B22" s="89">
        <v>22</v>
      </c>
      <c r="C22" s="25" t="s">
        <v>37</v>
      </c>
      <c r="D22" s="89">
        <v>133</v>
      </c>
      <c r="E22" s="89">
        <v>89</v>
      </c>
      <c r="F22" s="89">
        <v>70</v>
      </c>
      <c r="G22" s="89">
        <v>1.49</v>
      </c>
      <c r="H22" s="89">
        <v>41.6</v>
      </c>
      <c r="I22" s="4">
        <f t="shared" si="6"/>
        <v>18.737894689428405</v>
      </c>
      <c r="J22" s="89" t="s">
        <v>31</v>
      </c>
      <c r="K22" s="89" t="s">
        <v>26</v>
      </c>
      <c r="L22" s="89" t="s">
        <v>27</v>
      </c>
      <c r="M22" s="89" t="s">
        <v>28</v>
      </c>
      <c r="N22" s="89" t="s">
        <v>25</v>
      </c>
      <c r="O22" s="89" t="s">
        <v>34</v>
      </c>
      <c r="P22" s="89" t="s">
        <v>36</v>
      </c>
      <c r="T22" s="80"/>
      <c r="U22" s="20"/>
      <c r="V22" s="80"/>
      <c r="W22" s="80"/>
      <c r="Y22" s="80"/>
      <c r="Z22" s="80"/>
      <c r="AA22" s="80"/>
      <c r="AB22" s="80"/>
      <c r="AD22" s="80"/>
      <c r="AE22" s="20"/>
      <c r="AF22" s="80"/>
      <c r="AG22" s="80"/>
      <c r="BK22" s="86"/>
      <c r="BL22" s="181"/>
      <c r="BM22" s="183"/>
    </row>
    <row r="23" spans="1:65" x14ac:dyDescent="0.3">
      <c r="T23" s="80"/>
      <c r="U23" s="20"/>
      <c r="V23" s="80"/>
      <c r="W23" s="80"/>
      <c r="Y23" s="80"/>
      <c r="Z23" s="80"/>
      <c r="AA23" s="80"/>
      <c r="AB23" s="80"/>
      <c r="AD23" s="80"/>
      <c r="AE23" s="20"/>
      <c r="AF23" s="80"/>
      <c r="AG23" s="80"/>
      <c r="BK23" s="86"/>
      <c r="BL23" s="181"/>
      <c r="BM23" s="183"/>
    </row>
    <row r="24" spans="1:65" x14ac:dyDescent="0.3">
      <c r="T24" s="80"/>
      <c r="U24" s="20"/>
      <c r="V24" s="80"/>
      <c r="W24" s="80"/>
      <c r="Y24" s="80"/>
      <c r="Z24" s="80"/>
      <c r="AA24" s="80"/>
      <c r="AB24" s="80"/>
      <c r="AD24" s="80"/>
      <c r="AE24" s="20"/>
      <c r="AF24" s="80"/>
      <c r="AG24" s="80"/>
      <c r="BK24" s="86"/>
      <c r="BL24" s="181"/>
      <c r="BM24" s="183"/>
    </row>
    <row r="25" spans="1:65" x14ac:dyDescent="0.3">
      <c r="BK25" s="86"/>
      <c r="BL25" s="181"/>
      <c r="BM25" s="183"/>
    </row>
    <row r="26" spans="1:65" x14ac:dyDescent="0.3">
      <c r="B26" s="84" t="s">
        <v>68</v>
      </c>
      <c r="E26" s="181" t="s">
        <v>63</v>
      </c>
      <c r="F26" s="182"/>
      <c r="G26" s="183"/>
      <c r="H26" s="181">
        <f>-((5/15)*LOG((5/15),2))-((5/15)*LOG((5/15),2))-((5/15)*LOG((5/15),2))</f>
        <v>1.5849625007211561</v>
      </c>
      <c r="I26" s="182"/>
      <c r="J26" s="183"/>
      <c r="O26" s="84" t="s">
        <v>44</v>
      </c>
      <c r="P26" s="84" t="s">
        <v>60</v>
      </c>
      <c r="Q26" s="84" t="s">
        <v>61</v>
      </c>
      <c r="BK26" s="86"/>
      <c r="BL26" s="181"/>
      <c r="BM26" s="183"/>
    </row>
    <row r="27" spans="1:65" x14ac:dyDescent="0.3">
      <c r="B27" s="84" t="s">
        <v>55</v>
      </c>
      <c r="C27" s="84">
        <f>-((V8+V9+V19)/(V20)*LOG((V8+V9+V19)/(V20),2))-((V10+V15+V16)/(V20)*LOG((V10+V15+V16)/(V20),2))-((V11+V12+V13)/(V20)*LOG((V11+V12+V13)/(V20),2))</f>
        <v>1.5608828895986204</v>
      </c>
      <c r="E27" s="181" t="s">
        <v>65</v>
      </c>
      <c r="F27" s="182"/>
      <c r="G27" s="183"/>
      <c r="H27" s="181">
        <f>(H26)-((V20/15)*C27)-((W20/15)*C28)</f>
        <v>1.3541787695916074E-2</v>
      </c>
      <c r="I27" s="182"/>
      <c r="J27" s="183"/>
      <c r="N27" s="84" t="s">
        <v>59</v>
      </c>
      <c r="O27" s="84">
        <v>195</v>
      </c>
      <c r="P27" s="84">
        <v>205</v>
      </c>
      <c r="Q27" s="84">
        <v>240</v>
      </c>
      <c r="V27" s="84" t="s">
        <v>57</v>
      </c>
      <c r="W27" s="84" t="s">
        <v>58</v>
      </c>
      <c r="BK27" s="86"/>
      <c r="BL27" s="181"/>
      <c r="BM27" s="183"/>
    </row>
    <row r="28" spans="1:65" x14ac:dyDescent="0.3">
      <c r="B28" s="84" t="s">
        <v>43</v>
      </c>
      <c r="C28" s="84">
        <f>-((W7+W8+W9+W18)/(W20)*LOG((W7+W8+W9+W18)/(W20),2))-((W10+W14+W15+W16+W5)/(W20)*LOG((W10+W14+W15+W16+W5)/(W20),2))-((W11+W12+W13+W17+W6)/(W20)*LOG((W11+W12+W13+W17+W6)/(W20),2))</f>
        <v>1.5774891872164449</v>
      </c>
      <c r="E28" s="181" t="s">
        <v>67</v>
      </c>
      <c r="F28" s="182"/>
      <c r="G28" s="183"/>
      <c r="H28" s="181">
        <f>(H26)-((V71/15)*C31)-((W71/15)*C32)</f>
        <v>0.97484745873377787</v>
      </c>
      <c r="I28" s="182"/>
      <c r="J28" s="183"/>
      <c r="K28" s="84" t="s">
        <v>94</v>
      </c>
      <c r="T28" s="84" t="s">
        <v>56</v>
      </c>
      <c r="U28" s="30" t="s">
        <v>37</v>
      </c>
      <c r="V28" s="84">
        <v>69</v>
      </c>
      <c r="W28" s="84">
        <v>89</v>
      </c>
      <c r="Z28" s="84" t="s">
        <v>26</v>
      </c>
      <c r="AA28" s="84">
        <v>1</v>
      </c>
      <c r="AB28" s="84">
        <v>0</v>
      </c>
      <c r="AE28" s="84" t="s">
        <v>25</v>
      </c>
      <c r="AF28" s="84">
        <v>1</v>
      </c>
      <c r="AG28" s="84">
        <v>0</v>
      </c>
      <c r="BK28" s="86"/>
      <c r="BL28" s="181"/>
      <c r="BM28" s="183"/>
    </row>
    <row r="29" spans="1:65" ht="15" thickBot="1" x14ac:dyDescent="0.35">
      <c r="E29" s="181" t="s">
        <v>71</v>
      </c>
      <c r="F29" s="182"/>
      <c r="G29" s="183"/>
      <c r="H29" s="181">
        <f>(H26)-((P45/15)*C35)-((Q45/15)*C36)-((R45/15)*C37)</f>
        <v>0.4003000626897284</v>
      </c>
      <c r="I29" s="182"/>
      <c r="J29" s="183"/>
      <c r="M29" s="86" t="s">
        <v>79</v>
      </c>
      <c r="N29" s="86" t="s">
        <v>46</v>
      </c>
      <c r="O29" s="86" t="s">
        <v>59</v>
      </c>
      <c r="P29" s="86" t="s">
        <v>44</v>
      </c>
      <c r="Q29" s="86" t="s">
        <v>62</v>
      </c>
      <c r="R29" s="88" t="s">
        <v>61</v>
      </c>
      <c r="U29" s="29" t="s">
        <v>24</v>
      </c>
      <c r="V29" s="84">
        <v>69</v>
      </c>
      <c r="W29" s="84">
        <v>89</v>
      </c>
      <c r="Z29" s="84" t="s">
        <v>39</v>
      </c>
      <c r="AA29" s="84">
        <v>0</v>
      </c>
      <c r="AB29" s="84">
        <v>1</v>
      </c>
      <c r="AE29" s="84" t="s">
        <v>31</v>
      </c>
      <c r="AF29" s="84">
        <v>0</v>
      </c>
      <c r="AG29" s="84">
        <v>1</v>
      </c>
      <c r="BK29" s="86"/>
      <c r="BL29" s="181"/>
      <c r="BM29" s="183"/>
    </row>
    <row r="30" spans="1:65" x14ac:dyDescent="0.3">
      <c r="B30" s="84" t="s">
        <v>69</v>
      </c>
      <c r="E30" s="181" t="s">
        <v>73</v>
      </c>
      <c r="F30" s="182"/>
      <c r="G30" s="183"/>
      <c r="H30" s="181">
        <f>(H26)-((V46/15)*C40)-((W46/15)*C41)</f>
        <v>0.14510810410534791</v>
      </c>
      <c r="I30" s="182"/>
      <c r="J30" s="183"/>
      <c r="M30" s="89">
        <v>2</v>
      </c>
      <c r="N30" s="86">
        <v>1</v>
      </c>
      <c r="O30" s="86">
        <f t="shared" ref="O30:O44" si="7">(D8+E8)</f>
        <v>215</v>
      </c>
      <c r="P30" s="86">
        <f>IF(O30&lt;=$O$27,1,IF(AND($O$27&lt;O30,O30&lt;$P$27),($P$27-O30)/($P$27-$O$27),IF(O30&gt;=$O$27,0)))</f>
        <v>0</v>
      </c>
      <c r="Q30" s="86">
        <f>IF(AND($O$27&lt;O30,O30&lt;$P$27),(O30-$O$27)/($P$27-$O$27),IF(AND($P$27&lt;=O30,O30&lt;$Q$27),($Q$27-O30)/($Q$27-$P$27), IF(OR(O30&lt;=$O$27,O30&gt;=$Q$27),0,salah)))</f>
        <v>0.7142857142857143</v>
      </c>
      <c r="R30" s="71">
        <f>IF(O30&lt;=$P$27,0,IF(AND($P$27&lt;O30,O30&lt;$Q$27),(O30-$P$27)/($Q$27-$P$27),IF(O30&gt;=$Q$27,1)))</f>
        <v>0.2857142857142857</v>
      </c>
      <c r="T30" s="107" t="s">
        <v>79</v>
      </c>
      <c r="U30" s="86" t="s">
        <v>7</v>
      </c>
      <c r="V30" s="86" t="s">
        <v>57</v>
      </c>
      <c r="W30" s="86" t="s">
        <v>58</v>
      </c>
      <c r="Y30" s="86" t="s">
        <v>46</v>
      </c>
      <c r="Z30" s="86" t="s">
        <v>48</v>
      </c>
      <c r="AA30" s="86" t="s">
        <v>26</v>
      </c>
      <c r="AB30" s="86" t="s">
        <v>39</v>
      </c>
      <c r="AD30" s="86" t="s">
        <v>46</v>
      </c>
      <c r="AE30" s="86" t="s">
        <v>15</v>
      </c>
      <c r="AF30" s="86" t="s">
        <v>25</v>
      </c>
      <c r="AG30" s="86" t="s">
        <v>31</v>
      </c>
    </row>
    <row r="31" spans="1:65" x14ac:dyDescent="0.3">
      <c r="B31" s="84" t="s">
        <v>44</v>
      </c>
      <c r="C31" s="84">
        <f>-((V58+V59+V60+V69+V70)/(V71)*LOG((V58+V59+V60+V69+V70)/(V71),2))-((V56+V61+V65+V66+V67)/(V71)*LOG((V56+V61+V65+V66+V67)/(V71),2))-((V57+V62+V63+V64+V68)/(V71)*LOG((V57+V62+V63+V64+V68),2))</f>
        <v>0.72708542462659709</v>
      </c>
      <c r="M31" s="89">
        <v>3</v>
      </c>
      <c r="N31" s="86">
        <v>2</v>
      </c>
      <c r="O31" s="86">
        <f t="shared" si="7"/>
        <v>308</v>
      </c>
      <c r="P31" s="86">
        <f t="shared" ref="P31:P43" si="8">IF(O31&lt;=$O$27,1,IF(AND($O$27&lt;O31,O31&lt;$P$27),($P$27-O31)/($P$27-$O$27),IF(O31&gt;=$O$27,0)))</f>
        <v>0</v>
      </c>
      <c r="Q31" s="86">
        <f>IF(AND($O$27&lt;O31,O31&lt;$P$27),(O31-$O$27)/($P$27-$O$27),IF(AND($P$27&lt;=O31,O31&lt;$Q$27),($Q$27-O31)/($Q$27-$P$27), IF(OR(O31&lt;=$O$27,O31&gt;=$Q$27),0,salah)))</f>
        <v>0</v>
      </c>
      <c r="R31" s="71">
        <f t="shared" ref="R31:R44" si="9">IF(O31&lt;=$P$27,0,IF(AND($P$27&lt;O31,O31&lt;$Q$27),(O31-$P$27)/($Q$27-$P$27),IF(O31&gt;=$Q$27,1)))</f>
        <v>1</v>
      </c>
      <c r="T31" s="108">
        <v>2</v>
      </c>
      <c r="U31" s="24">
        <v>78</v>
      </c>
      <c r="V31" s="32">
        <f>IF(U31&lt;=$V$29,1,IF(AND($V$29&lt;U31,U31&lt;$W$29),($W$29-U31)/($W$29-$V$29),IF(U31&gt;=$W$29,0)))</f>
        <v>0.55000000000000004</v>
      </c>
      <c r="W31" s="32">
        <f>IF(U31&lt;=$V$29,0,IF(AND($V$29&lt;U31,U31&lt;$W$29),(U31-$V$29)/($W$29-$V$29),IF(U31&gt;=$W$29,1)))</f>
        <v>0.45</v>
      </c>
      <c r="Y31" s="86">
        <v>1</v>
      </c>
      <c r="Z31" s="89">
        <v>1</v>
      </c>
      <c r="AA31" s="86">
        <f>($AB$28-Z31)/($AB$28-$AA$28)</f>
        <v>1</v>
      </c>
      <c r="AB31" s="86">
        <f>(Z31-$AA$29)/($AB$29-$AA$29)</f>
        <v>1</v>
      </c>
      <c r="AD31" s="86">
        <v>1</v>
      </c>
      <c r="AE31" s="89">
        <v>1</v>
      </c>
      <c r="AF31" s="86">
        <f>($AG$28-AE31)/($AG$28-$AF$28)</f>
        <v>1</v>
      </c>
      <c r="AG31" s="86">
        <f>(AE31-$AF$29)/($AG$29-$AF$29)</f>
        <v>1</v>
      </c>
    </row>
    <row r="32" spans="1:65" x14ac:dyDescent="0.3">
      <c r="B32" s="84" t="s">
        <v>70</v>
      </c>
      <c r="C32" s="84">
        <f>-((W58+W59+W60+W69+W70)/(W71)*LOG((W58+W59+W60+W69+W70)/(W71),2))-((W56+W61+W65+W66+W67)/(W71)*LOG((W56+W61+W65+W66+W67)/(W71),2))-((W57+W62+W63+W64+W68)/(W71)*LOG((W57+W62+W63+W64+W68),2))</f>
        <v>0.47037868818432882</v>
      </c>
      <c r="M32" s="89">
        <v>1</v>
      </c>
      <c r="N32" s="86">
        <v>3</v>
      </c>
      <c r="O32" s="86">
        <f t="shared" si="7"/>
        <v>209</v>
      </c>
      <c r="P32" s="86">
        <f>IF(O32&lt;=$O$27,1,IF(AND($O$27&lt;O32,O32&lt;$P$27),($P$27-O32)/($P$27-$O$27),IF(O32&gt;=$O$27,0)))</f>
        <v>0</v>
      </c>
      <c r="Q32" s="86">
        <f>IF(AND($O$27&lt;O32,O32&lt;$P$27),(O32-$O$27)/($P$27-$O$27),IF(AND($P$27&lt;=O32,O32&lt;$Q$27),($Q$27-O32)/($Q$27-$P$27), IF(OR(O32&lt;=$O$27,O32&gt;=$Q$27),0,salah)))</f>
        <v>0.88571428571428568</v>
      </c>
      <c r="R32" s="71">
        <f t="shared" si="9"/>
        <v>0.11428571428571428</v>
      </c>
      <c r="T32" s="108">
        <v>3</v>
      </c>
      <c r="U32" s="24">
        <v>98</v>
      </c>
      <c r="V32" s="32">
        <f>IF(U32&lt;=$V$29,1,IF(AND($V$29&lt;U32,U32&lt;$W$29),($W$29-U32)/($W$29-$V$29),IF(U32&gt;=$W$29,0)))</f>
        <v>0</v>
      </c>
      <c r="W32" s="32">
        <f>IF(U32&lt;=$V$29,0,IF(AND($V$29&lt;U32,U32&lt;$W$29),(U32-$V$29)/($W$29-$V$29),IF(U32&gt;=$W$29,1)))</f>
        <v>1</v>
      </c>
      <c r="Y32" s="86">
        <v>2</v>
      </c>
      <c r="Z32" s="89">
        <v>1</v>
      </c>
      <c r="AA32" s="86">
        <f t="shared" ref="AA32:AA45" si="10">($AB$28-Z32)/($AB$28-$AA$28)</f>
        <v>1</v>
      </c>
      <c r="AB32" s="86">
        <f t="shared" ref="AB32:AB45" si="11">(Z32-$AA$29)/($AB$29-$AA$29)</f>
        <v>1</v>
      </c>
      <c r="AD32" s="86">
        <v>2</v>
      </c>
      <c r="AE32" s="89">
        <v>1</v>
      </c>
      <c r="AF32" s="86">
        <f t="shared" ref="AF32:AF45" si="12">($AG$28-AE32)/($AG$28-$AF$28)</f>
        <v>1</v>
      </c>
      <c r="AG32" s="86">
        <f t="shared" ref="AG32:AG45" si="13">(AE32-$AF$29)/($AG$29-$AF$29)</f>
        <v>1</v>
      </c>
    </row>
    <row r="33" spans="2:33" x14ac:dyDescent="0.3">
      <c r="M33" s="89">
        <v>1</v>
      </c>
      <c r="N33" s="86">
        <v>4</v>
      </c>
      <c r="O33" s="86">
        <f t="shared" si="7"/>
        <v>203</v>
      </c>
      <c r="P33" s="86">
        <f t="shared" si="8"/>
        <v>0.2</v>
      </c>
      <c r="Q33" s="86">
        <f>IF(AND($O$27&lt;O33,O33&lt;$P$27),(O33-$O$27)/($P$27-$O$27),IF(AND($P$27&lt;=O33,O33&lt;$Q$27),($Q$27-O33)/($Q$27-$P$27), IF(OR(O33&lt;=$O$27,O33&gt;=$Q$27),0,salah)))</f>
        <v>0.8</v>
      </c>
      <c r="R33" s="71">
        <f t="shared" si="9"/>
        <v>0</v>
      </c>
      <c r="T33" s="108">
        <v>1</v>
      </c>
      <c r="U33" s="24">
        <v>98</v>
      </c>
      <c r="V33" s="32">
        <f>IF(U33&lt;=$V$29,1,IF(AND($V$29&lt;U33,U33&lt;$W$29),($W$29-U33)/($W$29-$V$29),IF(U33&gt;=$W$29,0)))</f>
        <v>0</v>
      </c>
      <c r="W33" s="32">
        <f>IF(U33&lt;=$V$29,0,IF(AND($V$29&lt;U33,U33&lt;$W$29),(U33-$V$29)/($W$29-$V$29),IF(U33&gt;=$W$29,1)))</f>
        <v>1</v>
      </c>
      <c r="Y33" s="86">
        <v>3</v>
      </c>
      <c r="Z33" s="89">
        <v>1</v>
      </c>
      <c r="AA33" s="86">
        <f t="shared" si="10"/>
        <v>1</v>
      </c>
      <c r="AB33" s="86">
        <f t="shared" si="11"/>
        <v>1</v>
      </c>
      <c r="AD33" s="86">
        <v>3</v>
      </c>
      <c r="AE33" s="89">
        <v>1</v>
      </c>
      <c r="AF33" s="86">
        <f t="shared" si="12"/>
        <v>1</v>
      </c>
      <c r="AG33" s="86">
        <f t="shared" si="13"/>
        <v>1</v>
      </c>
    </row>
    <row r="34" spans="2:33" x14ac:dyDescent="0.3">
      <c r="B34" s="84" t="s">
        <v>72</v>
      </c>
      <c r="M34" s="89">
        <v>1</v>
      </c>
      <c r="N34" s="86">
        <v>5</v>
      </c>
      <c r="O34" s="86">
        <f t="shared" si="7"/>
        <v>198</v>
      </c>
      <c r="P34" s="86">
        <f t="shared" si="8"/>
        <v>0.7</v>
      </c>
      <c r="Q34" s="86">
        <f>IF(AND($O$27&lt;O34,O34&lt;$P$27),(O34-$O$27)/($P$27-$O$27),IF(AND($P$27&lt;=O34,O34&lt;$Q$27),($Q$27-O34)/($Q$27-$P$27), IF(OR(O34&lt;=$O$27,O34&gt;=$Q$27),0,salah)))</f>
        <v>0.3</v>
      </c>
      <c r="R34" s="71">
        <f t="shared" si="9"/>
        <v>0</v>
      </c>
      <c r="T34" s="108">
        <v>1</v>
      </c>
      <c r="U34" s="27">
        <v>99</v>
      </c>
      <c r="V34" s="31">
        <f>IF(U34&lt;=$V$28,1,IF(AND($V$28&lt;U34,U34&lt;$W$28),($W$28-U34)/($W$28-$V$28),IF(U34&gt;=$W$28,0)))</f>
        <v>0</v>
      </c>
      <c r="W34" s="31">
        <f>IF(U34&lt;=$V$28,0,IF(AND($V$28&lt;U34,U34&lt;$W$28),(U34-$V$28)/($W$28-$V$28),IF(U34&gt;=$W$28,1)))</f>
        <v>1</v>
      </c>
      <c r="Y34" s="86">
        <v>4</v>
      </c>
      <c r="Z34" s="89">
        <v>0</v>
      </c>
      <c r="AA34" s="86">
        <f t="shared" si="10"/>
        <v>0</v>
      </c>
      <c r="AB34" s="86">
        <f t="shared" si="11"/>
        <v>0</v>
      </c>
      <c r="AD34" s="86">
        <v>4</v>
      </c>
      <c r="AE34" s="89">
        <v>1</v>
      </c>
      <c r="AF34" s="86">
        <f t="shared" si="12"/>
        <v>1</v>
      </c>
      <c r="AG34" s="86">
        <f t="shared" si="13"/>
        <v>1</v>
      </c>
    </row>
    <row r="35" spans="2:33" x14ac:dyDescent="0.3">
      <c r="B35" s="84" t="s">
        <v>44</v>
      </c>
      <c r="C35" s="84">
        <f>-((P32+P33+P43+P44+P34)/(P45)*LOG((P32+P33+P43+P44+P34)/(P45),2))-(0)-(0)</f>
        <v>0</v>
      </c>
      <c r="M35" s="89">
        <v>2</v>
      </c>
      <c r="N35" s="86">
        <v>6</v>
      </c>
      <c r="O35" s="86">
        <f t="shared" si="7"/>
        <v>205</v>
      </c>
      <c r="P35" s="86">
        <f t="shared" si="8"/>
        <v>0</v>
      </c>
      <c r="Q35" s="86">
        <f>IF(AND($O$27&lt;O35,O35&lt;$P$27),(O35-$O$27)/($P$27-$O$27),IF(AND($P$27&lt;=O35,O35&lt;$Q$27),($Q$27-O35)/($Q$27-$P$27), IF(OR(O35&lt;=$O$27,O35&gt;=$Q$27),0,salah)))</f>
        <v>1</v>
      </c>
      <c r="R35" s="71">
        <f t="shared" si="9"/>
        <v>0</v>
      </c>
      <c r="T35" s="108">
        <v>1</v>
      </c>
      <c r="U35" s="27">
        <v>88</v>
      </c>
      <c r="V35" s="31">
        <f>IF(U35&lt;=$V$28,1,IF(AND($V$28&lt;U35,U35&lt;$W$28),($W$28-U35)/($W$28-$V$28),IF(U35&gt;=$W$28,0)))</f>
        <v>0.05</v>
      </c>
      <c r="W35" s="31">
        <f>IF(U35&lt;=$V$28,0,IF(AND($V$28&lt;U35,U35&lt;$W$28),(U35-$V$28)/($W$28-$V$28),IF(U35&gt;=$W$28,1)))</f>
        <v>0.95</v>
      </c>
      <c r="Y35" s="86">
        <v>5</v>
      </c>
      <c r="Z35" s="89">
        <v>0</v>
      </c>
      <c r="AA35" s="86">
        <f t="shared" si="10"/>
        <v>0</v>
      </c>
      <c r="AB35" s="86">
        <f t="shared" si="11"/>
        <v>0</v>
      </c>
      <c r="AD35" s="86">
        <v>5</v>
      </c>
      <c r="AE35" s="89">
        <v>1</v>
      </c>
      <c r="AF35" s="86">
        <f t="shared" si="12"/>
        <v>1</v>
      </c>
      <c r="AG35" s="86">
        <f t="shared" si="13"/>
        <v>1</v>
      </c>
    </row>
    <row r="36" spans="2:33" x14ac:dyDescent="0.3">
      <c r="B36" s="84" t="s">
        <v>62</v>
      </c>
      <c r="C36" s="84">
        <f>-((Q32+Q33+Q34+Q44+Q43)/(Q45)*LOG((Q32+Q33+Q34+Q44+Q43)/(Q45),2))-((Q30+Q35+Q39+Q40+Q41)/(Q45)*LOG((Q30+Q35+Q39+Q40+Q41)/(Q45),2))-((Q36+Q38+Q31+Q37+Q42)/(Q45)*LOG((Q36+Q38+Q31+Q37+Q42)/(Q45),2))</f>
        <v>1.4476253133007302</v>
      </c>
      <c r="M36" s="89">
        <v>3</v>
      </c>
      <c r="N36" s="86">
        <v>7</v>
      </c>
      <c r="O36" s="86">
        <f t="shared" si="7"/>
        <v>207</v>
      </c>
      <c r="P36" s="86">
        <f t="shared" si="8"/>
        <v>0</v>
      </c>
      <c r="Q36" s="86">
        <f>IF(AND($O$27&lt;O36,O36&lt;$P$27),(O36-$O$27)/($P$27-$O$27),IF(AND($P$27&lt;=O36,O36&lt;$Q$27),($Q$27-O36)/($Q$27-$P$27), IF(OR(O36&lt;=$O$27,O36&gt;=$Q$27),0,salah)))</f>
        <v>0.94285714285714284</v>
      </c>
      <c r="R36" s="71">
        <f t="shared" si="9"/>
        <v>5.7142857142857141E-2</v>
      </c>
      <c r="T36" s="108">
        <v>2</v>
      </c>
      <c r="U36" s="27">
        <v>89</v>
      </c>
      <c r="V36" s="31">
        <f>IF(U36&lt;=$V$28,1,IF(AND($V$28&lt;U36,U36&lt;$W$28),($W$28-U36)/($W$28-$V$28),IF(U36&gt;=$W$28,0)))</f>
        <v>0</v>
      </c>
      <c r="W36" s="31">
        <f>IF(U36&lt;=$V$28,0,IF(AND($V$28&lt;U36,U36&lt;$W$28),(U36-$V$28)/($W$28-$V$28),IF(U36&gt;=$W$28,1)))</f>
        <v>1</v>
      </c>
      <c r="Y36" s="86">
        <v>6</v>
      </c>
      <c r="Z36" s="89">
        <v>0</v>
      </c>
      <c r="AA36" s="86">
        <f t="shared" si="10"/>
        <v>0</v>
      </c>
      <c r="AB36" s="86">
        <f t="shared" si="11"/>
        <v>0</v>
      </c>
      <c r="AD36" s="86">
        <v>6</v>
      </c>
      <c r="AE36" s="89">
        <v>0</v>
      </c>
      <c r="AF36" s="86">
        <f t="shared" si="12"/>
        <v>0</v>
      </c>
      <c r="AG36" s="86">
        <f t="shared" si="13"/>
        <v>0</v>
      </c>
    </row>
    <row r="37" spans="2:33" x14ac:dyDescent="0.3">
      <c r="B37" s="84" t="s">
        <v>61</v>
      </c>
      <c r="C37" s="84">
        <f>-((R32+R33+R34+R44+R43)/(R45)*LOG((R32+R33+R34+R44+R43)/(R45),2))-((R30+R35+R39+R40+R41)/(R45)*LOG((R30+R35+R39+R40+R41)/(R45),2))-((R36+R38+R31+R37+R42)/(R45)*LOG((R36+R38+R31+R37+R42)/(R45),2))</f>
        <v>1.2675027866546733</v>
      </c>
      <c r="M37" s="89">
        <v>3</v>
      </c>
      <c r="N37" s="86">
        <v>8</v>
      </c>
      <c r="O37" s="86">
        <f t="shared" si="7"/>
        <v>290</v>
      </c>
      <c r="P37" s="86">
        <f t="shared" si="8"/>
        <v>0</v>
      </c>
      <c r="Q37" s="86">
        <f>IF(AND($O$27&lt;O37,O37&lt;$P$27),(O37-$O$27)/($P$27-$O$27),IF(AND($P$27&lt;=O37,O37&lt;$Q$27),($Q$27-O37)/($Q$27-$P$27), IF(OR(O37&lt;=$O$27,O37&gt;=$Q$27),0,salah)))</f>
        <v>0</v>
      </c>
      <c r="R37" s="71">
        <f t="shared" si="9"/>
        <v>1</v>
      </c>
      <c r="T37" s="108">
        <v>3</v>
      </c>
      <c r="U37" s="24">
        <v>89</v>
      </c>
      <c r="V37" s="32">
        <f>IF(U37&lt;=$V$29,1,IF(AND($V$29&lt;U37,U37&lt;$W$29),($W$29-U37)/($W$29-$V$29),IF(U37&gt;=$W$29,0)))</f>
        <v>0</v>
      </c>
      <c r="W37" s="32">
        <f>IF(U37&lt;=$V$29,0,IF(AND($V$29&lt;U37,U37&lt;$W$29),(U37-$V$29)/($W$29-$V$29),IF(U37&gt;=$W$29,1)))</f>
        <v>1</v>
      </c>
      <c r="Y37" s="86">
        <v>7</v>
      </c>
      <c r="Z37" s="89">
        <v>0</v>
      </c>
      <c r="AA37" s="86">
        <f t="shared" si="10"/>
        <v>0</v>
      </c>
      <c r="AB37" s="86">
        <f t="shared" si="11"/>
        <v>0</v>
      </c>
      <c r="AD37" s="86">
        <v>7</v>
      </c>
      <c r="AE37" s="89">
        <v>0</v>
      </c>
      <c r="AF37" s="86">
        <f t="shared" si="12"/>
        <v>0</v>
      </c>
      <c r="AG37" s="86">
        <f t="shared" si="13"/>
        <v>0</v>
      </c>
    </row>
    <row r="38" spans="2:33" x14ac:dyDescent="0.3">
      <c r="M38" s="89">
        <v>3</v>
      </c>
      <c r="N38" s="86">
        <v>9</v>
      </c>
      <c r="O38" s="86">
        <f t="shared" si="7"/>
        <v>250</v>
      </c>
      <c r="P38" s="86">
        <f t="shared" si="8"/>
        <v>0</v>
      </c>
      <c r="Q38" s="86">
        <f>IF(AND($O$27&lt;O38,O38&lt;$P$27),(O38-$O$27)/($P$27-$O$27),IF(AND($P$27&lt;=O38,O38&lt;$Q$27),($Q$27-O38)/($Q$27-$P$27), IF(OR(O38&lt;=$O$27,O38&gt;=$Q$27),0,salah)))</f>
        <v>0</v>
      </c>
      <c r="R38" s="71">
        <f t="shared" si="9"/>
        <v>1</v>
      </c>
      <c r="T38" s="108">
        <v>3</v>
      </c>
      <c r="U38" s="24">
        <v>91</v>
      </c>
      <c r="V38" s="32">
        <f>IF(U38&lt;=$V$29,1,IF(AND($V$29&lt;U38,U38&lt;$W$29),($W$29-U38)/($W$29-$V$29),IF(U38&gt;=$W$29,0)))</f>
        <v>0</v>
      </c>
      <c r="W38" s="32">
        <f>IF(U38&lt;=$V$29,0,IF(AND($V$29&lt;U38,U38&lt;$W$29),(U38-$V$29)/($W$29-$V$29),IF(U38&gt;=$W$29,1)))</f>
        <v>1</v>
      </c>
      <c r="Y38" s="86">
        <v>8</v>
      </c>
      <c r="Z38" s="89">
        <v>0</v>
      </c>
      <c r="AA38" s="86">
        <f t="shared" si="10"/>
        <v>0</v>
      </c>
      <c r="AB38" s="86">
        <f t="shared" si="11"/>
        <v>0</v>
      </c>
      <c r="AD38" s="86">
        <v>8</v>
      </c>
      <c r="AE38" s="89">
        <v>1</v>
      </c>
      <c r="AF38" s="86">
        <f t="shared" si="12"/>
        <v>1</v>
      </c>
      <c r="AG38" s="86">
        <f t="shared" si="13"/>
        <v>1</v>
      </c>
    </row>
    <row r="39" spans="2:33" x14ac:dyDescent="0.3">
      <c r="B39" s="84" t="s">
        <v>74</v>
      </c>
      <c r="M39" s="89">
        <v>2</v>
      </c>
      <c r="N39" s="86">
        <v>10</v>
      </c>
      <c r="O39" s="86">
        <f t="shared" si="7"/>
        <v>256</v>
      </c>
      <c r="P39" s="86">
        <f t="shared" si="8"/>
        <v>0</v>
      </c>
      <c r="Q39" s="86">
        <f>IF(AND($O$27&lt;O39,O39&lt;$P$27),(O39-$O$27)/($P$27-$O$27),IF(AND($P$27&lt;=O39,O39&lt;$Q$27),($Q$27-O39)/($Q$27-$P$27), IF(OR(O39&lt;=$O$27,O39&gt;=$Q$27),0,salah)))</f>
        <v>0</v>
      </c>
      <c r="R39" s="71">
        <f t="shared" si="9"/>
        <v>1</v>
      </c>
      <c r="T39" s="108">
        <v>3</v>
      </c>
      <c r="U39" s="27">
        <v>106</v>
      </c>
      <c r="V39" s="31">
        <f>IF(U39&lt;=$V$28,1,IF(AND($V$28&lt;U39,U39&lt;$W$28),($W$28-U39)/($W$28-$V$28),IF(U39&gt;=$W$28,0)))</f>
        <v>0</v>
      </c>
      <c r="W39" s="31">
        <f>IF(U39&lt;=$V$28,0,IF(AND($V$28&lt;U39,U39&lt;$W$28),(U39-$V$28)/($W$28-$V$28),IF(U39&gt;=$W$28,1)))</f>
        <v>1</v>
      </c>
      <c r="Y39" s="86">
        <v>9</v>
      </c>
      <c r="Z39" s="89">
        <v>1</v>
      </c>
      <c r="AA39" s="86">
        <f t="shared" si="10"/>
        <v>1</v>
      </c>
      <c r="AB39" s="86">
        <f t="shared" si="11"/>
        <v>1</v>
      </c>
      <c r="AD39" s="86">
        <v>9</v>
      </c>
      <c r="AE39" s="89">
        <v>0</v>
      </c>
      <c r="AF39" s="86">
        <f t="shared" si="12"/>
        <v>0</v>
      </c>
      <c r="AG39" s="86">
        <f t="shared" si="13"/>
        <v>0</v>
      </c>
    </row>
    <row r="40" spans="2:33" x14ac:dyDescent="0.3">
      <c r="B40" s="84" t="s">
        <v>57</v>
      </c>
      <c r="C40" s="84">
        <f>-((V33+V34+V35+V44+V45)/(V46)*LOG((V33+V34+V35+V44+V45)/(V46),2))-((V31+V36+V40+V41+V42)/(V46)*LOG((V31+V36+V40+V41+V42)/(V46),2))-((V32+V37+V38+V39+V43)/(V46))*LOG((V32+V37+V38+V39+V43)/(V46),2)</f>
        <v>1.0781437157898925</v>
      </c>
      <c r="M40" s="89">
        <v>2</v>
      </c>
      <c r="N40" s="86">
        <v>11</v>
      </c>
      <c r="O40" s="86">
        <f t="shared" si="7"/>
        <v>209</v>
      </c>
      <c r="P40" s="86">
        <f t="shared" si="8"/>
        <v>0</v>
      </c>
      <c r="Q40" s="86">
        <f>IF(AND($O$27&lt;O40,O40&lt;$P$27),(O40-$O$27)/($P$27-$O$27),IF(AND($P$27&lt;=O40,O40&lt;$Q$27),($Q$27-O40)/($Q$27-$P$27), IF(OR(O40&lt;=$O$27,O40&gt;=$Q$27),0,salah)))</f>
        <v>0.88571428571428568</v>
      </c>
      <c r="R40" s="71">
        <f t="shared" si="9"/>
        <v>0.11428571428571428</v>
      </c>
      <c r="T40" s="108">
        <v>2</v>
      </c>
      <c r="U40" s="24">
        <v>78</v>
      </c>
      <c r="V40" s="32">
        <f>IF(U40&lt;=$V$29,1,IF(AND($V$29&lt;U40,U40&lt;$W$29),($W$29-U40)/($W$29-$V$29),IF(U40&gt;=$W$29,0)))</f>
        <v>0.55000000000000004</v>
      </c>
      <c r="W40" s="32">
        <f>IF(U40&lt;=$V$29,0,IF(AND($V$29&lt;U40,U40&lt;$W$29),(U40-$V$29)/($W$29-$V$29),IF(U40&gt;=$W$29,1)))</f>
        <v>0.45</v>
      </c>
      <c r="Y40" s="86">
        <v>10</v>
      </c>
      <c r="Z40" s="89">
        <v>1</v>
      </c>
      <c r="AA40" s="86">
        <f t="shared" si="10"/>
        <v>1</v>
      </c>
      <c r="AB40" s="86">
        <f t="shared" si="11"/>
        <v>1</v>
      </c>
      <c r="AD40" s="86">
        <v>10</v>
      </c>
      <c r="AE40" s="89">
        <v>0</v>
      </c>
      <c r="AF40" s="86">
        <f t="shared" si="12"/>
        <v>0</v>
      </c>
      <c r="AG40" s="86">
        <f t="shared" si="13"/>
        <v>0</v>
      </c>
    </row>
    <row r="41" spans="2:33" x14ac:dyDescent="0.3">
      <c r="B41" s="84" t="s">
        <v>58</v>
      </c>
      <c r="C41" s="84">
        <f>-((W33+W34+W35+W44+W45)/(W46)*LOG((W33+W34+W35+W44+W45)/(W46),2))-((W31+W36+W40+W41+W42)/(W46)*LOG((W31+W36+W40+W41+W42)/(W46),2))-((W32+W37+W38+W39+W43)/(W46))*LOG((W32+W37+W38+W39+W43)/(W46),2)</f>
        <v>1.552000502898079</v>
      </c>
      <c r="M41" s="89">
        <v>2</v>
      </c>
      <c r="N41" s="86">
        <v>12</v>
      </c>
      <c r="O41" s="86">
        <f t="shared" si="7"/>
        <v>225</v>
      </c>
      <c r="P41" s="86">
        <f t="shared" si="8"/>
        <v>0</v>
      </c>
      <c r="Q41" s="86">
        <f>IF(AND($O$27&lt;O41,O41&lt;$P$27),(O41-$O$27)/($P$27-$O$27),IF(AND($P$27&lt;=O41,O41&lt;$Q$27),($Q$27-O41)/($Q$27-$P$27), IF(OR(O41&lt;=$O$27,O41&gt;=$Q$27),0,salah)))</f>
        <v>0.42857142857142855</v>
      </c>
      <c r="R41" s="71">
        <f t="shared" si="9"/>
        <v>0.5714285714285714</v>
      </c>
      <c r="T41" s="108">
        <v>2</v>
      </c>
      <c r="U41" s="24">
        <v>71</v>
      </c>
      <c r="V41" s="32">
        <f>IF(U41&lt;=$V$29,1,IF(AND($V$29&lt;U41,U41&lt;$W$29),($W$29-U41)/($W$29-$V$29),IF(U41&gt;=$W$29,0)))</f>
        <v>0.9</v>
      </c>
      <c r="W41" s="32">
        <f>IF(U41&lt;=$V$29,0,IF(AND($V$29&lt;U41,U41&lt;$W$29),(U41-$V$29)/($W$29-$V$29),IF(U41&gt;=$W$29,1)))</f>
        <v>0.1</v>
      </c>
      <c r="Y41" s="86">
        <v>11</v>
      </c>
      <c r="Z41" s="89">
        <v>0</v>
      </c>
      <c r="AA41" s="86">
        <f t="shared" si="10"/>
        <v>0</v>
      </c>
      <c r="AB41" s="86">
        <f t="shared" si="11"/>
        <v>0</v>
      </c>
      <c r="AD41" s="86">
        <v>11</v>
      </c>
      <c r="AE41" s="89">
        <v>1</v>
      </c>
      <c r="AF41" s="86">
        <f t="shared" si="12"/>
        <v>1</v>
      </c>
      <c r="AG41" s="86">
        <f t="shared" si="13"/>
        <v>1</v>
      </c>
    </row>
    <row r="42" spans="2:33" x14ac:dyDescent="0.3">
      <c r="M42" s="89">
        <v>3</v>
      </c>
      <c r="N42" s="86">
        <v>13</v>
      </c>
      <c r="O42" s="86">
        <f t="shared" si="7"/>
        <v>295</v>
      </c>
      <c r="P42" s="86">
        <f t="shared" si="8"/>
        <v>0</v>
      </c>
      <c r="Q42" s="86">
        <f>IF(AND($O$27&lt;O42,O42&lt;$P$27),(O42-$O$27)/($P$27-$O$27),IF(AND($P$27&lt;=O42,O42&lt;$Q$27),($Q$27-O42)/($Q$27-$P$27), IF(OR(O42&lt;=$O$27,O42&gt;=$Q$27),0,salah)))</f>
        <v>0</v>
      </c>
      <c r="R42" s="71">
        <f t="shared" si="9"/>
        <v>1</v>
      </c>
      <c r="T42" s="108">
        <v>2</v>
      </c>
      <c r="U42" s="27">
        <v>101</v>
      </c>
      <c r="V42" s="31">
        <f>IF(U42&lt;=$V$28,1,IF(AND($V$28&lt;U42,U42&lt;$W$28),($W$28-U42)/($W$28-$V$28),IF(U42&gt;=$W$28,0)))</f>
        <v>0</v>
      </c>
      <c r="W42" s="31">
        <f>IF(U42&lt;=$V$28,0,IF(AND($V$28&lt;U42,U42&lt;$W$28),(U42-$V$28)/($W$28-$V$28),IF(U42&gt;=$W$28,1)))</f>
        <v>1</v>
      </c>
      <c r="Y42" s="86">
        <v>12</v>
      </c>
      <c r="Z42" s="89">
        <v>0</v>
      </c>
      <c r="AA42" s="86">
        <f t="shared" si="10"/>
        <v>0</v>
      </c>
      <c r="AB42" s="86">
        <f t="shared" si="11"/>
        <v>0</v>
      </c>
      <c r="AD42" s="86">
        <v>12</v>
      </c>
      <c r="AE42" s="89">
        <v>0</v>
      </c>
      <c r="AF42" s="86">
        <f t="shared" si="12"/>
        <v>0</v>
      </c>
      <c r="AG42" s="86">
        <f t="shared" si="13"/>
        <v>0</v>
      </c>
    </row>
    <row r="43" spans="2:33" x14ac:dyDescent="0.3">
      <c r="M43" s="89">
        <v>1</v>
      </c>
      <c r="N43" s="86">
        <v>14</v>
      </c>
      <c r="O43" s="86">
        <f t="shared" si="7"/>
        <v>172</v>
      </c>
      <c r="P43" s="86">
        <f t="shared" si="8"/>
        <v>1</v>
      </c>
      <c r="Q43" s="86">
        <f>IF(AND($O$27&lt;O43,O43&lt;$P$27),(O43-$O$27)/($P$27-$O$27),IF(AND($P$27&lt;=O43,O43&lt;$Q$27),($Q$27-O43)/($Q$27-$P$27), IF(OR(O43&lt;=$O$27,O43&gt;=$Q$27),0,salah)))</f>
        <v>0</v>
      </c>
      <c r="R43" s="71">
        <f t="shared" si="9"/>
        <v>0</v>
      </c>
      <c r="T43" s="108">
        <v>3</v>
      </c>
      <c r="U43" s="27">
        <v>88</v>
      </c>
      <c r="V43" s="31">
        <f>IF(U43&lt;=$V$28,1,IF(AND($V$28&lt;U43,U43&lt;$W$28),($W$28-U43)/($W$28-$V$28),IF(U43&gt;=$W$28,0)))</f>
        <v>0.05</v>
      </c>
      <c r="W43" s="31">
        <f>IF(U43&lt;=$V$28,0,IF(AND($V$28&lt;U43,U43&lt;$W$28),(U43-$V$28)/($W$28-$V$28),IF(U43&gt;=$W$28,1)))</f>
        <v>0.95</v>
      </c>
      <c r="Y43" s="86">
        <v>13</v>
      </c>
      <c r="Z43" s="89">
        <v>1</v>
      </c>
      <c r="AA43" s="86">
        <f t="shared" si="10"/>
        <v>1</v>
      </c>
      <c r="AB43" s="86">
        <f t="shared" si="11"/>
        <v>1</v>
      </c>
      <c r="AD43" s="86">
        <v>13</v>
      </c>
      <c r="AE43" s="89">
        <v>1</v>
      </c>
      <c r="AF43" s="86">
        <f t="shared" si="12"/>
        <v>1</v>
      </c>
      <c r="AG43" s="86">
        <f t="shared" si="13"/>
        <v>1</v>
      </c>
    </row>
    <row r="44" spans="2:33" x14ac:dyDescent="0.3">
      <c r="M44" s="89">
        <v>1</v>
      </c>
      <c r="N44" s="86">
        <v>15</v>
      </c>
      <c r="O44" s="86">
        <f t="shared" si="7"/>
        <v>222</v>
      </c>
      <c r="P44" s="86">
        <f>IF(O44&lt;=$O$27,1,IF(AND($O$27&lt;O44,O44&lt;$P$27),($P$27-O44)/($P$27-$O$27),IF(O44&gt;=$O$27,0)))</f>
        <v>0</v>
      </c>
      <c r="Q44" s="86">
        <f>IF(AND($O$27&lt;O44,O44&lt;$P$27),(O44-$O$27)/($P$27-$O$27),IF(AND($P$27&lt;=O44,O44&lt;$Q$27),($Q$27-O44)/($Q$27-$P$27), IF(OR(O44&lt;=$O$27,O44&gt;=$Q$27),0,salah)))</f>
        <v>0.51428571428571423</v>
      </c>
      <c r="R44" s="71">
        <f t="shared" si="9"/>
        <v>0.48571428571428571</v>
      </c>
      <c r="T44" s="108">
        <v>1</v>
      </c>
      <c r="U44" s="24">
        <v>79</v>
      </c>
      <c r="V44" s="32">
        <f>IF(U44&lt;=$V$29,1,IF(AND($V$29&lt;U44,U44&lt;$W$29),($W$29-U44)/($W$29-$V$29),IF(U44&gt;=$W$29,0)))</f>
        <v>0.5</v>
      </c>
      <c r="W44" s="32">
        <f>IF(U44&lt;=$V$29,0,IF(AND($V$29&lt;U44,U44&lt;$W$29),(U44-$V$29)/($W$29-$V$29),IF(U44&gt;=$W$29,1)))</f>
        <v>0.5</v>
      </c>
      <c r="Y44" s="86">
        <v>14</v>
      </c>
      <c r="Z44" s="89">
        <v>1</v>
      </c>
      <c r="AA44" s="86">
        <f t="shared" si="10"/>
        <v>1</v>
      </c>
      <c r="AB44" s="86">
        <f t="shared" si="11"/>
        <v>1</v>
      </c>
      <c r="AD44" s="86">
        <v>14</v>
      </c>
      <c r="AE44" s="89">
        <v>1</v>
      </c>
      <c r="AF44" s="86">
        <f t="shared" si="12"/>
        <v>1</v>
      </c>
      <c r="AG44" s="86">
        <f t="shared" si="13"/>
        <v>1</v>
      </c>
    </row>
    <row r="45" spans="2:33" ht="15" thickBot="1" x14ac:dyDescent="0.35">
      <c r="O45" s="86" t="s">
        <v>64</v>
      </c>
      <c r="P45" s="88">
        <f>SUM(P30:P44)</f>
        <v>1.9</v>
      </c>
      <c r="Q45" s="88">
        <f>SUM(Q30:Q44)</f>
        <v>6.4714285714285715</v>
      </c>
      <c r="R45" s="106">
        <f>SUM(R30:R44)</f>
        <v>6.6285714285714281</v>
      </c>
      <c r="T45" s="109">
        <v>1</v>
      </c>
      <c r="U45" s="28">
        <v>70</v>
      </c>
      <c r="V45" s="33">
        <f>IF(U45&lt;=$V$28,1,IF(AND($V$28&lt;U45,U45&lt;$W$28),($W$28-U45)/($W$28-$V$28),IF(U45&gt;=$W$28,0)))</f>
        <v>0.95</v>
      </c>
      <c r="W45" s="33">
        <f>IF(U45&lt;=$V$28,0,IF(AND($V$28&lt;U45,U45&lt;$W$28),(U45-$V$28)/($W$28-$V$28),IF(U45&gt;=$W$28,1)))</f>
        <v>0.05</v>
      </c>
      <c r="Y45" s="22">
        <v>15</v>
      </c>
      <c r="Z45" s="19">
        <v>1</v>
      </c>
      <c r="AA45" s="22">
        <f t="shared" si="10"/>
        <v>1</v>
      </c>
      <c r="AB45" s="22">
        <f t="shared" si="11"/>
        <v>1</v>
      </c>
      <c r="AD45" s="22">
        <v>15</v>
      </c>
      <c r="AE45" s="19">
        <v>1</v>
      </c>
      <c r="AF45" s="22">
        <f t="shared" si="12"/>
        <v>1</v>
      </c>
      <c r="AG45" s="22">
        <f t="shared" si="13"/>
        <v>1</v>
      </c>
    </row>
    <row r="46" spans="2:33" x14ac:dyDescent="0.3">
      <c r="T46" s="16"/>
      <c r="U46" s="89" t="s">
        <v>64</v>
      </c>
      <c r="V46" s="86">
        <f>SUM(V31:V45)</f>
        <v>3.55</v>
      </c>
      <c r="W46" s="86">
        <f>SUM(W31:W45)</f>
        <v>11.45</v>
      </c>
      <c r="Y46" s="16"/>
      <c r="Z46" s="23"/>
      <c r="AA46" s="16"/>
      <c r="AB46" s="16"/>
      <c r="AD46" s="16"/>
      <c r="AE46" s="23"/>
      <c r="AF46" s="16"/>
      <c r="AG46" s="16"/>
    </row>
    <row r="47" spans="2:33" x14ac:dyDescent="0.3">
      <c r="T47" s="80"/>
      <c r="U47" s="20"/>
      <c r="V47" s="80"/>
      <c r="W47" s="80"/>
      <c r="Y47" s="80"/>
      <c r="Z47" s="20"/>
      <c r="AA47" s="80"/>
      <c r="AB47" s="80"/>
      <c r="AD47" s="80"/>
      <c r="AE47" s="20"/>
      <c r="AF47" s="80"/>
      <c r="AG47" s="80"/>
    </row>
    <row r="48" spans="2:33" x14ac:dyDescent="0.3">
      <c r="T48" s="80"/>
      <c r="U48" s="20"/>
      <c r="V48" s="80"/>
      <c r="W48" s="80"/>
      <c r="Y48" s="80"/>
      <c r="Z48" s="20"/>
      <c r="AA48" s="80"/>
      <c r="AB48" s="80"/>
      <c r="AD48" s="80"/>
      <c r="AE48" s="20"/>
      <c r="AF48" s="80"/>
      <c r="AG48" s="80"/>
    </row>
    <row r="49" spans="1:35" x14ac:dyDescent="0.3">
      <c r="T49" s="80"/>
      <c r="U49" s="20"/>
      <c r="V49" s="80"/>
      <c r="W49" s="80"/>
      <c r="Y49" s="80"/>
      <c r="Z49" s="20"/>
      <c r="AA49" s="80"/>
      <c r="AB49" s="80"/>
      <c r="AD49" s="80"/>
      <c r="AE49" s="20"/>
      <c r="AF49" s="80"/>
      <c r="AG49" s="80"/>
    </row>
    <row r="50" spans="1:35" x14ac:dyDescent="0.3">
      <c r="T50" s="80"/>
      <c r="U50" s="20"/>
      <c r="V50" s="80"/>
      <c r="W50" s="80"/>
      <c r="Y50" s="80"/>
      <c r="Z50" s="20"/>
      <c r="AA50" s="80"/>
      <c r="AB50" s="80"/>
      <c r="AD50" s="80"/>
      <c r="AE50" s="20"/>
      <c r="AF50" s="80"/>
      <c r="AG50" s="80"/>
    </row>
    <row r="51" spans="1:35" x14ac:dyDescent="0.3">
      <c r="B51" s="84" t="s">
        <v>44</v>
      </c>
      <c r="J51" s="84" t="s">
        <v>45</v>
      </c>
    </row>
    <row r="52" spans="1:35" x14ac:dyDescent="0.3">
      <c r="M52" s="84" t="s">
        <v>131</v>
      </c>
    </row>
    <row r="53" spans="1:35" x14ac:dyDescent="0.3">
      <c r="T53" s="80"/>
      <c r="U53" s="80" t="s">
        <v>10</v>
      </c>
      <c r="V53" s="80" t="s">
        <v>44</v>
      </c>
      <c r="W53" s="80" t="s">
        <v>47</v>
      </c>
      <c r="Z53" s="20" t="s">
        <v>27</v>
      </c>
      <c r="AA53" s="84">
        <v>1</v>
      </c>
      <c r="AB53" s="84">
        <v>0</v>
      </c>
      <c r="AF53" s="89" t="s">
        <v>34</v>
      </c>
      <c r="AG53" s="89" t="s">
        <v>29</v>
      </c>
      <c r="AH53" s="89" t="s">
        <v>38</v>
      </c>
    </row>
    <row r="54" spans="1:35" x14ac:dyDescent="0.3">
      <c r="A54" s="48" t="s">
        <v>77</v>
      </c>
      <c r="B54" s="87" t="s">
        <v>126</v>
      </c>
      <c r="C54" s="87" t="s">
        <v>79</v>
      </c>
      <c r="E54" s="68"/>
      <c r="F54" s="68"/>
      <c r="G54" s="68"/>
      <c r="I54" s="87" t="s">
        <v>77</v>
      </c>
      <c r="J54" s="87" t="s">
        <v>125</v>
      </c>
      <c r="K54" s="87" t="s">
        <v>79</v>
      </c>
      <c r="M54" s="46" t="s">
        <v>98</v>
      </c>
      <c r="N54" s="47"/>
      <c r="T54" s="80"/>
      <c r="U54" s="80"/>
      <c r="V54" s="80">
        <v>22</v>
      </c>
      <c r="W54" s="80">
        <v>30</v>
      </c>
      <c r="Z54" s="20" t="s">
        <v>32</v>
      </c>
      <c r="AA54" s="84">
        <v>0</v>
      </c>
      <c r="AB54" s="84">
        <v>1</v>
      </c>
      <c r="AE54" s="84" t="s">
        <v>75</v>
      </c>
    </row>
    <row r="55" spans="1:35" x14ac:dyDescent="0.3">
      <c r="A55" s="87">
        <v>1</v>
      </c>
      <c r="B55" s="87">
        <v>0.80013361436260277</v>
      </c>
      <c r="C55" s="89">
        <v>2</v>
      </c>
      <c r="E55" s="80"/>
      <c r="F55" s="80"/>
      <c r="G55" s="20"/>
      <c r="I55" s="87">
        <v>1</v>
      </c>
      <c r="J55" s="87">
        <v>0.19986638563739723</v>
      </c>
      <c r="K55" s="89">
        <v>2</v>
      </c>
      <c r="M55" s="84" t="s">
        <v>81</v>
      </c>
      <c r="O55" s="84" t="s">
        <v>85</v>
      </c>
      <c r="S55" s="86" t="s">
        <v>79</v>
      </c>
      <c r="T55" s="86" t="s">
        <v>46</v>
      </c>
      <c r="U55" s="86" t="s">
        <v>10</v>
      </c>
      <c r="V55" s="86" t="s">
        <v>44</v>
      </c>
      <c r="W55" s="86" t="s">
        <v>47</v>
      </c>
      <c r="Y55" s="86" t="s">
        <v>46</v>
      </c>
      <c r="Z55" s="86" t="s">
        <v>13</v>
      </c>
      <c r="AA55" s="89" t="s">
        <v>27</v>
      </c>
      <c r="AB55" s="89" t="s">
        <v>32</v>
      </c>
      <c r="AD55" s="86" t="s">
        <v>46</v>
      </c>
      <c r="AE55" s="86" t="s">
        <v>66</v>
      </c>
      <c r="AF55" s="89" t="s">
        <v>75</v>
      </c>
      <c r="AG55" s="89" t="s">
        <v>34</v>
      </c>
      <c r="AH55" s="89" t="s">
        <v>29</v>
      </c>
      <c r="AI55" s="89" t="s">
        <v>38</v>
      </c>
    </row>
    <row r="56" spans="1:35" x14ac:dyDescent="0.3">
      <c r="A56" s="87">
        <v>2</v>
      </c>
      <c r="B56" s="87">
        <v>0.35318416199330027</v>
      </c>
      <c r="C56" s="89">
        <v>3</v>
      </c>
      <c r="E56" s="80"/>
      <c r="F56" s="80"/>
      <c r="G56" s="20"/>
      <c r="I56" s="87">
        <v>2</v>
      </c>
      <c r="J56" s="87">
        <v>0.64681583800669973</v>
      </c>
      <c r="K56" s="89">
        <v>3</v>
      </c>
      <c r="M56" s="90" t="s">
        <v>82</v>
      </c>
      <c r="N56" s="90">
        <f>SUM(V58,V59,V60,V69,V70)</f>
        <v>3.0109964863481351</v>
      </c>
      <c r="O56" s="90">
        <f>((N56)/(N56+N57+N58))*(100)</f>
        <v>36.876258297058797</v>
      </c>
      <c r="P56" s="90"/>
      <c r="S56" s="89">
        <v>2</v>
      </c>
      <c r="T56" s="86">
        <v>1</v>
      </c>
      <c r="U56" s="4">
        <f>H8/(G8*G8)</f>
        <v>23.598931085099178</v>
      </c>
      <c r="V56" s="86">
        <f>IF(U56&lt;=$V$54,1,IF(AND($V$54&lt;U56,U56&lt;$W$54),($W$54-U56)/($W$54-$V$54),IF(U56&gt;=$W$54,0)))</f>
        <v>0.80013361436260277</v>
      </c>
      <c r="W56" s="86">
        <f>IF(U56&lt;=$V$54,0,IF(AND($V$54&lt;U56,U56&lt;$W$54),(U56-$V$54)/($W$54-$V$54),IF(U56&gt;=$W$54,1)))</f>
        <v>0.19986638563739723</v>
      </c>
      <c r="Y56" s="86">
        <v>1</v>
      </c>
      <c r="Z56" s="89">
        <v>1</v>
      </c>
      <c r="AA56" s="86">
        <f>($AB$53-Z56)/($AB$53-$AA$53)</f>
        <v>1</v>
      </c>
      <c r="AB56" s="86">
        <f>(Z56-$AA$54)/($AB$54-$AA$54)</f>
        <v>1</v>
      </c>
      <c r="AD56" s="86">
        <v>1</v>
      </c>
      <c r="AE56" s="89" t="s">
        <v>30</v>
      </c>
      <c r="AF56" s="89" t="s">
        <v>29</v>
      </c>
      <c r="AG56" s="86"/>
      <c r="AH56" s="86"/>
      <c r="AI56" s="86"/>
    </row>
    <row r="57" spans="1:35" x14ac:dyDescent="0.3">
      <c r="A57" s="87">
        <v>3</v>
      </c>
      <c r="B57" s="87">
        <v>0.39488399631595072</v>
      </c>
      <c r="C57" s="89">
        <v>1</v>
      </c>
      <c r="E57" s="80"/>
      <c r="F57" s="80"/>
      <c r="G57" s="20"/>
      <c r="I57" s="87">
        <v>3</v>
      </c>
      <c r="J57" s="87">
        <v>0.60511600368404928</v>
      </c>
      <c r="K57" s="89">
        <v>1</v>
      </c>
      <c r="M57" s="84" t="s">
        <v>83</v>
      </c>
      <c r="N57" s="84">
        <f>SUM(V56,V61,V65,V66,V67)</f>
        <v>2.8684929893626032</v>
      </c>
      <c r="O57" s="84">
        <f>((N57)/(N56+N57+N58))*(100)</f>
        <v>35.130990314549088</v>
      </c>
      <c r="S57" s="89">
        <v>3</v>
      </c>
      <c r="T57" s="86">
        <v>2</v>
      </c>
      <c r="U57" s="4">
        <f t="shared" ref="U57:U70" si="14">H9/(G9*G9)</f>
        <v>27.174526704053598</v>
      </c>
      <c r="V57" s="86">
        <f t="shared" ref="V57:V70" si="15">IF(U57&lt;=$V$54,1,IF(AND($V$54&lt;U57,U57&lt;$W$54),($W$54-U57)/($W$54-$V$54),IF(U57&gt;=$W$54,0)))</f>
        <v>0.35318416199330027</v>
      </c>
      <c r="W57" s="86">
        <f t="shared" ref="W57:W70" si="16">IF(U57&lt;=$V$54,0,IF(AND($V$54&lt;U57,U57&lt;$W$54),(U57-$V$54)/($W$54-$V$54),IF(U57&gt;=$W$54,1)))</f>
        <v>0.64681583800669973</v>
      </c>
      <c r="Y57" s="86">
        <v>2</v>
      </c>
      <c r="Z57" s="89">
        <v>0</v>
      </c>
      <c r="AA57" s="86">
        <f t="shared" ref="AA57:AA70" si="17">($AB$53-Z57)/($AB$53-$AA$53)</f>
        <v>0</v>
      </c>
      <c r="AB57" s="86">
        <f t="shared" ref="AB57:AB70" si="18">(Z57-$AA$54)/($AB$54-$AA$54)</f>
        <v>0</v>
      </c>
      <c r="AD57" s="86">
        <v>2</v>
      </c>
      <c r="AE57" s="89" t="s">
        <v>35</v>
      </c>
      <c r="AF57" s="89" t="s">
        <v>34</v>
      </c>
      <c r="AG57" s="86"/>
      <c r="AH57" s="86"/>
      <c r="AI57" s="86"/>
    </row>
    <row r="58" spans="1:35" x14ac:dyDescent="0.3">
      <c r="A58" s="87">
        <v>5</v>
      </c>
      <c r="B58" s="87">
        <v>0.80033777444173371</v>
      </c>
      <c r="C58" s="89">
        <v>1</v>
      </c>
      <c r="F58" s="80"/>
      <c r="G58" s="20"/>
      <c r="I58" s="87">
        <v>4</v>
      </c>
      <c r="J58" s="87">
        <v>1</v>
      </c>
      <c r="K58" s="89">
        <v>1</v>
      </c>
      <c r="M58" s="84" t="s">
        <v>84</v>
      </c>
      <c r="N58" s="84">
        <f>SUM(V57,V62,V63,V64,V68)</f>
        <v>2.2856461031022799</v>
      </c>
      <c r="O58" s="84">
        <f>((N58)/(N56+N57+N58))*(100)</f>
        <v>27.992751388392119</v>
      </c>
      <c r="S58" s="89">
        <v>1</v>
      </c>
      <c r="T58" s="86">
        <v>3</v>
      </c>
      <c r="U58" s="4">
        <f t="shared" si="14"/>
        <v>26.840928029472394</v>
      </c>
      <c r="V58" s="86">
        <f>IF(U58&lt;=$V$54,1,IF(AND($V$54&lt;U58,U58&lt;$W$54),($W$54-U58)/($W$54-$V$54),IF(U58&gt;=$W$54,0)))</f>
        <v>0.39488399631595072</v>
      </c>
      <c r="W58" s="86">
        <f t="shared" si="16"/>
        <v>0.60511600368404928</v>
      </c>
      <c r="Y58" s="86">
        <v>3</v>
      </c>
      <c r="Z58" s="89">
        <v>1</v>
      </c>
      <c r="AA58" s="86">
        <f t="shared" si="17"/>
        <v>1</v>
      </c>
      <c r="AB58" s="86">
        <f t="shared" si="18"/>
        <v>1</v>
      </c>
      <c r="AD58" s="86">
        <v>3</v>
      </c>
      <c r="AE58" s="89" t="s">
        <v>36</v>
      </c>
      <c r="AF58" s="89" t="s">
        <v>34</v>
      </c>
      <c r="AG58" s="86"/>
      <c r="AH58" s="86"/>
      <c r="AI58" s="86"/>
    </row>
    <row r="59" spans="1:35" x14ac:dyDescent="0.3">
      <c r="A59" s="87">
        <v>7</v>
      </c>
      <c r="B59" s="87">
        <v>0.4832347140039448</v>
      </c>
      <c r="C59" s="89">
        <v>3</v>
      </c>
      <c r="F59" s="80"/>
      <c r="G59" s="20"/>
      <c r="I59" s="87">
        <v>5</v>
      </c>
      <c r="J59" s="87">
        <v>0.19966222555826629</v>
      </c>
      <c r="K59" s="89">
        <v>1</v>
      </c>
      <c r="S59" s="89">
        <v>1</v>
      </c>
      <c r="T59" s="86">
        <v>4</v>
      </c>
      <c r="U59" s="4">
        <f t="shared" si="14"/>
        <v>32.456398197138938</v>
      </c>
      <c r="V59" s="86">
        <f t="shared" si="15"/>
        <v>0</v>
      </c>
      <c r="W59" s="86">
        <f t="shared" si="16"/>
        <v>1</v>
      </c>
      <c r="Y59" s="86">
        <v>4</v>
      </c>
      <c r="Z59" s="89">
        <v>0</v>
      </c>
      <c r="AA59" s="86">
        <f t="shared" si="17"/>
        <v>0</v>
      </c>
      <c r="AB59" s="86">
        <f t="shared" si="18"/>
        <v>0</v>
      </c>
      <c r="AD59" s="86">
        <v>4</v>
      </c>
      <c r="AE59" s="89" t="s">
        <v>36</v>
      </c>
      <c r="AF59" s="89" t="s">
        <v>34</v>
      </c>
      <c r="AG59" s="86"/>
      <c r="AH59" s="86"/>
      <c r="AI59" s="86"/>
    </row>
    <row r="60" spans="1:35" x14ac:dyDescent="0.3">
      <c r="A60" s="87">
        <v>8</v>
      </c>
      <c r="B60" s="87">
        <v>0.44922722710503482</v>
      </c>
      <c r="C60" s="89">
        <v>3</v>
      </c>
      <c r="I60" s="87">
        <v>6</v>
      </c>
      <c r="J60" s="87">
        <v>1</v>
      </c>
      <c r="K60" s="89">
        <v>2</v>
      </c>
      <c r="M60" s="84" t="s">
        <v>109</v>
      </c>
      <c r="S60" s="89">
        <v>1</v>
      </c>
      <c r="T60" s="86">
        <v>5</v>
      </c>
      <c r="U60" s="4">
        <f t="shared" si="14"/>
        <v>23.59729780446613</v>
      </c>
      <c r="V60" s="86">
        <f t="shared" si="15"/>
        <v>0.80033777444173371</v>
      </c>
      <c r="W60" s="86">
        <f t="shared" si="16"/>
        <v>0.19966222555826629</v>
      </c>
      <c r="Y60" s="86">
        <v>5</v>
      </c>
      <c r="Z60" s="89">
        <v>1</v>
      </c>
      <c r="AA60" s="86">
        <f t="shared" si="17"/>
        <v>1</v>
      </c>
      <c r="AB60" s="86">
        <f t="shared" si="18"/>
        <v>1</v>
      </c>
      <c r="AD60" s="86">
        <v>5</v>
      </c>
      <c r="AE60" s="89" t="s">
        <v>36</v>
      </c>
      <c r="AF60" s="89" t="s">
        <v>34</v>
      </c>
      <c r="AG60" s="86"/>
      <c r="AH60" s="86"/>
      <c r="AI60" s="86"/>
    </row>
    <row r="61" spans="1:35" x14ac:dyDescent="0.3">
      <c r="A61" s="87">
        <v>10</v>
      </c>
      <c r="B61" s="87">
        <v>1</v>
      </c>
      <c r="C61" s="89">
        <v>2</v>
      </c>
      <c r="I61" s="87">
        <v>7</v>
      </c>
      <c r="J61" s="87">
        <v>0.5167652859960552</v>
      </c>
      <c r="K61" s="89">
        <v>3</v>
      </c>
      <c r="M61" s="84" t="s">
        <v>81</v>
      </c>
      <c r="O61" s="84" t="s">
        <v>85</v>
      </c>
      <c r="S61" s="89">
        <v>2</v>
      </c>
      <c r="T61" s="86">
        <v>6</v>
      </c>
      <c r="U61" s="4">
        <f t="shared" si="14"/>
        <v>31.301350186727948</v>
      </c>
      <c r="V61" s="86">
        <f t="shared" si="15"/>
        <v>0</v>
      </c>
      <c r="W61" s="86">
        <f t="shared" si="16"/>
        <v>1</v>
      </c>
      <c r="Y61" s="86">
        <v>6</v>
      </c>
      <c r="Z61" s="89">
        <v>0</v>
      </c>
      <c r="AA61" s="86">
        <f t="shared" si="17"/>
        <v>0</v>
      </c>
      <c r="AB61" s="86">
        <f t="shared" si="18"/>
        <v>0</v>
      </c>
      <c r="AD61" s="86">
        <v>6</v>
      </c>
      <c r="AE61" s="89" t="s">
        <v>30</v>
      </c>
      <c r="AF61" s="89" t="s">
        <v>29</v>
      </c>
      <c r="AG61" s="86"/>
      <c r="AH61" s="86"/>
      <c r="AI61" s="86"/>
    </row>
    <row r="62" spans="1:35" x14ac:dyDescent="0.3">
      <c r="A62" s="87">
        <v>11</v>
      </c>
      <c r="B62" s="87">
        <v>1</v>
      </c>
      <c r="C62" s="89">
        <v>2</v>
      </c>
      <c r="I62" s="87">
        <v>8</v>
      </c>
      <c r="J62" s="87">
        <v>0.55077277289496518</v>
      </c>
      <c r="K62" s="89">
        <v>3</v>
      </c>
      <c r="M62" s="84" t="s">
        <v>82</v>
      </c>
      <c r="N62" s="84">
        <f>SUM(W58,W59,W60,W69,W70)</f>
        <v>1.9890035136518649</v>
      </c>
      <c r="O62" s="84">
        <f>((N62)/(N62+N63+N64))*(100)</f>
        <v>29.1008481087975</v>
      </c>
      <c r="S62" s="89">
        <v>3</v>
      </c>
      <c r="T62" s="86">
        <v>7</v>
      </c>
      <c r="U62" s="4">
        <f t="shared" si="14"/>
        <v>26.134122287968442</v>
      </c>
      <c r="V62" s="86">
        <f t="shared" si="15"/>
        <v>0.4832347140039448</v>
      </c>
      <c r="W62" s="86">
        <f t="shared" si="16"/>
        <v>0.5167652859960552</v>
      </c>
      <c r="Y62" s="86">
        <v>7</v>
      </c>
      <c r="Z62" s="89">
        <v>1</v>
      </c>
      <c r="AA62" s="86">
        <f t="shared" si="17"/>
        <v>1</v>
      </c>
      <c r="AB62" s="86">
        <f t="shared" si="18"/>
        <v>1</v>
      </c>
      <c r="AD62" s="86">
        <v>7</v>
      </c>
      <c r="AE62" s="89" t="s">
        <v>35</v>
      </c>
      <c r="AF62" s="89" t="s">
        <v>38</v>
      </c>
      <c r="AG62" s="86"/>
      <c r="AH62" s="86"/>
      <c r="AI62" s="86"/>
    </row>
    <row r="63" spans="1:35" x14ac:dyDescent="0.3">
      <c r="A63" s="87">
        <v>12</v>
      </c>
      <c r="B63" s="87">
        <v>6.8359375000000444E-2</v>
      </c>
      <c r="C63" s="89">
        <v>2</v>
      </c>
      <c r="I63" s="87">
        <v>9</v>
      </c>
      <c r="J63" s="87">
        <v>1</v>
      </c>
      <c r="K63" s="89">
        <v>3</v>
      </c>
      <c r="M63" s="84" t="s">
        <v>83</v>
      </c>
      <c r="N63" s="84">
        <f>SUM(W56,W61,W65,W66,W67)</f>
        <v>2.1315070106373968</v>
      </c>
      <c r="O63" s="84">
        <f>((N63)/(N62+N63+N64))*(100)</f>
        <v>31.185797980572481</v>
      </c>
      <c r="S63" s="89">
        <v>3</v>
      </c>
      <c r="T63" s="86">
        <v>8</v>
      </c>
      <c r="U63" s="4">
        <f t="shared" si="14"/>
        <v>26.406182183159721</v>
      </c>
      <c r="V63" s="86">
        <f t="shared" si="15"/>
        <v>0.44922722710503482</v>
      </c>
      <c r="W63" s="86">
        <f t="shared" si="16"/>
        <v>0.55077277289496518</v>
      </c>
      <c r="Y63" s="86">
        <v>8</v>
      </c>
      <c r="Z63" s="89">
        <v>1</v>
      </c>
      <c r="AA63" s="86">
        <f t="shared" si="17"/>
        <v>1</v>
      </c>
      <c r="AB63" s="86">
        <f t="shared" si="18"/>
        <v>1</v>
      </c>
      <c r="AD63" s="86">
        <v>8</v>
      </c>
      <c r="AE63" s="89" t="s">
        <v>35</v>
      </c>
      <c r="AF63" s="89" t="s">
        <v>38</v>
      </c>
      <c r="AG63" s="86"/>
      <c r="AH63" s="86"/>
      <c r="AI63" s="86"/>
    </row>
    <row r="64" spans="1:35" x14ac:dyDescent="0.3">
      <c r="A64" s="87">
        <v>13</v>
      </c>
      <c r="B64" s="87">
        <v>1</v>
      </c>
      <c r="C64" s="89">
        <v>3</v>
      </c>
      <c r="I64" s="87">
        <v>12</v>
      </c>
      <c r="J64" s="87">
        <v>0.93164062499999956</v>
      </c>
      <c r="K64" s="89">
        <v>2</v>
      </c>
      <c r="M64" s="90" t="s">
        <v>84</v>
      </c>
      <c r="N64" s="90">
        <f>SUM(W57,W62,W63,W64,W68)</f>
        <v>2.7143538968977201</v>
      </c>
      <c r="O64" s="90">
        <f>((N64)/($N$62+$N$63+$N$64))*(100)</f>
        <v>39.713353910630019</v>
      </c>
      <c r="P64" s="90"/>
      <c r="Q64" s="90"/>
      <c r="S64" s="89">
        <v>3</v>
      </c>
      <c r="T64" s="86">
        <v>9</v>
      </c>
      <c r="U64" s="4">
        <f t="shared" si="14"/>
        <v>36.892361111111114</v>
      </c>
      <c r="V64" s="86">
        <f t="shared" si="15"/>
        <v>0</v>
      </c>
      <c r="W64" s="86">
        <f t="shared" si="16"/>
        <v>1</v>
      </c>
      <c r="Y64" s="86">
        <v>9</v>
      </c>
      <c r="Z64" s="89">
        <v>0</v>
      </c>
      <c r="AA64" s="86">
        <f t="shared" si="17"/>
        <v>0</v>
      </c>
      <c r="AB64" s="86">
        <f t="shared" si="18"/>
        <v>0</v>
      </c>
      <c r="AD64" s="86">
        <v>9</v>
      </c>
      <c r="AE64" s="89" t="s">
        <v>35</v>
      </c>
      <c r="AF64" s="89" t="s">
        <v>34</v>
      </c>
      <c r="AG64" s="86"/>
      <c r="AH64" s="86"/>
      <c r="AI64" s="86"/>
    </row>
    <row r="65" spans="1:35" x14ac:dyDescent="0.3">
      <c r="A65" s="87">
        <v>14</v>
      </c>
      <c r="B65" s="87">
        <v>0.81577471559045067</v>
      </c>
      <c r="C65" s="87">
        <v>1</v>
      </c>
      <c r="I65" s="67">
        <v>14</v>
      </c>
      <c r="J65" s="67">
        <v>0.18422528440954933</v>
      </c>
      <c r="K65" s="19">
        <v>1</v>
      </c>
      <c r="S65" s="89">
        <v>2</v>
      </c>
      <c r="T65" s="86">
        <v>10</v>
      </c>
      <c r="U65" s="4">
        <f t="shared" si="14"/>
        <v>20.894901144640997</v>
      </c>
      <c r="V65" s="86">
        <f t="shared" si="15"/>
        <v>1</v>
      </c>
      <c r="W65" s="86">
        <f t="shared" si="16"/>
        <v>0</v>
      </c>
      <c r="Y65" s="86">
        <v>10</v>
      </c>
      <c r="Z65" s="89">
        <v>1</v>
      </c>
      <c r="AA65" s="86">
        <f t="shared" si="17"/>
        <v>1</v>
      </c>
      <c r="AB65" s="86">
        <f t="shared" si="18"/>
        <v>1</v>
      </c>
      <c r="AD65" s="86">
        <v>10</v>
      </c>
      <c r="AE65" s="89" t="s">
        <v>30</v>
      </c>
      <c r="AF65" s="89" t="s">
        <v>29</v>
      </c>
      <c r="AG65" s="86"/>
      <c r="AH65" s="86"/>
      <c r="AI65" s="86"/>
    </row>
    <row r="66" spans="1:35" x14ac:dyDescent="0.3">
      <c r="A66" s="87">
        <v>15</v>
      </c>
      <c r="B66" s="87">
        <v>1</v>
      </c>
      <c r="C66" s="87">
        <v>1</v>
      </c>
      <c r="I66" s="16"/>
      <c r="J66" s="16"/>
      <c r="K66" s="23"/>
      <c r="M66" s="90"/>
      <c r="N66" s="90"/>
      <c r="O66" s="90"/>
      <c r="P66" s="90"/>
      <c r="Q66" s="90"/>
      <c r="S66" s="89">
        <v>2</v>
      </c>
      <c r="T66" s="86">
        <v>11</v>
      </c>
      <c r="U66" s="4">
        <f t="shared" si="14"/>
        <v>19.438507030643446</v>
      </c>
      <c r="V66" s="86">
        <f t="shared" si="15"/>
        <v>1</v>
      </c>
      <c r="W66" s="86">
        <f t="shared" si="16"/>
        <v>0</v>
      </c>
      <c r="Y66" s="86">
        <v>11</v>
      </c>
      <c r="Z66" s="89">
        <v>1</v>
      </c>
      <c r="AA66" s="86">
        <f t="shared" si="17"/>
        <v>1</v>
      </c>
      <c r="AB66" s="86">
        <f t="shared" si="18"/>
        <v>1</v>
      </c>
      <c r="AD66" s="86">
        <v>11</v>
      </c>
      <c r="AE66" s="89" t="s">
        <v>30</v>
      </c>
      <c r="AF66" s="89" t="s">
        <v>34</v>
      </c>
      <c r="AG66" s="86"/>
      <c r="AH66" s="86"/>
      <c r="AI66" s="86"/>
    </row>
    <row r="67" spans="1:35" x14ac:dyDescent="0.3">
      <c r="I67" s="80"/>
      <c r="J67" s="80"/>
      <c r="K67" s="20"/>
      <c r="M67" s="90"/>
      <c r="N67" s="90"/>
      <c r="O67" s="90"/>
      <c r="P67" s="90"/>
      <c r="Q67" s="90"/>
      <c r="S67" s="89">
        <v>2</v>
      </c>
      <c r="T67" s="86">
        <v>12</v>
      </c>
      <c r="U67" s="4">
        <f t="shared" si="14"/>
        <v>29.453124999999996</v>
      </c>
      <c r="V67" s="86">
        <f t="shared" si="15"/>
        <v>6.8359375000000444E-2</v>
      </c>
      <c r="W67" s="86">
        <f t="shared" si="16"/>
        <v>0.93164062499999956</v>
      </c>
      <c r="Y67" s="86">
        <v>12</v>
      </c>
      <c r="Z67" s="89">
        <v>1</v>
      </c>
      <c r="AA67" s="86">
        <f t="shared" si="17"/>
        <v>1</v>
      </c>
      <c r="AB67" s="86">
        <f t="shared" si="18"/>
        <v>1</v>
      </c>
      <c r="AD67" s="86">
        <v>12</v>
      </c>
      <c r="AE67" s="89" t="s">
        <v>30</v>
      </c>
      <c r="AF67" s="89" t="s">
        <v>34</v>
      </c>
      <c r="AG67" s="86"/>
      <c r="AH67" s="86"/>
      <c r="AI67" s="86"/>
    </row>
    <row r="68" spans="1:35" x14ac:dyDescent="0.3">
      <c r="M68" s="90"/>
      <c r="N68" s="90"/>
      <c r="O68" s="90"/>
      <c r="P68" s="90"/>
      <c r="Q68" s="90"/>
      <c r="S68" s="89">
        <v>3</v>
      </c>
      <c r="T68" s="86">
        <v>13</v>
      </c>
      <c r="U68" s="4">
        <f t="shared" si="14"/>
        <v>20.176778194270909</v>
      </c>
      <c r="V68" s="86">
        <f t="shared" si="15"/>
        <v>1</v>
      </c>
      <c r="W68" s="86">
        <f t="shared" si="16"/>
        <v>0</v>
      </c>
      <c r="Y68" s="86">
        <v>13</v>
      </c>
      <c r="Z68" s="89">
        <v>1</v>
      </c>
      <c r="AA68" s="86">
        <f t="shared" si="17"/>
        <v>1</v>
      </c>
      <c r="AB68" s="86">
        <f t="shared" si="18"/>
        <v>1</v>
      </c>
      <c r="AD68" s="86">
        <v>13</v>
      </c>
      <c r="AE68" s="89" t="s">
        <v>35</v>
      </c>
      <c r="AF68" s="89" t="s">
        <v>38</v>
      </c>
      <c r="AG68" s="86"/>
      <c r="AH68" s="86"/>
      <c r="AI68" s="86"/>
    </row>
    <row r="69" spans="1:35" x14ac:dyDescent="0.3">
      <c r="M69" s="90"/>
      <c r="N69" s="90"/>
      <c r="O69" s="90"/>
      <c r="P69" s="90"/>
      <c r="Q69" s="90"/>
      <c r="S69" s="89">
        <v>1</v>
      </c>
      <c r="T69" s="86">
        <v>14</v>
      </c>
      <c r="U69" s="4">
        <f t="shared" si="14"/>
        <v>23.473802275276395</v>
      </c>
      <c r="V69" s="86">
        <f t="shared" si="15"/>
        <v>0.81577471559045067</v>
      </c>
      <c r="W69" s="86">
        <f t="shared" si="16"/>
        <v>0.18422528440954933</v>
      </c>
      <c r="Y69" s="86">
        <v>14</v>
      </c>
      <c r="Z69" s="89">
        <v>1</v>
      </c>
      <c r="AA69" s="86">
        <f t="shared" si="17"/>
        <v>1</v>
      </c>
      <c r="AB69" s="86">
        <f t="shared" si="18"/>
        <v>1</v>
      </c>
      <c r="AD69" s="86">
        <v>14</v>
      </c>
      <c r="AE69" s="89" t="s">
        <v>36</v>
      </c>
      <c r="AF69" s="89" t="s">
        <v>29</v>
      </c>
      <c r="AG69" s="86"/>
      <c r="AH69" s="86"/>
      <c r="AI69" s="86"/>
    </row>
    <row r="70" spans="1:35" x14ac:dyDescent="0.3">
      <c r="M70" s="90"/>
      <c r="N70" s="90"/>
      <c r="O70" s="90"/>
      <c r="P70" s="90"/>
      <c r="Q70" s="90"/>
      <c r="S70" s="89">
        <v>1</v>
      </c>
      <c r="T70" s="22">
        <v>15</v>
      </c>
      <c r="U70" s="34">
        <f t="shared" si="14"/>
        <v>18.737894689428405</v>
      </c>
      <c r="V70" s="86">
        <f t="shared" si="15"/>
        <v>1</v>
      </c>
      <c r="W70" s="86">
        <f t="shared" si="16"/>
        <v>0</v>
      </c>
      <c r="Y70" s="22">
        <v>15</v>
      </c>
      <c r="Z70" s="19">
        <v>1</v>
      </c>
      <c r="AA70" s="22">
        <f t="shared" si="17"/>
        <v>1</v>
      </c>
      <c r="AB70" s="22">
        <f t="shared" si="18"/>
        <v>1</v>
      </c>
      <c r="AD70" s="86">
        <v>15</v>
      </c>
      <c r="AE70" s="89" t="s">
        <v>36</v>
      </c>
      <c r="AF70" s="89" t="s">
        <v>34</v>
      </c>
      <c r="AG70" s="86"/>
      <c r="AH70" s="86"/>
      <c r="AI70" s="86"/>
    </row>
    <row r="71" spans="1:35" x14ac:dyDescent="0.3">
      <c r="T71" s="16"/>
      <c r="U71" s="34" t="s">
        <v>64</v>
      </c>
      <c r="V71" s="22">
        <f>SUM(V56:V70)</f>
        <v>8.1651355788130182</v>
      </c>
      <c r="W71" s="22">
        <f>SUM(W56:W70)</f>
        <v>6.8348644211869818</v>
      </c>
      <c r="Y71" s="16"/>
      <c r="Z71" s="23"/>
      <c r="AA71" s="16"/>
      <c r="AB71" s="16"/>
      <c r="AD71" s="42"/>
      <c r="AE71" s="21"/>
    </row>
    <row r="72" spans="1:35" x14ac:dyDescent="0.3">
      <c r="T72" s="80"/>
      <c r="U72" s="35"/>
      <c r="V72" s="80"/>
      <c r="W72" s="80"/>
      <c r="Y72" s="80"/>
      <c r="Z72" s="20"/>
      <c r="AA72" s="80"/>
      <c r="AB72" s="80"/>
      <c r="AD72" s="80"/>
      <c r="AE72" s="20"/>
    </row>
    <row r="73" spans="1:35" x14ac:dyDescent="0.3">
      <c r="T73" s="80"/>
      <c r="U73" s="35"/>
      <c r="V73" s="80"/>
      <c r="W73" s="80"/>
      <c r="Y73" s="80"/>
      <c r="Z73" s="20"/>
      <c r="AA73" s="80"/>
      <c r="AB73" s="80"/>
      <c r="AD73" s="80"/>
      <c r="AE73" s="20"/>
    </row>
    <row r="74" spans="1:35" x14ac:dyDescent="0.3">
      <c r="T74" s="80"/>
      <c r="U74" s="35"/>
      <c r="V74" s="80"/>
      <c r="W74" s="80"/>
      <c r="Y74" s="80"/>
      <c r="Z74" s="20"/>
      <c r="AA74" s="80"/>
      <c r="AB74" s="80"/>
      <c r="AD74" s="80"/>
      <c r="AE74" s="20"/>
    </row>
    <row r="75" spans="1:35" x14ac:dyDescent="0.3">
      <c r="T75" s="80"/>
      <c r="U75" s="35"/>
      <c r="V75" s="80"/>
      <c r="W75" s="80"/>
      <c r="Y75" s="80"/>
      <c r="Z75" s="20"/>
      <c r="AA75" s="80"/>
      <c r="AB75" s="80"/>
      <c r="AD75" s="80"/>
      <c r="AE75" s="20"/>
    </row>
    <row r="76" spans="1:35" x14ac:dyDescent="0.3">
      <c r="T76" s="80"/>
      <c r="U76" s="35"/>
      <c r="V76" s="80"/>
      <c r="W76" s="80"/>
      <c r="Y76" s="80"/>
      <c r="Z76" s="20"/>
      <c r="AA76" s="80"/>
      <c r="AB76" s="80"/>
      <c r="AD76" s="80"/>
      <c r="AE76" s="20"/>
    </row>
    <row r="77" spans="1:35" x14ac:dyDescent="0.3">
      <c r="R77" s="85" t="s">
        <v>46</v>
      </c>
      <c r="S77" s="86" t="s">
        <v>42</v>
      </c>
      <c r="T77" s="86" t="s">
        <v>55</v>
      </c>
      <c r="U77" s="86" t="s">
        <v>43</v>
      </c>
      <c r="V77" s="86" t="s">
        <v>79</v>
      </c>
      <c r="Y77" s="85" t="s">
        <v>46</v>
      </c>
      <c r="Z77" s="86" t="s">
        <v>7</v>
      </c>
      <c r="AA77" s="86" t="s">
        <v>57</v>
      </c>
      <c r="AB77" s="86" t="s">
        <v>58</v>
      </c>
      <c r="AC77" s="86" t="s">
        <v>79</v>
      </c>
      <c r="AD77" s="80"/>
      <c r="AE77" s="20"/>
    </row>
    <row r="78" spans="1:35" x14ac:dyDescent="0.3">
      <c r="R78" s="86">
        <v>1</v>
      </c>
      <c r="S78" s="89">
        <v>52</v>
      </c>
      <c r="T78" s="86">
        <v>0</v>
      </c>
      <c r="U78" s="86">
        <v>1</v>
      </c>
      <c r="V78" s="89">
        <v>2</v>
      </c>
      <c r="Y78" s="86">
        <v>1</v>
      </c>
      <c r="Z78" s="24">
        <v>78</v>
      </c>
      <c r="AA78" s="32">
        <v>0.55000000000000004</v>
      </c>
      <c r="AB78" s="32">
        <v>0.45</v>
      </c>
      <c r="AC78" s="89">
        <v>2</v>
      </c>
      <c r="AD78" s="80"/>
      <c r="AE78" s="20"/>
    </row>
    <row r="79" spans="1:35" x14ac:dyDescent="0.3">
      <c r="O79" s="84" t="s">
        <v>68</v>
      </c>
      <c r="R79" s="86">
        <v>2</v>
      </c>
      <c r="S79" s="89">
        <v>66</v>
      </c>
      <c r="T79" s="86">
        <v>0</v>
      </c>
      <c r="U79" s="86">
        <v>1</v>
      </c>
      <c r="V79" s="89">
        <v>3</v>
      </c>
      <c r="Y79" s="86">
        <v>2</v>
      </c>
      <c r="Z79" s="24">
        <v>98</v>
      </c>
      <c r="AA79" s="32">
        <v>0</v>
      </c>
      <c r="AB79" s="32">
        <v>1</v>
      </c>
      <c r="AC79" s="89">
        <v>3</v>
      </c>
      <c r="AD79" s="80"/>
      <c r="AE79" s="84" t="s">
        <v>69</v>
      </c>
    </row>
    <row r="80" spans="1:35" x14ac:dyDescent="0.3">
      <c r="O80" s="84" t="s">
        <v>55</v>
      </c>
      <c r="P80" s="84">
        <f>-((T80+T81+T88+T89)/(T90)*LOG((T80+T81+T88+T89)/(T90),2))-((T78+T84+T85+T86)/(T90)*LOG((T78+T84+T85+T86)/(T90),2))-((T79+T82+T83+T87)/(T90)*LOG((T79+T82+T83+T87)/(T90),2))</f>
        <v>1.4274550231864671</v>
      </c>
      <c r="R80" s="86">
        <v>3</v>
      </c>
      <c r="S80" s="89">
        <v>56</v>
      </c>
      <c r="T80" s="86">
        <v>0</v>
      </c>
      <c r="U80" s="86">
        <v>1</v>
      </c>
      <c r="V80" s="89">
        <v>1</v>
      </c>
      <c r="Y80" s="86">
        <v>3</v>
      </c>
      <c r="Z80" s="24">
        <v>98</v>
      </c>
      <c r="AA80" s="32">
        <v>0</v>
      </c>
      <c r="AB80" s="32">
        <v>1</v>
      </c>
      <c r="AC80" s="89">
        <v>1</v>
      </c>
      <c r="AD80" s="80"/>
      <c r="AE80" s="84" t="s">
        <v>57</v>
      </c>
      <c r="AF80" s="84">
        <f>-((AA80+AA81+AA88+AA89)/(AA90)*LOG((AA80+AA81+AA88+AA89)/(AA90),2))-((AA78+AA84+AA85+AA86)/(AA90)*LOG((AA78+AA84+AA85+AA86)/(AA90),2))-((AA87)/(AA90)*LOG((AA87)/(AA90),2))</f>
        <v>1.0781437157898925</v>
      </c>
    </row>
    <row r="81" spans="1:33" x14ac:dyDescent="0.3">
      <c r="O81" s="84" t="s">
        <v>43</v>
      </c>
      <c r="P81" s="84">
        <f>-((U80+U81+U88+U89)/(U90)*LOG((U80+U81+U88+U89)/(U90),2))-((U78+U84+U85+U86)/(U90)*LOG((U78+U84+U85+U86)/(U90),2))-((U79+U82+U83+U87)/(U90)*LOG((U79+U82+U83+U87)/(U90),2))</f>
        <v>1.5658137709581479</v>
      </c>
      <c r="R81" s="86">
        <v>5</v>
      </c>
      <c r="S81" s="89">
        <v>36</v>
      </c>
      <c r="T81" s="86">
        <v>0.59259259259259256</v>
      </c>
      <c r="U81" s="86">
        <v>0.40740740740740738</v>
      </c>
      <c r="V81" s="89">
        <v>1</v>
      </c>
      <c r="Y81" s="86">
        <v>5</v>
      </c>
      <c r="Z81" s="27">
        <v>88</v>
      </c>
      <c r="AA81" s="31">
        <v>0.05</v>
      </c>
      <c r="AB81" s="31">
        <v>0.95</v>
      </c>
      <c r="AC81" s="89">
        <v>1</v>
      </c>
      <c r="AD81" s="80"/>
      <c r="AE81" s="84" t="s">
        <v>58</v>
      </c>
      <c r="AF81" s="84">
        <f>-((AB80+AB81+AB88+AB89)/(AB90)*LOG((AB80+AB81+AB88+AB89)/(AB90),2))-((AB78+AB84+AB85+AB86)/(AB90)*LOG((AB78+AB84+AB85+AB86)/(AB90),2))-((AB79+AB82+AB83+AB87)/(AB90)*LOG((AB79+AB82+AB83+AB87)/(AB90),2))</f>
        <v>1.5247338008370845</v>
      </c>
    </row>
    <row r="82" spans="1:33" x14ac:dyDescent="0.3">
      <c r="R82" s="86">
        <v>7</v>
      </c>
      <c r="S82" s="89">
        <v>43</v>
      </c>
      <c r="T82" s="86">
        <v>0.33333333333333331</v>
      </c>
      <c r="U82" s="86">
        <v>0.66666666666666663</v>
      </c>
      <c r="V82" s="89">
        <v>3</v>
      </c>
      <c r="Y82" s="86">
        <v>7</v>
      </c>
      <c r="Z82" s="24">
        <v>89</v>
      </c>
      <c r="AA82" s="32">
        <v>0</v>
      </c>
      <c r="AB82" s="32">
        <v>1</v>
      </c>
      <c r="AC82" s="89">
        <v>3</v>
      </c>
      <c r="AD82" s="80"/>
      <c r="AE82" s="20"/>
    </row>
    <row r="83" spans="1:33" x14ac:dyDescent="0.3">
      <c r="R83" s="86">
        <v>8</v>
      </c>
      <c r="S83" s="89">
        <v>49</v>
      </c>
      <c r="T83" s="86">
        <v>0.1111111111111111</v>
      </c>
      <c r="U83" s="86">
        <v>0.88888888888888884</v>
      </c>
      <c r="V83" s="89">
        <v>3</v>
      </c>
      <c r="Y83" s="86">
        <v>8</v>
      </c>
      <c r="Z83" s="24">
        <v>91</v>
      </c>
      <c r="AA83" s="32">
        <v>0</v>
      </c>
      <c r="AB83" s="32">
        <v>1</v>
      </c>
      <c r="AC83" s="89">
        <v>3</v>
      </c>
      <c r="AD83" s="80"/>
      <c r="AE83" s="20"/>
    </row>
    <row r="84" spans="1:33" x14ac:dyDescent="0.3">
      <c r="R84" s="86">
        <v>10</v>
      </c>
      <c r="S84" s="89">
        <v>80</v>
      </c>
      <c r="T84" s="86">
        <v>0</v>
      </c>
      <c r="U84" s="86">
        <v>1</v>
      </c>
      <c r="V84" s="89">
        <v>2</v>
      </c>
      <c r="Y84" s="86">
        <v>10</v>
      </c>
      <c r="Z84" s="24">
        <v>78</v>
      </c>
      <c r="AA84" s="32">
        <v>0.55000000000000004</v>
      </c>
      <c r="AB84" s="32">
        <v>0.45</v>
      </c>
      <c r="AC84" s="89">
        <v>2</v>
      </c>
      <c r="AD84" s="80"/>
      <c r="AE84" s="20"/>
    </row>
    <row r="85" spans="1:33" x14ac:dyDescent="0.3">
      <c r="R85" s="86">
        <v>11</v>
      </c>
      <c r="S85" s="89">
        <v>35</v>
      </c>
      <c r="T85" s="86">
        <v>0.62962962962962965</v>
      </c>
      <c r="U85" s="86">
        <v>0.37037037037037035</v>
      </c>
      <c r="V85" s="89">
        <v>2</v>
      </c>
      <c r="Y85" s="86">
        <v>11</v>
      </c>
      <c r="Z85" s="24">
        <v>71</v>
      </c>
      <c r="AA85" s="32">
        <v>0.9</v>
      </c>
      <c r="AB85" s="32">
        <v>0.1</v>
      </c>
      <c r="AC85" s="89">
        <v>2</v>
      </c>
      <c r="AD85" s="80"/>
      <c r="AE85" s="20"/>
    </row>
    <row r="86" spans="1:33" x14ac:dyDescent="0.3">
      <c r="R86" s="86">
        <v>12</v>
      </c>
      <c r="S86" s="89">
        <v>36</v>
      </c>
      <c r="T86" s="86">
        <v>0.59259259259259256</v>
      </c>
      <c r="U86" s="86">
        <v>0.40740740740740738</v>
      </c>
      <c r="V86" s="89">
        <v>2</v>
      </c>
      <c r="Y86" s="86">
        <v>12</v>
      </c>
      <c r="Z86" s="27">
        <v>101</v>
      </c>
      <c r="AA86" s="31">
        <v>0</v>
      </c>
      <c r="AB86" s="31">
        <v>1</v>
      </c>
      <c r="AC86" s="89">
        <v>2</v>
      </c>
      <c r="AD86" s="80"/>
      <c r="AE86" s="20"/>
    </row>
    <row r="87" spans="1:33" x14ac:dyDescent="0.3">
      <c r="R87" s="86">
        <v>13</v>
      </c>
      <c r="S87" s="89">
        <v>66</v>
      </c>
      <c r="T87" s="86">
        <v>0</v>
      </c>
      <c r="U87" s="86">
        <v>1</v>
      </c>
      <c r="V87" s="89">
        <v>3</v>
      </c>
      <c r="Y87" s="86">
        <v>13</v>
      </c>
      <c r="Z87" s="27">
        <v>88</v>
      </c>
      <c r="AA87" s="31">
        <v>0.05</v>
      </c>
      <c r="AB87" s="31">
        <v>0.95</v>
      </c>
      <c r="AC87" s="89">
        <v>3</v>
      </c>
      <c r="AD87" s="80"/>
      <c r="AE87" s="20"/>
    </row>
    <row r="88" spans="1:33" x14ac:dyDescent="0.3">
      <c r="R88" s="86">
        <v>14</v>
      </c>
      <c r="S88" s="89">
        <v>54</v>
      </c>
      <c r="T88" s="86">
        <v>0</v>
      </c>
      <c r="U88" s="86">
        <v>1</v>
      </c>
      <c r="V88" s="89">
        <v>1</v>
      </c>
      <c r="Y88" s="86">
        <v>14</v>
      </c>
      <c r="Z88" s="24">
        <v>79</v>
      </c>
      <c r="AA88" s="32">
        <v>0.5</v>
      </c>
      <c r="AB88" s="32">
        <v>0.5</v>
      </c>
      <c r="AC88" s="89">
        <v>1</v>
      </c>
      <c r="AD88" s="80"/>
      <c r="AE88" s="20"/>
    </row>
    <row r="89" spans="1:33" x14ac:dyDescent="0.3">
      <c r="R89" s="86">
        <v>15</v>
      </c>
      <c r="S89" s="19">
        <v>22</v>
      </c>
      <c r="T89" s="22">
        <v>1</v>
      </c>
      <c r="U89" s="22">
        <v>0</v>
      </c>
      <c r="V89" s="89">
        <v>1</v>
      </c>
      <c r="Y89" s="86">
        <v>15</v>
      </c>
      <c r="Z89" s="28">
        <v>70</v>
      </c>
      <c r="AA89" s="33">
        <v>0.95</v>
      </c>
      <c r="AB89" s="33">
        <v>0.05</v>
      </c>
      <c r="AC89" s="89">
        <v>1</v>
      </c>
      <c r="AD89" s="80"/>
      <c r="AE89" s="20"/>
    </row>
    <row r="90" spans="1:33" x14ac:dyDescent="0.3">
      <c r="S90" s="114"/>
      <c r="T90" s="114">
        <f>SUM(T78:T89)</f>
        <v>3.2592592592592591</v>
      </c>
      <c r="U90" s="115">
        <f>SUM(U78:U89)</f>
        <v>8.7407407407407405</v>
      </c>
      <c r="V90" s="80"/>
      <c r="W90" s="80"/>
      <c r="Y90" s="80"/>
      <c r="Z90" s="20"/>
      <c r="AA90" s="80">
        <f>SUM(AA78:AA89)</f>
        <v>3.55</v>
      </c>
      <c r="AB90" s="80">
        <f>SUM(AB78:AB89)</f>
        <v>8.4500000000000011</v>
      </c>
      <c r="AD90" s="80"/>
      <c r="AE90" s="20"/>
    </row>
    <row r="91" spans="1:33" x14ac:dyDescent="0.3">
      <c r="R91" s="85" t="s">
        <v>46</v>
      </c>
      <c r="S91" s="86" t="s">
        <v>59</v>
      </c>
      <c r="T91" s="86" t="s">
        <v>44</v>
      </c>
      <c r="U91" s="86" t="s">
        <v>62</v>
      </c>
      <c r="V91" s="88" t="s">
        <v>61</v>
      </c>
      <c r="W91" s="86" t="s">
        <v>79</v>
      </c>
      <c r="Y91" s="80"/>
      <c r="Z91" s="20"/>
      <c r="AA91" s="80"/>
      <c r="AB91" s="80"/>
      <c r="AD91" s="80"/>
      <c r="AE91" s="20"/>
    </row>
    <row r="92" spans="1:33" x14ac:dyDescent="0.3">
      <c r="A92" s="48" t="s">
        <v>77</v>
      </c>
      <c r="B92" s="86" t="s">
        <v>129</v>
      </c>
      <c r="C92" s="104" t="s">
        <v>79</v>
      </c>
      <c r="H92" s="48" t="s">
        <v>77</v>
      </c>
      <c r="I92" s="88" t="s">
        <v>184</v>
      </c>
      <c r="J92" s="104" t="s">
        <v>79</v>
      </c>
      <c r="O92" s="84" t="s">
        <v>72</v>
      </c>
      <c r="R92" s="86">
        <v>1</v>
      </c>
      <c r="S92" s="86">
        <v>215</v>
      </c>
      <c r="T92" s="86">
        <v>0</v>
      </c>
      <c r="U92" s="86">
        <v>0.7142857142857143</v>
      </c>
      <c r="V92" s="71">
        <v>0.2857142857142857</v>
      </c>
      <c r="W92" s="89">
        <v>2</v>
      </c>
      <c r="Y92" s="181" t="s">
        <v>63</v>
      </c>
      <c r="Z92" s="182"/>
      <c r="AA92" s="183"/>
      <c r="AB92" s="181">
        <f>-((4/12)*LOG((4/12),2))-((4/12)*LOG((4/12),2))-((4/12)*LOG((4/12),2))</f>
        <v>1.5849625007211561</v>
      </c>
      <c r="AC92" s="182"/>
      <c r="AD92" s="183"/>
      <c r="AE92" s="20"/>
    </row>
    <row r="93" spans="1:33" x14ac:dyDescent="0.3">
      <c r="A93" s="86">
        <v>1</v>
      </c>
      <c r="B93" s="32">
        <v>0.55000000000000004</v>
      </c>
      <c r="C93" s="89">
        <v>2</v>
      </c>
      <c r="H93" s="86">
        <v>1</v>
      </c>
      <c r="I93" s="32">
        <v>0.45</v>
      </c>
      <c r="J93" s="89">
        <v>2</v>
      </c>
      <c r="O93" s="84" t="s">
        <v>44</v>
      </c>
      <c r="P93" s="84">
        <f>-((T94+T95+T102+T103)/(T104)*LOG((T94+T95+T102+T103)/(T104),2))-(0)-(0)</f>
        <v>0</v>
      </c>
      <c r="R93" s="86">
        <v>2</v>
      </c>
      <c r="S93" s="86">
        <v>308</v>
      </c>
      <c r="T93" s="86">
        <v>0</v>
      </c>
      <c r="U93" s="86">
        <v>0</v>
      </c>
      <c r="V93" s="71">
        <v>1</v>
      </c>
      <c r="W93" s="89">
        <v>3</v>
      </c>
      <c r="Y93" s="181" t="s">
        <v>65</v>
      </c>
      <c r="Z93" s="182"/>
      <c r="AA93" s="183"/>
      <c r="AB93" s="181">
        <f>(AB92)-((T90/12)*P80)-((U90/12)*P81)</f>
        <v>5.6727648910872119E-2</v>
      </c>
      <c r="AC93" s="182"/>
      <c r="AD93" s="183"/>
      <c r="AE93" s="20"/>
    </row>
    <row r="94" spans="1:33" x14ac:dyDescent="0.3">
      <c r="A94" s="86">
        <v>5</v>
      </c>
      <c r="B94" s="31">
        <v>0.05</v>
      </c>
      <c r="C94" s="89">
        <v>1</v>
      </c>
      <c r="H94" s="86">
        <v>2</v>
      </c>
      <c r="I94" s="32">
        <v>1</v>
      </c>
      <c r="J94" s="89">
        <v>3</v>
      </c>
      <c r="O94" s="84" t="s">
        <v>155</v>
      </c>
      <c r="P94" s="84">
        <f>-((U94+U95+U102+U103)/(U104)*LOG((U94+U95+U102+U103)/(U104),2))-((U92+U98+U99+U100)/(U104)*LOG((U92+U98+U99+U100)/(U104),2))-((U93+U96+U97+U101)/(U104)*LOG((U93+U96+U97+U101)/(U104),2))</f>
        <v>1.5192709335073544</v>
      </c>
      <c r="R94" s="86">
        <v>3</v>
      </c>
      <c r="S94" s="86">
        <v>209</v>
      </c>
      <c r="T94" s="86">
        <v>0</v>
      </c>
      <c r="U94" s="86">
        <v>0.88571428571428568</v>
      </c>
      <c r="V94" s="71">
        <v>0.11428571428571428</v>
      </c>
      <c r="W94" s="89">
        <v>1</v>
      </c>
      <c r="Y94" s="205" t="s">
        <v>71</v>
      </c>
      <c r="Z94" s="206"/>
      <c r="AA94" s="207"/>
      <c r="AB94" s="205">
        <f>(AB92)-((T104/10)*P93)-((U104/10)*P94)-((V104/10)*P95)</f>
        <v>9.5582125485484282E-2</v>
      </c>
      <c r="AC94" s="206"/>
      <c r="AD94" s="207"/>
    </row>
    <row r="95" spans="1:33" x14ac:dyDescent="0.3">
      <c r="A95" s="86">
        <v>10</v>
      </c>
      <c r="B95" s="32">
        <v>0.55000000000000004</v>
      </c>
      <c r="C95" s="89">
        <v>2</v>
      </c>
      <c r="H95" s="86">
        <v>3</v>
      </c>
      <c r="I95" s="32">
        <v>1</v>
      </c>
      <c r="J95" s="89">
        <v>1</v>
      </c>
      <c r="O95" s="84" t="s">
        <v>61</v>
      </c>
      <c r="P95" s="84">
        <f>-((V94+V95+V102+V103)/(V104)*LOG((UV4+V95+V102+V103)/(V104),2))-((V92+V98+V99+V100)/(V104)*LOG((V92+V98+V99+V100)/(V104),2))-((V93+V96+V97+V101)/(V104)*LOG((V93+V96+V97+V101)/(V104),2))</f>
        <v>1.3851895111879828</v>
      </c>
      <c r="R95" s="86">
        <v>5</v>
      </c>
      <c r="S95" s="86">
        <v>198</v>
      </c>
      <c r="T95" s="86">
        <v>0.7</v>
      </c>
      <c r="U95" s="86">
        <v>0.3</v>
      </c>
      <c r="V95" s="71">
        <v>0</v>
      </c>
      <c r="W95" s="89">
        <v>1</v>
      </c>
      <c r="Y95" s="199" t="s">
        <v>73</v>
      </c>
      <c r="Z95" s="200"/>
      <c r="AA95" s="201"/>
      <c r="AB95" s="199">
        <f>(AB92)-((AA90/12)*AF80)-((AB90/12)*AF81)</f>
        <v>0.19234493337719916</v>
      </c>
      <c r="AC95" s="200"/>
      <c r="AD95" s="201"/>
      <c r="AE95" s="202" t="s">
        <v>166</v>
      </c>
      <c r="AF95" s="203"/>
      <c r="AG95" s="203"/>
    </row>
    <row r="96" spans="1:33" x14ac:dyDescent="0.3">
      <c r="A96" s="86">
        <v>11</v>
      </c>
      <c r="B96" s="32">
        <v>0.9</v>
      </c>
      <c r="C96" s="89">
        <v>2</v>
      </c>
      <c r="D96" s="113"/>
      <c r="E96" s="80"/>
      <c r="F96" s="116"/>
      <c r="H96" s="86">
        <v>5</v>
      </c>
      <c r="I96" s="31">
        <v>0.95</v>
      </c>
      <c r="J96" s="89">
        <v>1</v>
      </c>
      <c r="R96" s="86">
        <v>7</v>
      </c>
      <c r="S96" s="86">
        <v>207</v>
      </c>
      <c r="T96" s="86">
        <v>0</v>
      </c>
      <c r="U96" s="86">
        <v>0.94285714285714284</v>
      </c>
      <c r="V96" s="71">
        <v>5.7142857142857141E-2</v>
      </c>
      <c r="W96" s="89">
        <v>3</v>
      </c>
      <c r="Y96" s="80"/>
      <c r="Z96" s="20"/>
      <c r="AA96" s="80"/>
      <c r="AB96" s="80"/>
      <c r="AD96" s="80"/>
      <c r="AE96" s="20"/>
    </row>
    <row r="97" spans="1:35" x14ac:dyDescent="0.3">
      <c r="A97" s="86">
        <v>13</v>
      </c>
      <c r="B97" s="31">
        <v>0.05</v>
      </c>
      <c r="C97" s="89">
        <v>3</v>
      </c>
      <c r="D97" s="80"/>
      <c r="E97" s="80"/>
      <c r="F97" s="117"/>
      <c r="H97" s="86">
        <v>7</v>
      </c>
      <c r="I97" s="32">
        <v>1</v>
      </c>
      <c r="J97" s="89">
        <v>3</v>
      </c>
      <c r="R97" s="86">
        <v>8</v>
      </c>
      <c r="S97" s="86">
        <v>290</v>
      </c>
      <c r="T97" s="86">
        <v>0</v>
      </c>
      <c r="U97" s="86">
        <v>0</v>
      </c>
      <c r="V97" s="71">
        <v>1</v>
      </c>
      <c r="W97" s="89">
        <v>3</v>
      </c>
      <c r="Y97" s="80"/>
      <c r="Z97" s="20"/>
      <c r="AA97" s="80"/>
      <c r="AB97" s="80"/>
      <c r="AD97" s="80"/>
      <c r="AE97" s="20"/>
    </row>
    <row r="98" spans="1:35" x14ac:dyDescent="0.3">
      <c r="A98" s="86">
        <v>14</v>
      </c>
      <c r="B98" s="32">
        <v>0.5</v>
      </c>
      <c r="C98" s="89">
        <v>1</v>
      </c>
      <c r="D98" s="80"/>
      <c r="E98" s="80"/>
      <c r="F98" s="117"/>
      <c r="H98" s="86">
        <v>8</v>
      </c>
      <c r="I98" s="32">
        <v>1</v>
      </c>
      <c r="J98" s="89">
        <v>3</v>
      </c>
      <c r="R98" s="86">
        <v>10</v>
      </c>
      <c r="S98" s="86">
        <v>256</v>
      </c>
      <c r="T98" s="86">
        <v>0</v>
      </c>
      <c r="U98" s="86">
        <v>0</v>
      </c>
      <c r="V98" s="71">
        <v>1</v>
      </c>
      <c r="W98" s="89">
        <v>2</v>
      </c>
      <c r="Y98" s="46" t="s">
        <v>101</v>
      </c>
      <c r="Z98" s="47"/>
      <c r="AB98" s="80"/>
      <c r="AC98" s="46" t="s">
        <v>102</v>
      </c>
      <c r="AD98" s="47"/>
      <c r="AG98" s="46"/>
      <c r="AH98" s="47"/>
    </row>
    <row r="99" spans="1:35" x14ac:dyDescent="0.3">
      <c r="A99" s="86">
        <v>15</v>
      </c>
      <c r="B99" s="33">
        <v>0.95</v>
      </c>
      <c r="C99" s="89">
        <v>1</v>
      </c>
      <c r="D99" s="80"/>
      <c r="E99" s="80"/>
      <c r="F99" s="117"/>
      <c r="H99" s="86">
        <v>10</v>
      </c>
      <c r="I99" s="32">
        <v>0.45</v>
      </c>
      <c r="J99" s="89">
        <v>2</v>
      </c>
      <c r="R99" s="86">
        <v>11</v>
      </c>
      <c r="S99" s="86">
        <v>209</v>
      </c>
      <c r="T99" s="86">
        <v>0</v>
      </c>
      <c r="U99" s="86">
        <v>0.88571428571428568</v>
      </c>
      <c r="V99" s="71">
        <v>0.11428571428571428</v>
      </c>
      <c r="W99" s="89">
        <v>2</v>
      </c>
      <c r="Y99" s="84" t="s">
        <v>81</v>
      </c>
      <c r="AA99" s="84" t="s">
        <v>85</v>
      </c>
      <c r="AB99" s="80"/>
      <c r="AC99" s="84" t="s">
        <v>81</v>
      </c>
      <c r="AE99" s="84" t="s">
        <v>85</v>
      </c>
    </row>
    <row r="100" spans="1:35" x14ac:dyDescent="0.3">
      <c r="D100" s="80"/>
      <c r="E100" s="80"/>
      <c r="F100" s="117"/>
      <c r="H100" s="86">
        <v>11</v>
      </c>
      <c r="I100" s="32">
        <v>0.1</v>
      </c>
      <c r="J100" s="89">
        <v>2</v>
      </c>
      <c r="R100" s="86">
        <v>12</v>
      </c>
      <c r="S100" s="86">
        <v>225</v>
      </c>
      <c r="T100" s="86">
        <v>0</v>
      </c>
      <c r="U100" s="86">
        <v>0.42857142857142855</v>
      </c>
      <c r="V100" s="71">
        <v>0.5714285714285714</v>
      </c>
      <c r="W100" s="89">
        <v>2</v>
      </c>
      <c r="Y100" s="90" t="s">
        <v>82</v>
      </c>
      <c r="Z100" s="90">
        <f>SUM(AA80,AA81,AA88,AA89)</f>
        <v>1.5</v>
      </c>
      <c r="AA100" s="90">
        <f>((Z100)/(Z100+Z101+Z102))*(100)</f>
        <v>42.253521126760567</v>
      </c>
      <c r="AB100" s="80"/>
      <c r="AC100" s="90" t="s">
        <v>82</v>
      </c>
      <c r="AD100" s="90">
        <f>SUM(AB80,AB81,AB88,AB89)</f>
        <v>2.5</v>
      </c>
      <c r="AE100" s="90">
        <f>((AD100)/(AD100+AD101+AD102))*(100)</f>
        <v>29.585798816568047</v>
      </c>
      <c r="AG100" s="90"/>
      <c r="AH100" s="90"/>
      <c r="AI100" s="90"/>
    </row>
    <row r="101" spans="1:35" x14ac:dyDescent="0.3">
      <c r="D101" s="80"/>
      <c r="E101" s="80"/>
      <c r="F101" s="117"/>
      <c r="H101" s="86">
        <v>12</v>
      </c>
      <c r="I101" s="31">
        <v>1</v>
      </c>
      <c r="J101" s="89">
        <v>2</v>
      </c>
      <c r="R101" s="86">
        <v>13</v>
      </c>
      <c r="S101" s="86">
        <v>295</v>
      </c>
      <c r="T101" s="86">
        <v>0</v>
      </c>
      <c r="U101" s="86">
        <v>0</v>
      </c>
      <c r="V101" s="71">
        <v>1</v>
      </c>
      <c r="W101" s="89">
        <v>3</v>
      </c>
      <c r="Y101" s="84" t="s">
        <v>83</v>
      </c>
      <c r="Z101" s="84">
        <f>SUM(AA78,AA84,AA85,AA86)</f>
        <v>2</v>
      </c>
      <c r="AA101" s="84">
        <f>((Z101)/(Z100+Z101+Z102))*(100)</f>
        <v>56.338028169014088</v>
      </c>
      <c r="AB101" s="80"/>
      <c r="AC101" s="84" t="s">
        <v>83</v>
      </c>
      <c r="AD101" s="84">
        <f>SUM(AB78,AB84,AB85,AB86)</f>
        <v>2</v>
      </c>
      <c r="AE101" s="84">
        <f>((AD101)/(AD100+AD101+AD102))*(100)</f>
        <v>23.668639053254438</v>
      </c>
    </row>
    <row r="102" spans="1:35" x14ac:dyDescent="0.3">
      <c r="D102" s="80"/>
      <c r="E102" s="80"/>
      <c r="F102" s="117"/>
      <c r="H102" s="86">
        <v>13</v>
      </c>
      <c r="I102" s="31">
        <v>0.95</v>
      </c>
      <c r="J102" s="89">
        <v>3</v>
      </c>
      <c r="R102" s="86">
        <v>14</v>
      </c>
      <c r="S102" s="86">
        <v>172</v>
      </c>
      <c r="T102" s="86">
        <v>1</v>
      </c>
      <c r="U102" s="86">
        <v>0</v>
      </c>
      <c r="V102" s="71">
        <v>0</v>
      </c>
      <c r="W102" s="89">
        <v>1</v>
      </c>
      <c r="Y102" s="84" t="s">
        <v>84</v>
      </c>
      <c r="Z102" s="84">
        <f>SUM(AA87)</f>
        <v>0.05</v>
      </c>
      <c r="AA102" s="84">
        <f>((Z102)/(Z100+Z101+Z102))*(100)</f>
        <v>1.4084507042253522</v>
      </c>
      <c r="AB102" s="80"/>
      <c r="AC102" s="84" t="s">
        <v>84</v>
      </c>
      <c r="AD102" s="84">
        <f>SUM(AB79,AB82,AB83,AB87)</f>
        <v>3.95</v>
      </c>
      <c r="AE102" s="84">
        <f>((AD102)/(AD100+AD101+AD102))*(100)</f>
        <v>46.745562130177518</v>
      </c>
    </row>
    <row r="103" spans="1:35" ht="13.8" customHeight="1" x14ac:dyDescent="0.3">
      <c r="H103" s="86">
        <v>14</v>
      </c>
      <c r="I103" s="32">
        <v>0.5</v>
      </c>
      <c r="J103" s="89">
        <v>1</v>
      </c>
      <c r="R103" s="86">
        <v>15</v>
      </c>
      <c r="S103" s="86">
        <v>222</v>
      </c>
      <c r="T103" s="86">
        <v>0</v>
      </c>
      <c r="U103" s="86">
        <v>0.51428571428571423</v>
      </c>
      <c r="V103" s="71">
        <v>0.48571428571428571</v>
      </c>
      <c r="W103" s="89">
        <v>1</v>
      </c>
      <c r="Y103" s="80"/>
      <c r="Z103" s="20"/>
      <c r="AA103" s="80"/>
      <c r="AB103" s="80"/>
      <c r="AD103" s="80"/>
      <c r="AE103" s="20"/>
    </row>
    <row r="104" spans="1:35" x14ac:dyDescent="0.3">
      <c r="H104" s="86">
        <v>15</v>
      </c>
      <c r="I104" s="33">
        <v>0.05</v>
      </c>
      <c r="J104" s="89">
        <v>1</v>
      </c>
      <c r="T104" s="80">
        <f>SUM(T92:T103)</f>
        <v>1.7</v>
      </c>
      <c r="U104" s="35">
        <f>SUM(U92:U103)</f>
        <v>4.6714285714285717</v>
      </c>
      <c r="V104" s="80">
        <f>SUM(V92:V103)</f>
        <v>5.628571428571429</v>
      </c>
      <c r="W104" s="80"/>
      <c r="Y104" s="80"/>
      <c r="Z104" s="20"/>
      <c r="AA104" s="80"/>
      <c r="AB104" s="80"/>
      <c r="AD104" s="80"/>
      <c r="AE104" s="20"/>
    </row>
    <row r="105" spans="1:35" ht="13.8" customHeight="1" x14ac:dyDescent="0.3">
      <c r="T105" s="80"/>
      <c r="U105" s="35"/>
      <c r="V105" s="80"/>
      <c r="W105" s="80"/>
      <c r="Y105" s="80"/>
      <c r="Z105" s="20"/>
      <c r="AA105" s="80"/>
      <c r="AB105" s="80"/>
      <c r="AD105" s="80"/>
      <c r="AE105" s="20"/>
    </row>
    <row r="106" spans="1:35" x14ac:dyDescent="0.3">
      <c r="O106" s="48" t="s">
        <v>77</v>
      </c>
      <c r="P106" s="86" t="s">
        <v>42</v>
      </c>
      <c r="Q106" s="86" t="s">
        <v>55</v>
      </c>
      <c r="R106" s="86" t="s">
        <v>43</v>
      </c>
      <c r="S106" s="86" t="s">
        <v>79</v>
      </c>
      <c r="T106" s="80"/>
      <c r="U106" s="35"/>
      <c r="V106" s="80"/>
      <c r="W106" s="80"/>
      <c r="Y106" s="80"/>
      <c r="Z106" s="20"/>
      <c r="AA106" s="80"/>
      <c r="AB106" s="80"/>
      <c r="AD106" s="80"/>
      <c r="AE106" s="20"/>
    </row>
    <row r="107" spans="1:35" x14ac:dyDescent="0.3">
      <c r="O107" s="86">
        <v>1</v>
      </c>
      <c r="P107" s="89">
        <v>52</v>
      </c>
      <c r="Q107" s="86">
        <v>0</v>
      </c>
      <c r="R107" s="86">
        <v>1</v>
      </c>
      <c r="S107" s="89">
        <v>2</v>
      </c>
      <c r="T107" s="80"/>
      <c r="U107" s="84" t="s">
        <v>68</v>
      </c>
      <c r="W107" s="80"/>
      <c r="X107" s="181" t="s">
        <v>63</v>
      </c>
      <c r="Y107" s="182"/>
      <c r="Z107" s="183"/>
      <c r="AA107" s="181">
        <f>-((3/7)*LOG((3/7),2))-((3/7)*LOG((3/7),2))-((1/7)*LOG((1/7),2))</f>
        <v>1.4488156357251847</v>
      </c>
      <c r="AB107" s="182"/>
      <c r="AC107" s="183"/>
      <c r="AD107" s="80"/>
      <c r="AE107" s="20"/>
    </row>
    <row r="108" spans="1:35" x14ac:dyDescent="0.3">
      <c r="O108" s="86">
        <v>5</v>
      </c>
      <c r="P108" s="89">
        <v>36</v>
      </c>
      <c r="Q108" s="86">
        <v>0.59259259259259256</v>
      </c>
      <c r="R108" s="86">
        <v>0.40740740740740738</v>
      </c>
      <c r="S108" s="89">
        <v>1</v>
      </c>
      <c r="T108" s="80"/>
      <c r="U108" s="84" t="s">
        <v>55</v>
      </c>
      <c r="V108" s="84">
        <f>-((Q108+Q113)/(Q114)*LOG((Q108+Q113)/(Q114),2))-((Q110)/(Q114)*LOG((Q110)/(Q114),2))-(0)</f>
        <v>0.85995304971775222</v>
      </c>
      <c r="W108" s="80"/>
      <c r="X108" s="181" t="s">
        <v>65</v>
      </c>
      <c r="Y108" s="182"/>
      <c r="Z108" s="183"/>
      <c r="AA108" s="181">
        <f>(AA107)-((Q114/7)*V108)-((R114/7)*V109)</f>
        <v>0.30375352926134525</v>
      </c>
      <c r="AB108" s="182"/>
      <c r="AC108" s="183"/>
      <c r="AD108" s="80"/>
      <c r="AE108" s="20"/>
    </row>
    <row r="109" spans="1:35" x14ac:dyDescent="0.3">
      <c r="O109" s="86">
        <v>10</v>
      </c>
      <c r="P109" s="89">
        <v>80</v>
      </c>
      <c r="Q109" s="86">
        <v>0</v>
      </c>
      <c r="R109" s="86">
        <v>1</v>
      </c>
      <c r="S109" s="89">
        <v>2</v>
      </c>
      <c r="T109" s="80"/>
      <c r="U109" s="84" t="s">
        <v>43</v>
      </c>
      <c r="V109" s="84">
        <f>-((R109)/(R114)*LOG((R109)/(R114),2))-((R108+R111)/(R114)*LOG((R108+R111)/(R114),2))-((R110)/(R114)*LOG((R110)/(R114),2))</f>
        <v>1.2776709700666709</v>
      </c>
      <c r="W109" s="80"/>
      <c r="X109" s="199" t="s">
        <v>71</v>
      </c>
      <c r="Y109" s="200"/>
      <c r="Z109" s="201"/>
      <c r="AA109" s="199">
        <f>(AA107)-((Q124/7)*V117)-((R124/7)*V118)-((S124/7)*V119)</f>
        <v>0.52525696295424562</v>
      </c>
      <c r="AB109" s="200"/>
      <c r="AC109" s="201"/>
      <c r="AD109" s="202" t="s">
        <v>166</v>
      </c>
      <c r="AE109" s="203"/>
      <c r="AF109" s="203"/>
    </row>
    <row r="110" spans="1:35" x14ac:dyDescent="0.3">
      <c r="O110" s="86">
        <v>11</v>
      </c>
      <c r="P110" s="89">
        <v>35</v>
      </c>
      <c r="Q110" s="86">
        <v>0.62962962962962965</v>
      </c>
      <c r="R110" s="86">
        <v>0.37037037037037035</v>
      </c>
      <c r="S110" s="89">
        <v>2</v>
      </c>
      <c r="T110" s="80"/>
      <c r="U110" s="35"/>
      <c r="V110" s="80"/>
      <c r="W110" s="80"/>
      <c r="Y110" s="80"/>
      <c r="Z110" s="20"/>
      <c r="AA110" s="80"/>
      <c r="AB110" s="80"/>
      <c r="AD110" s="80"/>
      <c r="AE110" s="20"/>
    </row>
    <row r="111" spans="1:35" x14ac:dyDescent="0.3">
      <c r="O111" s="86">
        <v>13</v>
      </c>
      <c r="P111" s="89">
        <v>66</v>
      </c>
      <c r="Q111" s="86">
        <v>0</v>
      </c>
      <c r="R111" s="86">
        <v>1</v>
      </c>
      <c r="S111" s="89">
        <v>3</v>
      </c>
      <c r="T111" s="80"/>
      <c r="U111" s="35"/>
      <c r="V111" s="80"/>
      <c r="W111" s="80"/>
      <c r="Y111" s="80"/>
      <c r="Z111" s="20"/>
      <c r="AA111" s="80"/>
      <c r="AB111" s="80"/>
      <c r="AD111" s="80"/>
      <c r="AE111" s="20"/>
    </row>
    <row r="112" spans="1:35" x14ac:dyDescent="0.3">
      <c r="O112" s="86">
        <v>14</v>
      </c>
      <c r="P112" s="89">
        <v>22</v>
      </c>
      <c r="Q112" s="86">
        <v>0</v>
      </c>
      <c r="R112" s="86">
        <v>1</v>
      </c>
      <c r="S112" s="89">
        <v>1</v>
      </c>
      <c r="T112" s="80"/>
      <c r="U112" s="35"/>
      <c r="V112" s="80"/>
      <c r="W112" s="80"/>
      <c r="Y112" s="80"/>
      <c r="Z112" s="20"/>
      <c r="AA112" s="80"/>
      <c r="AB112" s="80"/>
      <c r="AD112" s="80"/>
      <c r="AE112" s="20"/>
    </row>
    <row r="113" spans="1:34" x14ac:dyDescent="0.3">
      <c r="O113" s="86">
        <v>15</v>
      </c>
      <c r="P113" s="89">
        <v>22</v>
      </c>
      <c r="Q113" s="86">
        <v>1</v>
      </c>
      <c r="R113" s="86">
        <v>0</v>
      </c>
      <c r="S113" s="89">
        <v>1</v>
      </c>
      <c r="T113" s="80"/>
      <c r="U113" s="35"/>
      <c r="V113" s="80"/>
      <c r="W113" s="80"/>
      <c r="Y113" s="80"/>
      <c r="Z113" s="20"/>
      <c r="AA113" s="80"/>
      <c r="AB113" s="80"/>
      <c r="AD113" s="80"/>
      <c r="AE113" s="20"/>
    </row>
    <row r="114" spans="1:34" x14ac:dyDescent="0.3">
      <c r="Q114" s="84">
        <f>SUM(Q107:Q113)</f>
        <v>2.2222222222222223</v>
      </c>
      <c r="R114" s="84">
        <f>SUM(R107:R113)</f>
        <v>4.7777777777777777</v>
      </c>
      <c r="T114" s="80"/>
      <c r="U114" s="35"/>
      <c r="V114" s="80"/>
      <c r="W114" s="80"/>
      <c r="Y114" s="80"/>
      <c r="Z114" s="20"/>
      <c r="AA114" s="80"/>
      <c r="AB114" s="80"/>
      <c r="AD114" s="80"/>
      <c r="AE114" s="20"/>
    </row>
    <row r="115" spans="1:34" x14ac:dyDescent="0.3">
      <c r="T115" s="80"/>
      <c r="U115" s="35"/>
      <c r="V115" s="80"/>
      <c r="W115" s="80"/>
      <c r="Y115" s="80"/>
      <c r="Z115" s="20"/>
      <c r="AA115" s="80"/>
      <c r="AB115" s="80"/>
      <c r="AD115" s="80"/>
      <c r="AE115" s="20"/>
    </row>
    <row r="116" spans="1:34" x14ac:dyDescent="0.3">
      <c r="O116" s="48" t="s">
        <v>77</v>
      </c>
      <c r="P116" s="86" t="s">
        <v>59</v>
      </c>
      <c r="Q116" s="86" t="s">
        <v>44</v>
      </c>
      <c r="R116" s="86" t="s">
        <v>62</v>
      </c>
      <c r="S116" s="88" t="s">
        <v>61</v>
      </c>
      <c r="T116" s="86" t="s">
        <v>79</v>
      </c>
      <c r="U116" s="84" t="s">
        <v>72</v>
      </c>
      <c r="W116" s="80"/>
      <c r="X116" s="46" t="s">
        <v>101</v>
      </c>
      <c r="Y116" s="47"/>
      <c r="AA116" s="80"/>
      <c r="AB116" s="46" t="s">
        <v>196</v>
      </c>
      <c r="AC116" s="47"/>
      <c r="AE116" s="20"/>
      <c r="AF116" s="46" t="s">
        <v>100</v>
      </c>
      <c r="AG116" s="47"/>
    </row>
    <row r="117" spans="1:34" x14ac:dyDescent="0.3">
      <c r="O117" s="86">
        <v>1</v>
      </c>
      <c r="P117" s="86">
        <v>215</v>
      </c>
      <c r="Q117" s="86">
        <v>0</v>
      </c>
      <c r="R117" s="86">
        <v>0.7142857142857143</v>
      </c>
      <c r="S117" s="71">
        <v>0.2857142857142857</v>
      </c>
      <c r="T117" s="89">
        <v>2</v>
      </c>
      <c r="U117" s="84" t="s">
        <v>44</v>
      </c>
      <c r="V117" s="84">
        <f>-((Q118+Q122+Q123)/(Q124)*LOG((Q118+Q122+Q123)/(Q124),2))-((0)-(0))</f>
        <v>0</v>
      </c>
      <c r="W117" s="80"/>
      <c r="X117" s="84" t="s">
        <v>81</v>
      </c>
      <c r="Z117" s="84" t="s">
        <v>85</v>
      </c>
      <c r="AA117" s="80"/>
      <c r="AB117" s="84" t="s">
        <v>81</v>
      </c>
      <c r="AD117" s="84" t="s">
        <v>85</v>
      </c>
      <c r="AE117" s="20"/>
      <c r="AF117" s="84" t="s">
        <v>81</v>
      </c>
      <c r="AH117" s="84" t="s">
        <v>85</v>
      </c>
    </row>
    <row r="118" spans="1:34" x14ac:dyDescent="0.3">
      <c r="O118" s="86">
        <v>5</v>
      </c>
      <c r="P118" s="86">
        <v>198</v>
      </c>
      <c r="Q118" s="86">
        <v>0.7</v>
      </c>
      <c r="R118" s="86">
        <v>0.3</v>
      </c>
      <c r="S118" s="71">
        <v>0</v>
      </c>
      <c r="T118" s="89">
        <v>1</v>
      </c>
      <c r="U118" s="84" t="s">
        <v>194</v>
      </c>
      <c r="V118" s="84">
        <f>-((R118+R122+R123)/(R124)*LOG((R118+R122+R123)/(R124),2))-((R117+R119+R120)/(R124)*LOG((R117+R119+R120)/(R124),2))-(0)</f>
        <v>0.92219019321803086</v>
      </c>
      <c r="W118" s="80"/>
      <c r="X118" s="111" t="s">
        <v>82</v>
      </c>
      <c r="Y118" s="111">
        <f>SUM(Q118,Q122)</f>
        <v>1.7</v>
      </c>
      <c r="Z118" s="111">
        <f>((Y118)/(Y118+Y119+Y120))*(100)</f>
        <v>100</v>
      </c>
      <c r="AA118" s="80"/>
      <c r="AB118" s="90" t="s">
        <v>82</v>
      </c>
      <c r="AC118" s="90">
        <f>SUM(R118,R123)</f>
        <v>0.81428571428571428</v>
      </c>
      <c r="AD118" s="90">
        <f>((AC118)/(AC118+AC119+AC120))*(100)</f>
        <v>33.727810650887569</v>
      </c>
      <c r="AE118" s="20"/>
      <c r="AF118" s="90" t="s">
        <v>82</v>
      </c>
      <c r="AG118" s="90">
        <f>SUM(S123)</f>
        <v>0.48571428571428571</v>
      </c>
      <c r="AH118" s="90">
        <f>((AG118)/(AG118+AG119+AG120))*(100)</f>
        <v>16.831683168316832</v>
      </c>
    </row>
    <row r="119" spans="1:34" x14ac:dyDescent="0.3">
      <c r="O119" s="86">
        <v>10</v>
      </c>
      <c r="P119" s="86">
        <v>256</v>
      </c>
      <c r="Q119" s="86">
        <v>0</v>
      </c>
      <c r="R119" s="86">
        <v>0</v>
      </c>
      <c r="S119" s="71">
        <v>1</v>
      </c>
      <c r="T119" s="89">
        <v>2</v>
      </c>
      <c r="U119" s="35" t="s">
        <v>195</v>
      </c>
      <c r="V119" s="80">
        <f>-((S118+S122+S123)/(S124)*LOG((S118+S122+S123)/(S124),2))-((S117+S119+S120)/(S124)*LOG((S117+S119+S120)/(S124),2))-((S121)/(S124)*LOG((S121)/(S124),2))</f>
        <v>1.4687802326926382</v>
      </c>
      <c r="W119" s="80"/>
      <c r="X119" s="90" t="s">
        <v>83</v>
      </c>
      <c r="Y119" s="90">
        <v>0</v>
      </c>
      <c r="Z119" s="90">
        <f>((Y119)/(Y118+Y119+Y120))*(100)</f>
        <v>0</v>
      </c>
      <c r="AA119" s="80"/>
      <c r="AB119" s="101" t="s">
        <v>83</v>
      </c>
      <c r="AC119" s="101">
        <f>SUM(R117,R120)</f>
        <v>1.6</v>
      </c>
      <c r="AD119" s="101">
        <f>((AC119)/(AC118+AC119+AC120))*(100)</f>
        <v>66.272189349112423</v>
      </c>
      <c r="AE119" s="20"/>
      <c r="AF119" s="90" t="s">
        <v>83</v>
      </c>
      <c r="AG119" s="90">
        <f>SUM(S117,S119,S120)</f>
        <v>1.4</v>
      </c>
      <c r="AH119" s="90">
        <f>((AG119)/(AG118+AG119+AG120))*(100)</f>
        <v>48.514851485148512</v>
      </c>
    </row>
    <row r="120" spans="1:34" x14ac:dyDescent="0.3">
      <c r="O120" s="86">
        <v>11</v>
      </c>
      <c r="P120" s="86">
        <v>209</v>
      </c>
      <c r="Q120" s="86">
        <v>0</v>
      </c>
      <c r="R120" s="86">
        <v>0.88571428571428568</v>
      </c>
      <c r="S120" s="71">
        <v>0.11428571428571428</v>
      </c>
      <c r="T120" s="89">
        <v>2</v>
      </c>
      <c r="U120" s="35"/>
      <c r="V120" s="80"/>
      <c r="W120" s="80"/>
      <c r="X120" s="84" t="s">
        <v>84</v>
      </c>
      <c r="Y120" s="84">
        <v>0</v>
      </c>
      <c r="Z120" s="84">
        <f>((Y120)/(Y118+Y119+Y120))*(100)</f>
        <v>0</v>
      </c>
      <c r="AA120" s="80"/>
      <c r="AB120" s="84" t="s">
        <v>84</v>
      </c>
      <c r="AC120" s="84">
        <f>SUM(0)</f>
        <v>0</v>
      </c>
      <c r="AD120" s="84">
        <f>((AC120)/(AC118+AC119+AC120))*(100)</f>
        <v>0</v>
      </c>
      <c r="AE120" s="20"/>
      <c r="AF120" s="84" t="s">
        <v>84</v>
      </c>
      <c r="AG120" s="84">
        <f>SUM(S121)</f>
        <v>1</v>
      </c>
      <c r="AH120" s="84">
        <f>((AG120)/(AG118+AG119+AG120))*(100)</f>
        <v>34.653465346534659</v>
      </c>
    </row>
    <row r="121" spans="1:34" x14ac:dyDescent="0.3">
      <c r="O121" s="86">
        <v>13</v>
      </c>
      <c r="P121" s="86">
        <v>295</v>
      </c>
      <c r="Q121" s="86">
        <v>0</v>
      </c>
      <c r="R121" s="86">
        <v>0</v>
      </c>
      <c r="S121" s="71">
        <v>1</v>
      </c>
      <c r="T121" s="89">
        <v>3</v>
      </c>
      <c r="U121" s="35"/>
      <c r="V121" s="80"/>
      <c r="W121" s="80"/>
      <c r="Y121" s="80"/>
      <c r="Z121" s="20"/>
      <c r="AA121" s="80"/>
      <c r="AB121" s="80"/>
      <c r="AD121" s="80"/>
      <c r="AE121" s="20"/>
    </row>
    <row r="122" spans="1:34" x14ac:dyDescent="0.3">
      <c r="O122" s="86">
        <v>14</v>
      </c>
      <c r="P122" s="86">
        <v>172</v>
      </c>
      <c r="Q122" s="86">
        <v>1</v>
      </c>
      <c r="R122" s="86">
        <v>0</v>
      </c>
      <c r="S122" s="71">
        <v>0</v>
      </c>
      <c r="T122" s="89">
        <v>1</v>
      </c>
      <c r="U122" s="35"/>
      <c r="V122" s="80"/>
      <c r="W122" s="80"/>
      <c r="Y122" s="80"/>
      <c r="Z122" s="20"/>
      <c r="AA122" s="80"/>
      <c r="AB122" s="80"/>
      <c r="AD122" s="80"/>
      <c r="AE122" s="20"/>
    </row>
    <row r="123" spans="1:34" x14ac:dyDescent="0.3">
      <c r="O123" s="86">
        <v>15</v>
      </c>
      <c r="P123" s="86">
        <v>222</v>
      </c>
      <c r="Q123" s="86">
        <v>0</v>
      </c>
      <c r="R123" s="86">
        <v>0.51428571428571423</v>
      </c>
      <c r="S123" s="71">
        <v>0.48571428571428571</v>
      </c>
      <c r="T123" s="89">
        <v>1</v>
      </c>
      <c r="U123" s="35"/>
      <c r="V123" s="80"/>
      <c r="W123" s="80"/>
      <c r="Y123" s="80"/>
      <c r="Z123" s="20"/>
      <c r="AA123" s="80"/>
      <c r="AB123" s="80"/>
      <c r="AD123" s="80"/>
      <c r="AE123" s="20"/>
    </row>
    <row r="124" spans="1:34" x14ac:dyDescent="0.3">
      <c r="Q124" s="84">
        <f>SUM(Q117:Q123)</f>
        <v>1.7</v>
      </c>
      <c r="R124" s="84">
        <f>SUM(R117:R123)</f>
        <v>2.4142857142857141</v>
      </c>
      <c r="S124" s="84">
        <f>SUM(S117:S123)</f>
        <v>2.8857142857142857</v>
      </c>
      <c r="T124" s="80"/>
      <c r="U124" s="35"/>
      <c r="V124" s="80"/>
      <c r="W124" s="80"/>
      <c r="Y124" s="80"/>
      <c r="Z124" s="20"/>
      <c r="AA124" s="80"/>
      <c r="AB124" s="80"/>
      <c r="AD124" s="80"/>
      <c r="AE124" s="20"/>
    </row>
    <row r="125" spans="1:34" x14ac:dyDescent="0.3">
      <c r="T125" s="80"/>
      <c r="U125" s="35"/>
      <c r="V125" s="80"/>
      <c r="W125" s="80"/>
      <c r="Y125" s="80"/>
      <c r="Z125" s="20"/>
      <c r="AA125" s="80"/>
      <c r="AB125" s="80"/>
      <c r="AD125" s="80"/>
      <c r="AE125" s="20"/>
    </row>
    <row r="126" spans="1:34" x14ac:dyDescent="0.3"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94"/>
      <c r="V126" s="44"/>
      <c r="W126" s="44"/>
      <c r="X126" s="44"/>
      <c r="Y126" s="44"/>
      <c r="Z126" s="91"/>
      <c r="AA126" s="44"/>
      <c r="AB126" s="80"/>
    </row>
    <row r="127" spans="1:34" x14ac:dyDescent="0.3">
      <c r="K127" s="44"/>
      <c r="L127" s="95"/>
      <c r="M127" s="44"/>
      <c r="N127" s="96"/>
      <c r="O127" s="44"/>
      <c r="P127" s="96"/>
      <c r="Q127" s="44"/>
      <c r="R127" s="44"/>
      <c r="S127" s="44"/>
      <c r="T127" s="44"/>
      <c r="U127" s="94"/>
      <c r="V127" s="44"/>
      <c r="W127" s="44"/>
      <c r="X127" s="44"/>
      <c r="Y127" s="44"/>
      <c r="Z127" s="91"/>
      <c r="AA127" s="44"/>
      <c r="AB127" s="80"/>
    </row>
    <row r="128" spans="1:34" x14ac:dyDescent="0.3">
      <c r="A128" s="44"/>
      <c r="B128" s="44"/>
      <c r="C128" s="44"/>
      <c r="K128" s="44"/>
      <c r="L128" s="96"/>
      <c r="M128" s="91"/>
      <c r="N128" s="44"/>
      <c r="O128" s="44"/>
      <c r="P128" s="96"/>
      <c r="Q128" s="44"/>
      <c r="R128" s="44"/>
      <c r="S128" s="44"/>
      <c r="T128" s="190"/>
      <c r="U128" s="190"/>
      <c r="V128" s="44"/>
      <c r="W128" s="44"/>
      <c r="X128" s="44"/>
      <c r="Y128" s="44"/>
      <c r="Z128" s="91"/>
      <c r="AA128" s="44"/>
      <c r="AB128" s="80"/>
    </row>
    <row r="129" spans="1:28" x14ac:dyDescent="0.3">
      <c r="A129" s="44"/>
      <c r="B129" s="44"/>
      <c r="C129" s="44"/>
      <c r="K129" s="44"/>
      <c r="L129" s="96"/>
      <c r="M129" s="91"/>
      <c r="N129" s="44"/>
      <c r="O129" s="44"/>
      <c r="P129" s="96"/>
      <c r="Q129" s="44"/>
      <c r="R129" s="44"/>
      <c r="S129" s="44"/>
      <c r="T129" s="96"/>
      <c r="U129" s="96"/>
      <c r="V129" s="44"/>
      <c r="W129" s="44"/>
      <c r="X129" s="44"/>
      <c r="Y129" s="44"/>
      <c r="Z129" s="91"/>
      <c r="AA129" s="44"/>
      <c r="AB129" s="80"/>
    </row>
    <row r="130" spans="1:28" x14ac:dyDescent="0.3">
      <c r="A130" s="44"/>
      <c r="B130" s="44"/>
      <c r="C130" s="44"/>
      <c r="K130" s="44"/>
      <c r="L130" s="96"/>
      <c r="M130" s="91"/>
      <c r="N130" s="44"/>
      <c r="O130" s="44"/>
      <c r="P130" s="96"/>
      <c r="Q130" s="44"/>
      <c r="R130" s="44"/>
      <c r="S130" s="44"/>
      <c r="T130" s="96"/>
      <c r="U130" s="96"/>
      <c r="V130" s="44"/>
      <c r="W130" s="44"/>
      <c r="X130" s="44"/>
      <c r="Y130" s="44"/>
      <c r="Z130" s="91"/>
      <c r="AA130" s="44"/>
      <c r="AB130" s="80"/>
    </row>
    <row r="131" spans="1:28" x14ac:dyDescent="0.3">
      <c r="A131" s="44"/>
      <c r="B131" s="44"/>
      <c r="C131" s="44"/>
      <c r="K131" s="44"/>
      <c r="L131" s="96"/>
      <c r="M131" s="91"/>
      <c r="N131" s="44"/>
      <c r="O131" s="44"/>
      <c r="P131" s="96"/>
      <c r="Q131" s="44"/>
      <c r="R131" s="44"/>
      <c r="S131" s="44"/>
      <c r="T131" s="96"/>
      <c r="U131" s="96"/>
      <c r="V131" s="44"/>
      <c r="W131" s="44"/>
      <c r="X131" s="44"/>
      <c r="Y131" s="44"/>
      <c r="Z131" s="91"/>
      <c r="AA131" s="44"/>
      <c r="AB131" s="80"/>
    </row>
    <row r="132" spans="1:28" x14ac:dyDescent="0.3">
      <c r="A132" s="44"/>
      <c r="B132" s="44"/>
      <c r="C132" s="44"/>
      <c r="K132" s="44"/>
      <c r="L132" s="96"/>
      <c r="M132" s="91"/>
      <c r="N132" s="44"/>
      <c r="O132" s="44"/>
      <c r="P132" s="96"/>
      <c r="Q132" s="44"/>
      <c r="R132" s="44"/>
      <c r="S132" s="44"/>
      <c r="T132" s="96"/>
      <c r="U132" s="96"/>
      <c r="V132" s="44"/>
      <c r="W132" s="44"/>
      <c r="X132" s="44"/>
      <c r="Y132" s="44"/>
      <c r="Z132" s="91"/>
      <c r="AA132" s="44"/>
      <c r="AB132" s="80"/>
    </row>
    <row r="133" spans="1:28" x14ac:dyDescent="0.3">
      <c r="A133" s="95"/>
      <c r="B133" s="44"/>
      <c r="C133" s="44"/>
      <c r="K133" s="44"/>
      <c r="L133" s="96"/>
      <c r="M133" s="91"/>
      <c r="N133" s="44"/>
      <c r="O133" s="44"/>
      <c r="P133" s="96"/>
      <c r="Q133" s="44"/>
      <c r="R133" s="44"/>
      <c r="S133" s="44"/>
      <c r="T133" s="96"/>
      <c r="U133" s="96"/>
      <c r="V133" s="44"/>
      <c r="W133" s="44"/>
      <c r="X133" s="44"/>
      <c r="Y133" s="44"/>
      <c r="Z133" s="91"/>
      <c r="AA133" s="44"/>
      <c r="AB133" s="80"/>
    </row>
    <row r="134" spans="1:28" x14ac:dyDescent="0.3">
      <c r="A134" s="44"/>
      <c r="B134" s="44"/>
      <c r="C134" s="91"/>
      <c r="F134" s="48" t="s">
        <v>77</v>
      </c>
      <c r="G134" s="45" t="s">
        <v>61</v>
      </c>
      <c r="H134" s="87" t="s">
        <v>79</v>
      </c>
      <c r="K134" s="44"/>
      <c r="L134" s="96"/>
      <c r="M134" s="91"/>
      <c r="N134" s="44"/>
      <c r="O134" s="44"/>
      <c r="P134" s="96"/>
      <c r="Q134" s="44"/>
      <c r="R134" s="44"/>
      <c r="S134" s="44"/>
      <c r="T134" s="96"/>
      <c r="U134" s="96"/>
      <c r="V134" s="44"/>
      <c r="W134" s="44"/>
      <c r="X134" s="44"/>
      <c r="Y134" s="44"/>
      <c r="Z134" s="91"/>
      <c r="AA134" s="44"/>
      <c r="AB134" s="80"/>
    </row>
    <row r="135" spans="1:28" x14ac:dyDescent="0.3">
      <c r="A135" s="44"/>
      <c r="B135" s="44"/>
      <c r="C135" s="91"/>
      <c r="F135" s="87">
        <v>1</v>
      </c>
      <c r="G135" s="66">
        <v>0.2857142857142857</v>
      </c>
      <c r="H135" s="89">
        <v>2</v>
      </c>
      <c r="K135" s="44"/>
      <c r="L135" s="96"/>
      <c r="M135" s="91"/>
      <c r="N135" s="44"/>
      <c r="O135" s="44"/>
      <c r="P135" s="96"/>
      <c r="Q135" s="44"/>
      <c r="R135" s="44"/>
      <c r="S135" s="44"/>
      <c r="T135" s="96"/>
      <c r="U135" s="96"/>
      <c r="V135" s="44"/>
      <c r="W135" s="44"/>
      <c r="X135" s="44"/>
      <c r="Y135" s="44"/>
      <c r="Z135" s="91"/>
      <c r="AA135" s="44"/>
      <c r="AB135" s="80"/>
    </row>
    <row r="136" spans="1:28" x14ac:dyDescent="0.3">
      <c r="A136" s="44"/>
      <c r="B136" s="44"/>
      <c r="C136" s="44"/>
      <c r="F136" s="87">
        <v>10</v>
      </c>
      <c r="G136" s="66">
        <v>1</v>
      </c>
      <c r="H136" s="89">
        <v>2</v>
      </c>
      <c r="K136" s="44"/>
      <c r="L136" s="96"/>
      <c r="M136" s="91"/>
      <c r="N136" s="44"/>
      <c r="O136" s="44"/>
      <c r="P136" s="96"/>
      <c r="Q136" s="44"/>
      <c r="R136" s="44"/>
      <c r="S136" s="44"/>
      <c r="T136" s="96"/>
      <c r="U136" s="96"/>
      <c r="V136" s="44"/>
      <c r="W136" s="44"/>
      <c r="X136" s="44"/>
      <c r="Y136" s="44"/>
      <c r="Z136" s="91"/>
      <c r="AA136" s="44"/>
      <c r="AB136" s="80"/>
    </row>
    <row r="137" spans="1:28" x14ac:dyDescent="0.3">
      <c r="A137" s="44"/>
      <c r="B137" s="44"/>
      <c r="C137" s="44"/>
      <c r="F137" s="87">
        <v>11</v>
      </c>
      <c r="G137" s="66">
        <v>0.11428571428571428</v>
      </c>
      <c r="H137" s="89">
        <v>2</v>
      </c>
      <c r="K137" s="44"/>
      <c r="L137" s="96"/>
      <c r="M137" s="91"/>
      <c r="N137" s="44"/>
      <c r="O137" s="44"/>
      <c r="P137" s="96"/>
      <c r="Q137" s="44"/>
      <c r="R137" s="44"/>
      <c r="S137" s="44"/>
      <c r="T137" s="96"/>
      <c r="U137" s="96"/>
      <c r="V137" s="44"/>
      <c r="W137" s="44"/>
      <c r="X137" s="44"/>
      <c r="Y137" s="44"/>
      <c r="Z137" s="91"/>
      <c r="AA137" s="44"/>
      <c r="AB137" s="80"/>
    </row>
    <row r="138" spans="1:28" x14ac:dyDescent="0.3">
      <c r="A138" s="44"/>
      <c r="B138" s="44"/>
      <c r="C138" s="44"/>
      <c r="F138" s="87">
        <v>13</v>
      </c>
      <c r="G138" s="66">
        <v>1</v>
      </c>
      <c r="H138" s="89">
        <v>3</v>
      </c>
      <c r="K138" s="44"/>
      <c r="L138" s="96"/>
      <c r="M138" s="91"/>
      <c r="N138" s="44"/>
      <c r="O138" s="44"/>
      <c r="P138" s="96"/>
      <c r="Q138" s="44"/>
      <c r="R138" s="44"/>
      <c r="S138" s="44"/>
      <c r="T138" s="96"/>
      <c r="U138" s="96"/>
      <c r="V138" s="44"/>
      <c r="W138" s="44"/>
      <c r="X138" s="44"/>
      <c r="Y138" s="44"/>
      <c r="Z138" s="91"/>
      <c r="AA138" s="44"/>
      <c r="AB138" s="80"/>
    </row>
    <row r="139" spans="1:28" x14ac:dyDescent="0.3">
      <c r="A139" s="44"/>
      <c r="B139" s="44"/>
      <c r="C139" s="44"/>
      <c r="F139" s="87">
        <v>15</v>
      </c>
      <c r="G139" s="66">
        <v>0.48571428571428571</v>
      </c>
      <c r="H139" s="89">
        <v>1</v>
      </c>
      <c r="K139" s="44"/>
      <c r="L139" s="96"/>
      <c r="M139" s="91"/>
      <c r="N139" s="44"/>
      <c r="O139" s="44"/>
      <c r="P139" s="96"/>
      <c r="Q139" s="44"/>
      <c r="R139" s="44"/>
      <c r="S139" s="44"/>
      <c r="T139" s="96"/>
      <c r="U139" s="96"/>
      <c r="V139" s="44"/>
      <c r="W139" s="44"/>
      <c r="X139" s="44"/>
      <c r="Y139" s="44"/>
      <c r="Z139" s="91"/>
      <c r="AA139" s="44"/>
      <c r="AB139" s="80"/>
    </row>
    <row r="140" spans="1:28" x14ac:dyDescent="0.3">
      <c r="A140" s="44"/>
      <c r="B140" s="44"/>
      <c r="C140" s="44"/>
      <c r="K140" s="44"/>
      <c r="L140" s="96"/>
      <c r="M140" s="91"/>
      <c r="N140" s="44"/>
      <c r="O140" s="44"/>
      <c r="P140" s="96"/>
      <c r="Q140" s="44"/>
      <c r="R140" s="44"/>
      <c r="S140" s="44"/>
      <c r="T140" s="96"/>
      <c r="U140" s="96"/>
      <c r="V140" s="44"/>
      <c r="W140" s="44"/>
      <c r="X140" s="44"/>
      <c r="Y140" s="44"/>
      <c r="Z140" s="91"/>
      <c r="AA140" s="44"/>
      <c r="AB140" s="80"/>
    </row>
    <row r="141" spans="1:28" x14ac:dyDescent="0.3">
      <c r="A141" s="44"/>
      <c r="B141" s="44"/>
      <c r="C141" s="44"/>
      <c r="K141" s="44"/>
      <c r="L141" s="96"/>
      <c r="M141" s="91"/>
      <c r="N141" s="44"/>
      <c r="O141" s="44"/>
      <c r="P141" s="96"/>
      <c r="Q141" s="44"/>
      <c r="R141" s="44"/>
      <c r="S141" s="44"/>
      <c r="T141" s="96"/>
      <c r="U141" s="96"/>
      <c r="V141" s="44"/>
      <c r="W141" s="44"/>
      <c r="X141" s="44"/>
      <c r="Y141" s="44"/>
      <c r="Z141" s="91"/>
      <c r="AA141" s="44"/>
      <c r="AB141" s="80"/>
    </row>
    <row r="142" spans="1:28" x14ac:dyDescent="0.3">
      <c r="A142" s="44"/>
      <c r="B142" s="44"/>
      <c r="C142" s="44"/>
      <c r="K142" s="44"/>
      <c r="L142" s="96"/>
      <c r="M142" s="91"/>
      <c r="N142" s="44"/>
      <c r="O142" s="44"/>
      <c r="P142" s="96"/>
      <c r="Q142" s="44"/>
      <c r="R142" s="44"/>
      <c r="S142" s="44"/>
      <c r="T142" s="96"/>
      <c r="U142" s="96"/>
      <c r="V142" s="44"/>
      <c r="W142" s="44"/>
      <c r="X142" s="44"/>
      <c r="Y142" s="44"/>
      <c r="Z142" s="91"/>
      <c r="AA142" s="44"/>
      <c r="AB142" s="80"/>
    </row>
    <row r="143" spans="1:28" x14ac:dyDescent="0.3">
      <c r="A143" s="44"/>
      <c r="B143" s="44"/>
      <c r="C143" s="44"/>
      <c r="E143" s="44"/>
      <c r="F143" s="44"/>
      <c r="G143" s="44"/>
      <c r="K143" s="44"/>
      <c r="L143" s="96"/>
      <c r="M143" s="91"/>
      <c r="N143" s="44"/>
      <c r="O143" s="44"/>
      <c r="P143" s="96"/>
      <c r="Q143" s="44"/>
      <c r="R143" s="44"/>
      <c r="S143" s="44"/>
      <c r="T143" s="190"/>
      <c r="U143" s="190"/>
      <c r="V143" s="44"/>
      <c r="W143" s="44"/>
      <c r="X143" s="44"/>
      <c r="Y143" s="44"/>
      <c r="Z143" s="91"/>
      <c r="AA143" s="44"/>
      <c r="AB143" s="80"/>
    </row>
    <row r="144" spans="1:28" x14ac:dyDescent="0.3">
      <c r="A144" s="44"/>
      <c r="B144" s="44"/>
      <c r="C144" s="44"/>
      <c r="E144" s="44"/>
      <c r="F144" s="44"/>
      <c r="G144" s="44"/>
      <c r="K144" s="44"/>
      <c r="L144" s="96"/>
      <c r="M144" s="91"/>
      <c r="N144" s="44"/>
      <c r="O144" s="44"/>
      <c r="P144" s="96"/>
      <c r="Q144" s="44"/>
      <c r="R144" s="44"/>
      <c r="S144" s="44"/>
      <c r="T144" s="190"/>
      <c r="U144" s="190"/>
      <c r="V144" s="44"/>
      <c r="W144" s="44"/>
      <c r="X144" s="44"/>
      <c r="Y144" s="44"/>
      <c r="Z144" s="44"/>
      <c r="AA144" s="44"/>
    </row>
    <row r="145" spans="1:54" x14ac:dyDescent="0.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</row>
    <row r="146" spans="1:54" x14ac:dyDescent="0.3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</row>
    <row r="147" spans="1:54" x14ac:dyDescent="0.3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</row>
    <row r="148" spans="1:54" x14ac:dyDescent="0.3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</row>
    <row r="149" spans="1:54" x14ac:dyDescent="0.3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</row>
    <row r="150" spans="1:54" x14ac:dyDescent="0.3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</row>
    <row r="151" spans="1:54" x14ac:dyDescent="0.3">
      <c r="A151" s="95"/>
      <c r="B151" s="44"/>
      <c r="C151" s="112"/>
      <c r="D151" s="44"/>
      <c r="E151" s="44"/>
      <c r="F151" s="95"/>
      <c r="G151" s="44"/>
      <c r="H151" s="112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</row>
    <row r="152" spans="1:54" x14ac:dyDescent="0.3">
      <c r="A152" s="44"/>
      <c r="B152" s="44"/>
      <c r="C152" s="118"/>
      <c r="D152" s="44"/>
      <c r="E152" s="44"/>
      <c r="F152" s="44"/>
      <c r="G152" s="44"/>
      <c r="H152" s="118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</row>
    <row r="153" spans="1:54" x14ac:dyDescent="0.3">
      <c r="A153" s="44"/>
      <c r="B153" s="44"/>
      <c r="C153" s="118"/>
      <c r="D153" s="44"/>
      <c r="E153" s="44"/>
      <c r="F153" s="44"/>
      <c r="G153" s="44"/>
      <c r="H153" s="118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</row>
    <row r="154" spans="1:54" x14ac:dyDescent="0.3">
      <c r="A154" s="44"/>
      <c r="B154" s="44"/>
      <c r="C154" s="118"/>
      <c r="D154" s="44"/>
      <c r="E154" s="44"/>
      <c r="F154" s="44"/>
      <c r="G154" s="44"/>
      <c r="H154" s="118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</row>
    <row r="155" spans="1:54" x14ac:dyDescent="0.3">
      <c r="A155" s="44"/>
      <c r="B155" s="44"/>
      <c r="C155" s="118"/>
      <c r="D155" s="44"/>
      <c r="E155" s="44"/>
      <c r="F155" s="44"/>
      <c r="G155" s="44"/>
      <c r="H155" s="118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190"/>
      <c r="AW155" s="190"/>
      <c r="AX155" s="190"/>
      <c r="AY155" s="44"/>
      <c r="AZ155" s="44"/>
      <c r="BA155" s="44"/>
      <c r="BB155" s="44"/>
    </row>
    <row r="156" spans="1:54" x14ac:dyDescent="0.3">
      <c r="A156" s="44"/>
      <c r="B156" s="44"/>
      <c r="C156" s="44"/>
      <c r="D156" s="44"/>
      <c r="E156" s="44"/>
      <c r="F156" s="44"/>
      <c r="G156" s="44"/>
      <c r="H156" s="118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190"/>
      <c r="AW156" s="190"/>
      <c r="AX156" s="190"/>
      <c r="AY156" s="44"/>
      <c r="AZ156" s="44"/>
      <c r="BA156" s="44"/>
      <c r="BB156" s="44"/>
    </row>
    <row r="157" spans="1:54" x14ac:dyDescent="0.3"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190"/>
      <c r="AW157" s="190"/>
      <c r="AX157" s="190"/>
      <c r="AY157" s="44"/>
      <c r="AZ157" s="44"/>
      <c r="BA157" s="44"/>
      <c r="BB157" s="44"/>
    </row>
    <row r="158" spans="1:54" x14ac:dyDescent="0.3"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96"/>
      <c r="AM158" s="44"/>
      <c r="AN158" s="44"/>
      <c r="AO158" s="44"/>
      <c r="AP158" s="44"/>
      <c r="AQ158" s="44"/>
      <c r="AR158" s="44"/>
      <c r="AS158" s="44"/>
      <c r="AT158" s="44"/>
      <c r="AU158" s="44"/>
      <c r="AV158" s="190"/>
      <c r="AW158" s="190"/>
      <c r="AX158" s="190"/>
      <c r="AY158" s="44"/>
      <c r="AZ158" s="44"/>
      <c r="BA158" s="44"/>
      <c r="BB158" s="44"/>
    </row>
    <row r="159" spans="1:54" x14ac:dyDescent="0.3"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96"/>
      <c r="AM159" s="91"/>
      <c r="AN159" s="44"/>
      <c r="AO159" s="44"/>
      <c r="AP159" s="91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</row>
    <row r="160" spans="1:54" x14ac:dyDescent="0.3">
      <c r="M160" s="48" t="s">
        <v>77</v>
      </c>
      <c r="N160" s="86" t="s">
        <v>42</v>
      </c>
      <c r="O160" s="86" t="s">
        <v>55</v>
      </c>
      <c r="P160" s="86" t="s">
        <v>43</v>
      </c>
      <c r="Q160" s="86" t="s">
        <v>79</v>
      </c>
      <c r="R160" s="44"/>
      <c r="S160" s="84" t="s">
        <v>68</v>
      </c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96"/>
      <c r="AM160" s="91"/>
      <c r="AN160" s="44"/>
      <c r="AO160" s="44"/>
      <c r="AP160" s="91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</row>
    <row r="161" spans="13:54" x14ac:dyDescent="0.3">
      <c r="M161" s="87">
        <v>1</v>
      </c>
      <c r="N161" s="89">
        <v>52</v>
      </c>
      <c r="O161" s="86">
        <v>0</v>
      </c>
      <c r="P161" s="86">
        <v>1</v>
      </c>
      <c r="Q161" s="89">
        <v>2</v>
      </c>
      <c r="R161" s="44"/>
      <c r="S161" s="84" t="s">
        <v>55</v>
      </c>
      <c r="T161" s="84">
        <f>-((O165)/(O166)*LOG((O165)/(O166),2))-((O163)/(O166)*LOG((O163)/(O166),2))-(0)</f>
        <v>0.96241273546299233</v>
      </c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96"/>
      <c r="AM161" s="91"/>
      <c r="AN161" s="44"/>
      <c r="AO161" s="44"/>
      <c r="AP161" s="91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</row>
    <row r="162" spans="13:54" x14ac:dyDescent="0.3">
      <c r="M162" s="87">
        <v>10</v>
      </c>
      <c r="N162" s="89">
        <v>80</v>
      </c>
      <c r="O162" s="86">
        <v>0</v>
      </c>
      <c r="P162" s="86">
        <v>1</v>
      </c>
      <c r="Q162" s="89">
        <v>2</v>
      </c>
      <c r="R162" s="44"/>
      <c r="S162" s="84" t="s">
        <v>43</v>
      </c>
      <c r="T162" s="84">
        <f>-(0)-((P161+P162+P163)/(P166)*LOG((P161+P162+P163)/(P166),2))-((P164)/(P166)*LOG((P164)/(P166),2))</f>
        <v>0.87722362307327162</v>
      </c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96"/>
      <c r="AM162" s="91"/>
      <c r="AN162" s="44"/>
      <c r="AO162" s="44"/>
      <c r="AP162" s="91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</row>
    <row r="163" spans="13:54" x14ac:dyDescent="0.3">
      <c r="M163" s="87">
        <v>11</v>
      </c>
      <c r="N163" s="89">
        <v>35</v>
      </c>
      <c r="O163" s="86">
        <v>0.62962962962962965</v>
      </c>
      <c r="P163" s="86">
        <v>0.37037037037037035</v>
      </c>
      <c r="Q163" s="89">
        <v>2</v>
      </c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96"/>
      <c r="AH163" s="44"/>
      <c r="AI163" s="44"/>
      <c r="AJ163" s="44"/>
      <c r="AK163" s="44"/>
      <c r="AL163" s="96"/>
      <c r="AM163" s="91"/>
      <c r="AN163" s="44"/>
      <c r="AO163" s="44"/>
      <c r="AP163" s="91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</row>
    <row r="164" spans="13:54" x14ac:dyDescent="0.3">
      <c r="M164" s="87">
        <v>13</v>
      </c>
      <c r="N164" s="89">
        <v>66</v>
      </c>
      <c r="O164" s="86">
        <v>0</v>
      </c>
      <c r="P164" s="86">
        <v>1</v>
      </c>
      <c r="Q164" s="89">
        <v>3</v>
      </c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96"/>
      <c r="AC164" s="44"/>
      <c r="AD164" s="44"/>
      <c r="AE164" s="44"/>
      <c r="AF164" s="44"/>
      <c r="AG164" s="96"/>
      <c r="AH164" s="44"/>
      <c r="AI164" s="91"/>
      <c r="AJ164" s="44"/>
      <c r="AK164" s="44"/>
      <c r="AL164" s="96"/>
      <c r="AM164" s="91"/>
      <c r="AN164" s="44"/>
      <c r="AO164" s="44"/>
      <c r="AP164" s="91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</row>
    <row r="165" spans="13:54" x14ac:dyDescent="0.3">
      <c r="M165" s="87">
        <v>15</v>
      </c>
      <c r="N165" s="89">
        <v>22</v>
      </c>
      <c r="O165" s="86">
        <v>1</v>
      </c>
      <c r="P165" s="86">
        <v>0</v>
      </c>
      <c r="Q165" s="89">
        <v>1</v>
      </c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96"/>
      <c r="AC165" s="44"/>
      <c r="AD165" s="91"/>
      <c r="AE165" s="44"/>
      <c r="AF165" s="44"/>
      <c r="AG165" s="96"/>
      <c r="AH165" s="44"/>
      <c r="AI165" s="91"/>
      <c r="AJ165" s="44"/>
      <c r="AK165" s="44"/>
      <c r="AL165" s="96"/>
      <c r="AM165" s="91"/>
      <c r="AN165" s="44"/>
      <c r="AO165" s="44"/>
      <c r="AP165" s="91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</row>
    <row r="166" spans="13:54" x14ac:dyDescent="0.3">
      <c r="O166" s="44">
        <f>SUM(O161:O165)</f>
        <v>1.6296296296296298</v>
      </c>
      <c r="P166" s="44">
        <f>SUM(P161:P165)</f>
        <v>3.3703703703703702</v>
      </c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96"/>
      <c r="AC166" s="44"/>
      <c r="AD166" s="91"/>
      <c r="AE166" s="44"/>
      <c r="AF166" s="44"/>
      <c r="AG166" s="96"/>
      <c r="AH166" s="44"/>
      <c r="AI166" s="91"/>
      <c r="AJ166" s="44"/>
      <c r="AK166" s="44"/>
      <c r="AL166" s="96"/>
      <c r="AM166" s="91"/>
      <c r="AN166" s="44"/>
      <c r="AO166" s="44"/>
      <c r="AP166" s="91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</row>
    <row r="167" spans="13:54" x14ac:dyDescent="0.3"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96"/>
      <c r="AC167" s="44"/>
      <c r="AD167" s="91"/>
      <c r="AE167" s="44"/>
      <c r="AF167" s="44"/>
      <c r="AG167" s="96"/>
      <c r="AH167" s="44"/>
      <c r="AI167" s="96"/>
      <c r="AJ167" s="44"/>
      <c r="AK167" s="44"/>
      <c r="AL167" s="96"/>
      <c r="AM167" s="91"/>
      <c r="AN167" s="44"/>
      <c r="AO167" s="44"/>
      <c r="AP167" s="91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</row>
    <row r="168" spans="13:54" x14ac:dyDescent="0.3">
      <c r="M168" s="46" t="s">
        <v>111</v>
      </c>
      <c r="N168" s="47"/>
      <c r="P168" s="80"/>
      <c r="Q168" s="46" t="s">
        <v>112</v>
      </c>
      <c r="R168" s="47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96"/>
      <c r="AH168" s="44"/>
      <c r="AI168" s="91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</row>
    <row r="169" spans="13:54" x14ac:dyDescent="0.3">
      <c r="M169" s="84" t="s">
        <v>81</v>
      </c>
      <c r="O169" s="84" t="s">
        <v>85</v>
      </c>
      <c r="P169" s="80"/>
      <c r="Q169" s="84" t="s">
        <v>81</v>
      </c>
      <c r="S169" s="84" t="s">
        <v>85</v>
      </c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96"/>
      <c r="AH169" s="44"/>
      <c r="AI169" s="91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</row>
    <row r="170" spans="13:54" x14ac:dyDescent="0.3">
      <c r="M170" s="101" t="s">
        <v>82</v>
      </c>
      <c r="N170" s="101">
        <f>SUM(O165)</f>
        <v>1</v>
      </c>
      <c r="O170" s="101">
        <f>((N170)/(N170+N171+N172))*(100)</f>
        <v>61.363636363636353</v>
      </c>
      <c r="P170" s="80"/>
      <c r="Q170" s="90" t="s">
        <v>82</v>
      </c>
      <c r="R170" s="90">
        <f>SUM(P165)</f>
        <v>0</v>
      </c>
      <c r="S170" s="90">
        <f>((R170)/(R170+R171+R172))*(100)</f>
        <v>0</v>
      </c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96"/>
      <c r="AH170" s="44"/>
      <c r="AI170" s="91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</row>
    <row r="171" spans="13:54" x14ac:dyDescent="0.3">
      <c r="M171" s="90" t="s">
        <v>83</v>
      </c>
      <c r="N171" s="90">
        <f>SUM(O163)</f>
        <v>0.62962962962962965</v>
      </c>
      <c r="O171" s="90">
        <f>((N171)/(N170+N171+N172))*(100)</f>
        <v>38.636363636363633</v>
      </c>
      <c r="P171" s="80"/>
      <c r="Q171" s="101" t="s">
        <v>83</v>
      </c>
      <c r="R171" s="101">
        <f>SUM(P161:P163)</f>
        <v>2.3703703703703702</v>
      </c>
      <c r="S171" s="101">
        <f>((R171)/(R170+R171+R172))*(100)</f>
        <v>70.329670329670321</v>
      </c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96"/>
      <c r="AH171" s="44"/>
      <c r="AI171" s="91"/>
      <c r="AJ171" s="44"/>
      <c r="AK171" s="44"/>
      <c r="AL171" s="96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</row>
    <row r="172" spans="13:54" x14ac:dyDescent="0.3">
      <c r="M172" s="84" t="s">
        <v>84</v>
      </c>
      <c r="N172" s="84">
        <v>0</v>
      </c>
      <c r="O172" s="84">
        <f>((N172)/(N170+N171+N172))*(100)</f>
        <v>0</v>
      </c>
      <c r="P172" s="80"/>
      <c r="Q172" s="84" t="s">
        <v>84</v>
      </c>
      <c r="R172" s="84">
        <f>SUM(P164)</f>
        <v>1</v>
      </c>
      <c r="S172" s="84">
        <f>((R172)/(R170+R171+R172))*(100)</f>
        <v>29.670329670329672</v>
      </c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96"/>
      <c r="AH172" s="44"/>
      <c r="AI172" s="91"/>
      <c r="AJ172" s="44"/>
      <c r="AK172" s="44"/>
      <c r="AL172" s="96"/>
      <c r="AM172" s="44"/>
      <c r="AN172" s="44"/>
      <c r="AO172" s="44"/>
      <c r="AP172" s="91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</row>
    <row r="173" spans="13:54" x14ac:dyDescent="0.3"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96"/>
      <c r="AH173" s="44"/>
      <c r="AI173" s="91"/>
      <c r="AJ173" s="44"/>
      <c r="AK173" s="44"/>
      <c r="AL173" s="96"/>
      <c r="AM173" s="44"/>
      <c r="AN173" s="44"/>
      <c r="AO173" s="44"/>
      <c r="AP173" s="91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</row>
    <row r="174" spans="13:54" x14ac:dyDescent="0.3"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96"/>
      <c r="AM174" s="44"/>
      <c r="AN174" s="44"/>
      <c r="AO174" s="44"/>
      <c r="AP174" s="91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</row>
    <row r="175" spans="13:54" x14ac:dyDescent="0.3"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96"/>
      <c r="AM175" s="44"/>
      <c r="AN175" s="44"/>
      <c r="AO175" s="44"/>
      <c r="AP175" s="91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</row>
    <row r="176" spans="13:54" x14ac:dyDescent="0.3"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7"/>
      <c r="AD176" s="47"/>
      <c r="AE176" s="44"/>
      <c r="AF176" s="44"/>
      <c r="AG176" s="47"/>
      <c r="AH176" s="47"/>
      <c r="AI176" s="44"/>
      <c r="AJ176" s="44"/>
      <c r="AK176" s="44"/>
      <c r="AL176" s="96"/>
      <c r="AM176" s="44"/>
      <c r="AN176" s="44"/>
      <c r="AO176" s="44"/>
      <c r="AP176" s="91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</row>
    <row r="177" spans="15:54" x14ac:dyDescent="0.3"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96"/>
      <c r="AM177" s="44"/>
      <c r="AN177" s="44"/>
      <c r="AO177" s="44"/>
      <c r="AP177" s="91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</row>
    <row r="178" spans="15:54" x14ac:dyDescent="0.3"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96"/>
      <c r="AM178" s="44"/>
      <c r="AN178" s="44"/>
      <c r="AO178" s="44"/>
      <c r="AP178" s="91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</row>
    <row r="179" spans="15:54" x14ac:dyDescent="0.3"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190"/>
      <c r="AB179" s="190"/>
      <c r="AC179" s="44"/>
      <c r="AD179" s="44"/>
      <c r="AE179" s="44"/>
      <c r="AF179" s="44"/>
      <c r="AG179" s="44"/>
      <c r="AH179" s="44"/>
      <c r="AI179" s="44"/>
      <c r="AJ179" s="44"/>
      <c r="AK179" s="44"/>
      <c r="AL179" s="96"/>
      <c r="AM179" s="44"/>
      <c r="AN179" s="44"/>
      <c r="AO179" s="44"/>
      <c r="AP179" s="91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</row>
    <row r="180" spans="15:54" x14ac:dyDescent="0.3"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96"/>
      <c r="AM180" s="44"/>
      <c r="AN180" s="44"/>
      <c r="AO180" s="44"/>
      <c r="AP180" s="91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</row>
    <row r="181" spans="15:54" x14ac:dyDescent="0.3"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</row>
    <row r="182" spans="15:54" x14ac:dyDescent="0.3"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</row>
    <row r="183" spans="15:54" x14ac:dyDescent="0.3"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</row>
    <row r="184" spans="15:54" x14ac:dyDescent="0.3"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96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</row>
    <row r="185" spans="15:54" x14ac:dyDescent="0.3"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96"/>
      <c r="AM185" s="91"/>
      <c r="AN185" s="44"/>
      <c r="AO185" s="44"/>
      <c r="AP185" s="91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</row>
    <row r="186" spans="15:54" x14ac:dyDescent="0.3"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96"/>
      <c r="AM186" s="91"/>
      <c r="AN186" s="44"/>
      <c r="AO186" s="44"/>
      <c r="AP186" s="91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</row>
    <row r="187" spans="15:54" x14ac:dyDescent="0.3"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96"/>
      <c r="AM187" s="91"/>
      <c r="AN187" s="44"/>
      <c r="AO187" s="44"/>
      <c r="AP187" s="91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</row>
    <row r="188" spans="15:54" x14ac:dyDescent="0.3"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96"/>
      <c r="AM188" s="96"/>
      <c r="AN188" s="44"/>
      <c r="AO188" s="44"/>
      <c r="AP188" s="96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</row>
    <row r="189" spans="15:54" x14ac:dyDescent="0.3"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96"/>
      <c r="AM189" s="91"/>
      <c r="AN189" s="44"/>
      <c r="AO189" s="44"/>
      <c r="AP189" s="91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</row>
    <row r="190" spans="15:54" x14ac:dyDescent="0.3"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96"/>
      <c r="AM190" s="91"/>
      <c r="AN190" s="44"/>
      <c r="AO190" s="44"/>
      <c r="AP190" s="91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</row>
    <row r="191" spans="15:54" x14ac:dyDescent="0.3"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96"/>
      <c r="AM191" s="91"/>
      <c r="AN191" s="44"/>
      <c r="AO191" s="44"/>
      <c r="AP191" s="91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</row>
    <row r="192" spans="15:54" x14ac:dyDescent="0.3"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96"/>
      <c r="AM192" s="91"/>
      <c r="AN192" s="44"/>
      <c r="AO192" s="44"/>
      <c r="AP192" s="91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</row>
    <row r="193" spans="3:54" x14ac:dyDescent="0.3"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96"/>
      <c r="AM193" s="91"/>
      <c r="AN193" s="44"/>
      <c r="AO193" s="44"/>
      <c r="AP193" s="91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</row>
    <row r="194" spans="3:54" x14ac:dyDescent="0.3"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</row>
    <row r="195" spans="3:54" x14ac:dyDescent="0.3"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</row>
    <row r="196" spans="3:54" x14ac:dyDescent="0.3"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</row>
    <row r="197" spans="3:54" x14ac:dyDescent="0.3">
      <c r="C197" s="80"/>
      <c r="D197" s="80"/>
      <c r="E197" s="80"/>
      <c r="F197" s="80"/>
      <c r="G197" s="80"/>
      <c r="H197" s="80"/>
      <c r="I197" s="113"/>
      <c r="J197" s="35"/>
      <c r="K197" s="116"/>
      <c r="L197" s="80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</row>
    <row r="198" spans="3:54" x14ac:dyDescent="0.3">
      <c r="C198" s="80"/>
      <c r="D198" s="113"/>
      <c r="E198" s="44"/>
      <c r="F198" s="116"/>
      <c r="G198" s="80"/>
      <c r="H198" s="80"/>
      <c r="I198" s="80"/>
      <c r="J198" s="80"/>
      <c r="K198" s="117"/>
      <c r="L198" s="80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</row>
    <row r="199" spans="3:54" x14ac:dyDescent="0.3">
      <c r="C199" s="80"/>
      <c r="D199" s="80"/>
      <c r="E199" s="80"/>
      <c r="F199" s="117"/>
      <c r="G199" s="80"/>
      <c r="H199" s="80"/>
      <c r="I199" s="80"/>
      <c r="J199" s="80"/>
      <c r="K199" s="117"/>
      <c r="L199" s="80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</row>
    <row r="200" spans="3:54" x14ac:dyDescent="0.3">
      <c r="C200" s="80"/>
      <c r="D200" s="80"/>
      <c r="E200" s="80"/>
      <c r="F200" s="117"/>
      <c r="G200" s="80"/>
      <c r="H200" s="80"/>
      <c r="I200" s="80"/>
      <c r="J200" s="80"/>
      <c r="K200" s="117"/>
      <c r="L200" s="80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96"/>
      <c r="AM200" s="44"/>
      <c r="AN200" s="44"/>
      <c r="AO200" s="44"/>
      <c r="AP200" s="44"/>
      <c r="AQ200" s="44"/>
      <c r="AR200" s="44"/>
      <c r="AS200" s="44"/>
      <c r="AT200" s="44"/>
      <c r="AU200" s="190"/>
      <c r="AV200" s="190"/>
      <c r="AW200" s="190"/>
      <c r="AX200" s="44"/>
      <c r="AY200" s="44"/>
      <c r="AZ200" s="44"/>
      <c r="BA200" s="44"/>
      <c r="BB200" s="44"/>
    </row>
    <row r="201" spans="3:54" x14ac:dyDescent="0.3">
      <c r="C201" s="80"/>
      <c r="D201" s="80"/>
      <c r="E201" s="80"/>
      <c r="F201" s="80"/>
      <c r="G201" s="80"/>
      <c r="H201" s="80"/>
      <c r="I201" s="80"/>
      <c r="J201" s="80"/>
      <c r="K201" s="117"/>
      <c r="L201" s="80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96"/>
      <c r="AM201" s="91"/>
      <c r="AN201" s="44"/>
      <c r="AO201" s="44"/>
      <c r="AP201" s="91"/>
      <c r="AQ201" s="44"/>
      <c r="AR201" s="44"/>
      <c r="AS201" s="44"/>
      <c r="AT201" s="44"/>
      <c r="AU201" s="190"/>
      <c r="AV201" s="190"/>
      <c r="AW201" s="190"/>
      <c r="AX201" s="44"/>
      <c r="AY201" s="44"/>
      <c r="AZ201" s="44"/>
      <c r="BA201" s="44"/>
      <c r="BB201" s="44"/>
    </row>
    <row r="202" spans="3:54" x14ac:dyDescent="0.3"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96"/>
      <c r="AM202" s="91"/>
      <c r="AN202" s="44"/>
      <c r="AO202" s="44"/>
      <c r="AP202" s="91"/>
      <c r="AQ202" s="44"/>
      <c r="AR202" s="44"/>
      <c r="AS202" s="44"/>
      <c r="AT202" s="44"/>
      <c r="AU202" s="190"/>
      <c r="AV202" s="190"/>
      <c r="AW202" s="190"/>
      <c r="AX202" s="44"/>
      <c r="AY202" s="44"/>
      <c r="AZ202" s="44"/>
      <c r="BA202" s="44"/>
      <c r="BB202" s="44"/>
    </row>
    <row r="203" spans="3:54" x14ac:dyDescent="0.3"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96"/>
      <c r="AM203" s="91"/>
      <c r="AN203" s="44"/>
      <c r="AO203" s="44"/>
      <c r="AP203" s="91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</row>
    <row r="204" spans="3:54" x14ac:dyDescent="0.3">
      <c r="N204" s="95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</row>
    <row r="205" spans="3:54" x14ac:dyDescent="0.3">
      <c r="N205" s="44"/>
      <c r="R205" s="85" t="s">
        <v>46</v>
      </c>
      <c r="S205" s="86" t="s">
        <v>42</v>
      </c>
      <c r="T205" s="86" t="s">
        <v>55</v>
      </c>
      <c r="U205" s="86" t="s">
        <v>43</v>
      </c>
      <c r="V205" s="86" t="s">
        <v>79</v>
      </c>
      <c r="X205" s="44"/>
      <c r="Y205" s="91"/>
      <c r="Z205" s="44"/>
      <c r="AA205" s="44"/>
      <c r="AB205" s="44"/>
      <c r="AC205" s="44"/>
      <c r="AD205" s="44"/>
      <c r="AE205" s="91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</row>
    <row r="206" spans="3:54" x14ac:dyDescent="0.3">
      <c r="N206" s="44"/>
      <c r="R206" s="86">
        <v>1</v>
      </c>
      <c r="S206" s="89">
        <v>52</v>
      </c>
      <c r="T206" s="86">
        <v>0</v>
      </c>
      <c r="U206" s="86">
        <v>1</v>
      </c>
      <c r="V206" s="89">
        <v>2</v>
      </c>
      <c r="X206" s="44"/>
      <c r="Y206" s="44"/>
      <c r="Z206" s="91"/>
      <c r="AA206" s="44"/>
      <c r="AB206" s="44"/>
      <c r="AC206" s="91"/>
      <c r="AD206" s="44"/>
      <c r="AE206" s="91"/>
      <c r="AF206" s="44"/>
      <c r="AG206" s="44"/>
      <c r="AH206" s="44"/>
      <c r="AI206" s="44"/>
      <c r="AJ206" s="44"/>
      <c r="AK206" s="44"/>
      <c r="AL206" s="96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</row>
    <row r="207" spans="3:54" x14ac:dyDescent="0.3">
      <c r="N207" s="44"/>
      <c r="O207" s="84" t="s">
        <v>68</v>
      </c>
      <c r="R207" s="86">
        <v>2</v>
      </c>
      <c r="S207" s="89">
        <v>66</v>
      </c>
      <c r="T207" s="86">
        <v>0</v>
      </c>
      <c r="U207" s="86">
        <v>1</v>
      </c>
      <c r="V207" s="89">
        <v>3</v>
      </c>
      <c r="X207" s="44"/>
      <c r="Y207" s="44"/>
      <c r="Z207" s="91"/>
      <c r="AA207" s="44"/>
      <c r="AB207" s="44"/>
      <c r="AC207" s="91"/>
      <c r="AD207" s="44"/>
      <c r="AE207" s="44"/>
      <c r="AF207" s="44"/>
      <c r="AG207" s="44"/>
      <c r="AH207" s="44"/>
      <c r="AI207" s="44"/>
      <c r="AJ207" s="44"/>
      <c r="AK207" s="44"/>
      <c r="AL207" s="96"/>
      <c r="AM207" s="44"/>
      <c r="AN207" s="44"/>
      <c r="AO207" s="44"/>
      <c r="AP207" s="91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</row>
    <row r="208" spans="3:54" x14ac:dyDescent="0.3">
      <c r="N208" s="44"/>
      <c r="O208" s="84" t="s">
        <v>55</v>
      </c>
      <c r="P208" s="84">
        <f>-((T208+T209+T216+T217)/(T218)*LOG((T208+T209+T216+T217)/(T218),2))-((T206+T212+T213+T214)/(T218)*LOG((T206+T212+T213+T214)/(T218),2))-((T207+T210+T211+T215)/(T218)*LOG((T207+T210+T211+T215)/(T218),2))</f>
        <v>1.4274550231864671</v>
      </c>
      <c r="R208" s="86">
        <v>3</v>
      </c>
      <c r="S208" s="89">
        <v>56</v>
      </c>
      <c r="T208" s="86">
        <v>0</v>
      </c>
      <c r="U208" s="86">
        <v>1</v>
      </c>
      <c r="V208" s="89">
        <v>1</v>
      </c>
      <c r="X208" s="44"/>
      <c r="Y208" s="44"/>
      <c r="Z208" s="91"/>
      <c r="AA208" s="44"/>
      <c r="AB208" s="44"/>
      <c r="AC208" s="91"/>
      <c r="AD208" s="44"/>
      <c r="AE208" s="44"/>
      <c r="AF208" s="44"/>
      <c r="AG208" s="44"/>
      <c r="AH208" s="44"/>
      <c r="AI208" s="44"/>
      <c r="AJ208" s="44"/>
      <c r="AK208" s="44"/>
      <c r="AL208" s="96"/>
      <c r="AM208" s="44"/>
      <c r="AN208" s="44"/>
      <c r="AO208" s="44"/>
      <c r="AP208" s="91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</row>
    <row r="209" spans="13:54" x14ac:dyDescent="0.3">
      <c r="N209" s="44"/>
      <c r="O209" s="84" t="s">
        <v>43</v>
      </c>
      <c r="P209" s="84">
        <f>-((U208+U209+U216+U217)/(U218)*LOG((U208+U209+U216+U217)/(U218),2))-((U206+U212+U213+U214)/(U218)*LOG((U206+U212+U213+U214)/(U218),2))-((U207+U210+U211+U215)/(U218)*LOG((U207+U210+U211+U215)/(U218),2))</f>
        <v>1.5658137709581479</v>
      </c>
      <c r="R209" s="86">
        <v>5</v>
      </c>
      <c r="S209" s="89">
        <v>36</v>
      </c>
      <c r="T209" s="86">
        <v>0.59259259259259256</v>
      </c>
      <c r="U209" s="86">
        <v>0.40740740740740738</v>
      </c>
      <c r="V209" s="89">
        <v>1</v>
      </c>
      <c r="X209" s="44"/>
      <c r="Y209" s="44"/>
      <c r="Z209" s="91"/>
      <c r="AA209" s="44"/>
      <c r="AB209" s="44"/>
      <c r="AC209" s="91"/>
      <c r="AD209" s="44"/>
      <c r="AE209" s="44"/>
      <c r="AF209" s="44"/>
      <c r="AG209" s="44"/>
      <c r="AH209" s="44"/>
      <c r="AI209" s="44"/>
      <c r="AJ209" s="44"/>
      <c r="AK209" s="44"/>
      <c r="AL209" s="96"/>
      <c r="AM209" s="44"/>
      <c r="AN209" s="44"/>
      <c r="AO209" s="44"/>
      <c r="AP209" s="91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</row>
    <row r="210" spans="13:54" x14ac:dyDescent="0.3">
      <c r="M210" s="44"/>
      <c r="N210" s="44"/>
      <c r="R210" s="86">
        <v>7</v>
      </c>
      <c r="S210" s="89">
        <v>43</v>
      </c>
      <c r="T210" s="86">
        <v>0.33333333333333331</v>
      </c>
      <c r="U210" s="86">
        <v>0.66666666666666663</v>
      </c>
      <c r="V210" s="89">
        <v>3</v>
      </c>
      <c r="X210" s="44"/>
      <c r="Y210" s="44"/>
      <c r="Z210" s="91"/>
      <c r="AA210" s="44"/>
      <c r="AB210" s="44"/>
      <c r="AC210" s="91"/>
      <c r="AD210" s="44"/>
      <c r="AE210" s="91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</row>
    <row r="211" spans="13:54" x14ac:dyDescent="0.3">
      <c r="M211" s="44"/>
      <c r="N211" s="44"/>
      <c r="R211" s="86">
        <v>8</v>
      </c>
      <c r="S211" s="89">
        <v>49</v>
      </c>
      <c r="T211" s="86">
        <v>0.1111111111111111</v>
      </c>
      <c r="U211" s="86">
        <v>0.88888888888888884</v>
      </c>
      <c r="V211" s="89">
        <v>3</v>
      </c>
      <c r="X211" s="44"/>
      <c r="Y211" s="44"/>
      <c r="Z211" s="91"/>
      <c r="AA211" s="44"/>
      <c r="AB211" s="44"/>
      <c r="AC211" s="91"/>
      <c r="AD211" s="44"/>
      <c r="AE211" s="91"/>
      <c r="AF211" s="44"/>
      <c r="AG211" s="44"/>
      <c r="AU211" s="44"/>
      <c r="AV211" s="44"/>
      <c r="AW211" s="44"/>
      <c r="AX211" s="44"/>
      <c r="AY211" s="44"/>
      <c r="AZ211" s="44"/>
      <c r="BA211" s="44"/>
      <c r="BB211" s="44"/>
    </row>
    <row r="212" spans="13:54" x14ac:dyDescent="0.3">
      <c r="M212" s="44"/>
      <c r="N212" s="44"/>
      <c r="R212" s="86">
        <v>10</v>
      </c>
      <c r="S212" s="89">
        <v>80</v>
      </c>
      <c r="T212" s="86">
        <v>0</v>
      </c>
      <c r="U212" s="86">
        <v>1</v>
      </c>
      <c r="V212" s="89">
        <v>2</v>
      </c>
      <c r="X212" s="44"/>
      <c r="Y212" s="44"/>
      <c r="Z212" s="91"/>
      <c r="AA212" s="44"/>
      <c r="AB212" s="44"/>
      <c r="AC212" s="91"/>
      <c r="AD212" s="44"/>
      <c r="AE212" s="91"/>
      <c r="AF212" s="44"/>
      <c r="AG212" s="44"/>
      <c r="AU212" s="44"/>
      <c r="AV212" s="44"/>
      <c r="AW212" s="44"/>
      <c r="AX212" s="44"/>
      <c r="AY212" s="44"/>
      <c r="AZ212" s="44"/>
      <c r="BA212" s="44"/>
      <c r="BB212" s="44"/>
    </row>
    <row r="213" spans="13:54" x14ac:dyDescent="0.3">
      <c r="M213" s="44"/>
      <c r="N213" s="44"/>
      <c r="R213" s="86">
        <v>11</v>
      </c>
      <c r="S213" s="89">
        <v>35</v>
      </c>
      <c r="T213" s="86">
        <v>0.62962962962962965</v>
      </c>
      <c r="U213" s="86">
        <v>0.37037037037037035</v>
      </c>
      <c r="V213" s="89">
        <v>2</v>
      </c>
      <c r="X213" s="44"/>
      <c r="Y213" s="44"/>
      <c r="Z213" s="91"/>
      <c r="AA213" s="44"/>
      <c r="AB213" s="44"/>
      <c r="AC213" s="91"/>
      <c r="AD213" s="44"/>
      <c r="AE213" s="91"/>
      <c r="AF213" s="44"/>
      <c r="AG213" s="44"/>
      <c r="AU213" s="44"/>
      <c r="AV213" s="44"/>
      <c r="AW213" s="44"/>
      <c r="AX213" s="44"/>
      <c r="AY213" s="44"/>
      <c r="AZ213" s="44"/>
      <c r="BA213" s="44"/>
      <c r="BB213" s="44"/>
    </row>
    <row r="214" spans="13:54" x14ac:dyDescent="0.3">
      <c r="M214" s="44"/>
      <c r="N214" s="44"/>
      <c r="R214" s="86">
        <v>12</v>
      </c>
      <c r="S214" s="89">
        <v>36</v>
      </c>
      <c r="T214" s="86">
        <v>0.59259259259259256</v>
      </c>
      <c r="U214" s="86">
        <v>0.40740740740740738</v>
      </c>
      <c r="V214" s="89">
        <v>2</v>
      </c>
      <c r="X214" s="44"/>
      <c r="Y214" s="44"/>
      <c r="Z214" s="91"/>
      <c r="AA214" s="44"/>
      <c r="AB214" s="44"/>
      <c r="AC214" s="91"/>
      <c r="AD214" s="44"/>
      <c r="AE214" s="91"/>
      <c r="AF214" s="44"/>
      <c r="AG214" s="44"/>
      <c r="AU214" s="44"/>
      <c r="AV214" s="44"/>
      <c r="AW214" s="44"/>
      <c r="AX214" s="44"/>
      <c r="AY214" s="44"/>
      <c r="AZ214" s="44"/>
      <c r="BA214" s="44"/>
      <c r="BB214" s="44"/>
    </row>
    <row r="215" spans="13:54" x14ac:dyDescent="0.3">
      <c r="M215" s="44"/>
      <c r="N215" s="44"/>
      <c r="R215" s="86">
        <v>13</v>
      </c>
      <c r="S215" s="89">
        <v>66</v>
      </c>
      <c r="T215" s="86">
        <v>0</v>
      </c>
      <c r="U215" s="86">
        <v>1</v>
      </c>
      <c r="V215" s="89">
        <v>3</v>
      </c>
      <c r="X215" s="44"/>
      <c r="Y215" s="44"/>
      <c r="Z215" s="91"/>
      <c r="AA215" s="44"/>
      <c r="AB215" s="44"/>
      <c r="AC215" s="91"/>
      <c r="AD215" s="44"/>
      <c r="AE215" s="91"/>
      <c r="AF215" s="44"/>
      <c r="AG215" s="44"/>
      <c r="AU215" s="44"/>
      <c r="AV215" s="44"/>
      <c r="AW215" s="44"/>
      <c r="AX215" s="44"/>
      <c r="AY215" s="44"/>
      <c r="AZ215" s="44"/>
      <c r="BA215" s="44"/>
      <c r="BB215" s="44"/>
    </row>
    <row r="216" spans="13:54" x14ac:dyDescent="0.3">
      <c r="M216" s="44"/>
      <c r="N216" s="95"/>
      <c r="R216" s="86">
        <v>14</v>
      </c>
      <c r="S216" s="89">
        <v>54</v>
      </c>
      <c r="T216" s="86">
        <v>0</v>
      </c>
      <c r="U216" s="86">
        <v>1</v>
      </c>
      <c r="V216" s="89">
        <v>1</v>
      </c>
      <c r="X216" s="44"/>
      <c r="Y216" s="44"/>
      <c r="Z216" s="91"/>
      <c r="AA216" s="44"/>
      <c r="AB216" s="44"/>
      <c r="AC216" s="91"/>
      <c r="AD216" s="44"/>
      <c r="AE216" s="91"/>
      <c r="AF216" s="44"/>
      <c r="AG216" s="44"/>
      <c r="AU216" s="44"/>
      <c r="AV216" s="44"/>
      <c r="AW216" s="44"/>
      <c r="AX216" s="44"/>
      <c r="AY216" s="44"/>
      <c r="AZ216" s="44"/>
      <c r="BA216" s="44"/>
      <c r="BB216" s="44"/>
    </row>
    <row r="217" spans="13:54" x14ac:dyDescent="0.3">
      <c r="M217" s="44"/>
      <c r="N217" s="44"/>
      <c r="R217" s="86">
        <v>15</v>
      </c>
      <c r="S217" s="19">
        <v>22</v>
      </c>
      <c r="T217" s="22">
        <v>1</v>
      </c>
      <c r="U217" s="22">
        <v>0</v>
      </c>
      <c r="V217" s="89">
        <v>1</v>
      </c>
      <c r="X217" s="44"/>
      <c r="Y217" s="44"/>
      <c r="Z217" s="91"/>
      <c r="AA217" s="44"/>
      <c r="AB217" s="44"/>
      <c r="AC217" s="91"/>
      <c r="AD217" s="44"/>
      <c r="AE217" s="91"/>
      <c r="AF217" s="44"/>
      <c r="AG217" s="44"/>
      <c r="AU217" s="44"/>
      <c r="AV217" s="44"/>
      <c r="AW217" s="44"/>
      <c r="AX217" s="44"/>
      <c r="AY217" s="44"/>
      <c r="AZ217" s="44"/>
      <c r="BA217" s="44"/>
      <c r="BB217" s="44"/>
    </row>
    <row r="218" spans="13:54" x14ac:dyDescent="0.3">
      <c r="M218" s="44"/>
      <c r="N218" s="44"/>
      <c r="S218" s="114"/>
      <c r="T218" s="114">
        <f>SUM(T206:T217)</f>
        <v>3.2592592592592591</v>
      </c>
      <c r="U218" s="115">
        <f>SUM(U206:U217)</f>
        <v>8.7407407407407405</v>
      </c>
      <c r="V218" s="80"/>
      <c r="W218" s="80"/>
      <c r="X218" s="44"/>
      <c r="Y218" s="44"/>
      <c r="Z218" s="91"/>
      <c r="AA218" s="44"/>
      <c r="AB218" s="44"/>
      <c r="AC218" s="44"/>
      <c r="AD218" s="44"/>
      <c r="AE218" s="91"/>
      <c r="AF218" s="44"/>
      <c r="AG218" s="44"/>
      <c r="AU218" s="44"/>
      <c r="AV218" s="44"/>
      <c r="AW218" s="44"/>
      <c r="AX218" s="44"/>
      <c r="AY218" s="44"/>
      <c r="AZ218" s="44"/>
      <c r="BA218" s="44"/>
      <c r="BB218" s="44"/>
    </row>
    <row r="219" spans="13:54" x14ac:dyDescent="0.3">
      <c r="M219" s="44"/>
      <c r="N219" s="44"/>
      <c r="R219" s="85" t="s">
        <v>46</v>
      </c>
      <c r="S219" s="86" t="s">
        <v>59</v>
      </c>
      <c r="T219" s="86" t="s">
        <v>44</v>
      </c>
      <c r="U219" s="86" t="s">
        <v>62</v>
      </c>
      <c r="V219" s="88" t="s">
        <v>61</v>
      </c>
      <c r="W219" s="86" t="s">
        <v>79</v>
      </c>
      <c r="Y219" s="80"/>
      <c r="Z219" s="20"/>
      <c r="AA219" s="80"/>
      <c r="AB219" s="80"/>
      <c r="AD219" s="80"/>
      <c r="AE219" s="20"/>
      <c r="AU219" s="44"/>
      <c r="AV219" s="44"/>
      <c r="AW219" s="44"/>
      <c r="AX219" s="44"/>
      <c r="AY219" s="44"/>
      <c r="AZ219" s="44"/>
      <c r="BA219" s="44"/>
      <c r="BB219" s="44"/>
    </row>
    <row r="220" spans="13:54" x14ac:dyDescent="0.3">
      <c r="M220" s="44"/>
      <c r="N220" s="44"/>
      <c r="O220" s="84" t="s">
        <v>72</v>
      </c>
      <c r="R220" s="86">
        <v>1</v>
      </c>
      <c r="S220" s="86">
        <v>215</v>
      </c>
      <c r="T220" s="86">
        <v>0</v>
      </c>
      <c r="U220" s="86">
        <v>0.7142857142857143</v>
      </c>
      <c r="V220" s="71">
        <v>0.2857142857142857</v>
      </c>
      <c r="W220" s="89">
        <v>2</v>
      </c>
      <c r="Y220" s="181" t="s">
        <v>63</v>
      </c>
      <c r="Z220" s="182"/>
      <c r="AA220" s="183"/>
      <c r="AB220" s="181">
        <f>-((4/12)*LOG((4/12),2))-((4/12)*LOG((4/12),2))-((4/12)*LOG((4/12),2))</f>
        <v>1.5849625007211561</v>
      </c>
      <c r="AC220" s="182"/>
      <c r="AD220" s="183"/>
      <c r="AE220" s="20"/>
      <c r="AU220" s="44"/>
      <c r="AV220" s="44"/>
      <c r="AW220" s="44"/>
      <c r="AX220" s="44"/>
      <c r="AY220" s="44"/>
      <c r="AZ220" s="44"/>
      <c r="BA220" s="44"/>
      <c r="BB220" s="44"/>
    </row>
    <row r="221" spans="13:54" x14ac:dyDescent="0.3">
      <c r="M221" s="44"/>
      <c r="N221" s="44"/>
      <c r="O221" s="84" t="s">
        <v>44</v>
      </c>
      <c r="P221" s="84">
        <f>-((T222+T223+T230+T231)/(T232)*LOG((T222+T223+T230+T231)/(T232),2))-(0)-(0)</f>
        <v>0</v>
      </c>
      <c r="R221" s="86">
        <v>2</v>
      </c>
      <c r="S221" s="86">
        <v>308</v>
      </c>
      <c r="T221" s="86">
        <v>0</v>
      </c>
      <c r="U221" s="86">
        <v>0</v>
      </c>
      <c r="V221" s="71">
        <v>1</v>
      </c>
      <c r="W221" s="89">
        <v>3</v>
      </c>
      <c r="Y221" s="181" t="s">
        <v>65</v>
      </c>
      <c r="Z221" s="182"/>
      <c r="AA221" s="183"/>
      <c r="AB221" s="181">
        <f>(AB220)-((T218/12)*P208)-((U218/12)*P209)</f>
        <v>5.6727648910872119E-2</v>
      </c>
      <c r="AC221" s="182"/>
      <c r="AD221" s="183"/>
      <c r="AE221" s="20"/>
      <c r="AU221" s="44"/>
      <c r="AV221" s="44"/>
      <c r="AW221" s="44"/>
      <c r="AX221" s="44"/>
      <c r="AY221" s="44"/>
      <c r="AZ221" s="44"/>
      <c r="BA221" s="44"/>
      <c r="BB221" s="44"/>
    </row>
    <row r="222" spans="13:54" x14ac:dyDescent="0.3">
      <c r="M222" s="44"/>
      <c r="N222" s="44"/>
      <c r="O222" s="84" t="s">
        <v>155</v>
      </c>
      <c r="P222" s="84">
        <f>-((U222+U223+U230+U231)/(U232)*LOG((U222+U223+U230+U231)/(U232),2))-((U220+U226+U227+U228)/(U232)*LOG((U220+U226+U227+U228)/(U232),2))-((U221+U224+U225+U229)/(U232)*LOG((U221+U224+U225+U229)/(U232),2))</f>
        <v>1.5192709335073544</v>
      </c>
      <c r="R222" s="86">
        <v>3</v>
      </c>
      <c r="S222" s="86">
        <v>209</v>
      </c>
      <c r="T222" s="86">
        <v>0</v>
      </c>
      <c r="U222" s="86">
        <v>0.88571428571428568</v>
      </c>
      <c r="V222" s="71">
        <v>0.11428571428571428</v>
      </c>
      <c r="W222" s="89">
        <v>1</v>
      </c>
      <c r="Y222" s="211" t="s">
        <v>71</v>
      </c>
      <c r="Z222" s="212"/>
      <c r="AA222" s="213"/>
      <c r="AB222" s="211">
        <f>(AB220)-((T232/10)*P221)-((U232/10)*P222)-((V232/10)*P223)</f>
        <v>9.5582125485484282E-2</v>
      </c>
      <c r="AC222" s="212"/>
      <c r="AD222" s="213"/>
      <c r="AE222" s="203" t="s">
        <v>166</v>
      </c>
      <c r="AF222" s="203"/>
      <c r="AG222" s="203"/>
      <c r="AU222" s="44"/>
      <c r="AV222" s="44"/>
      <c r="AW222" s="44"/>
      <c r="AX222" s="44"/>
      <c r="AY222" s="44"/>
      <c r="AZ222" s="44"/>
      <c r="BA222" s="44"/>
      <c r="BB222" s="44"/>
    </row>
    <row r="223" spans="13:54" x14ac:dyDescent="0.3">
      <c r="M223" s="44"/>
      <c r="N223" s="44"/>
      <c r="O223" s="84" t="s">
        <v>61</v>
      </c>
      <c r="P223" s="84">
        <f>-((V222+V223+V230+V231)/(V232)*LOG((VI139+V223+V230+V231)/(V232),2))-((V220+V226+V227+V228)/(V232)*LOG((V220+V226+V227+V228)/(V232),2))-((V221+V224+V225+V229)/(V232)*LOG((V221+V224+V225+V229)/(V232),2))</f>
        <v>1.3851895111879828</v>
      </c>
      <c r="R223" s="86">
        <v>5</v>
      </c>
      <c r="S223" s="86">
        <v>198</v>
      </c>
      <c r="T223" s="86">
        <v>0.7</v>
      </c>
      <c r="U223" s="86">
        <v>0.3</v>
      </c>
      <c r="V223" s="71">
        <v>0</v>
      </c>
      <c r="W223" s="89">
        <v>1</v>
      </c>
      <c r="Y223" s="209"/>
      <c r="Z223" s="209"/>
      <c r="AA223" s="209"/>
      <c r="AB223" s="209"/>
      <c r="AC223" s="209"/>
      <c r="AD223" s="209"/>
      <c r="AU223" s="44"/>
      <c r="AV223" s="44"/>
      <c r="AW223" s="44"/>
      <c r="AX223" s="44"/>
      <c r="AY223" s="44"/>
      <c r="AZ223" s="44"/>
      <c r="BA223" s="44"/>
      <c r="BB223" s="44"/>
    </row>
    <row r="224" spans="13:54" x14ac:dyDescent="0.3">
      <c r="M224" s="44"/>
      <c r="N224" s="44"/>
      <c r="R224" s="86">
        <v>7</v>
      </c>
      <c r="S224" s="86">
        <v>207</v>
      </c>
      <c r="T224" s="86">
        <v>0</v>
      </c>
      <c r="U224" s="86">
        <v>0.94285714285714284</v>
      </c>
      <c r="V224" s="71">
        <v>5.7142857142857141E-2</v>
      </c>
      <c r="W224" s="89">
        <v>3</v>
      </c>
      <c r="Y224" s="80"/>
      <c r="Z224" s="20"/>
      <c r="AA224" s="80"/>
      <c r="AB224" s="80"/>
      <c r="AD224" s="80"/>
      <c r="AE224" s="20"/>
      <c r="AU224" s="44"/>
      <c r="AV224" s="44"/>
      <c r="AW224" s="44"/>
      <c r="AX224" s="44"/>
      <c r="AY224" s="44"/>
      <c r="AZ224" s="44"/>
      <c r="BA224" s="44"/>
      <c r="BB224" s="44"/>
    </row>
    <row r="225" spans="9:54" x14ac:dyDescent="0.3">
      <c r="M225" s="44"/>
      <c r="N225" s="44"/>
      <c r="R225" s="86">
        <v>8</v>
      </c>
      <c r="S225" s="86">
        <v>290</v>
      </c>
      <c r="T225" s="86">
        <v>0</v>
      </c>
      <c r="U225" s="86">
        <v>0</v>
      </c>
      <c r="V225" s="71">
        <v>1</v>
      </c>
      <c r="W225" s="89">
        <v>3</v>
      </c>
      <c r="Y225" s="80"/>
      <c r="Z225" s="20"/>
      <c r="AA225" s="80"/>
      <c r="AB225" s="80"/>
      <c r="AD225" s="80"/>
      <c r="AE225" s="20"/>
      <c r="AU225" s="44"/>
      <c r="AV225" s="44"/>
      <c r="AW225" s="44"/>
      <c r="AX225" s="44"/>
      <c r="AY225" s="44"/>
      <c r="AZ225" s="44"/>
      <c r="BA225" s="44"/>
      <c r="BB225" s="44"/>
    </row>
    <row r="226" spans="9:54" x14ac:dyDescent="0.3">
      <c r="M226" s="44"/>
      <c r="N226" s="44"/>
      <c r="R226" s="86">
        <v>10</v>
      </c>
      <c r="S226" s="86">
        <v>256</v>
      </c>
      <c r="T226" s="86">
        <v>0</v>
      </c>
      <c r="U226" s="86">
        <v>0</v>
      </c>
      <c r="V226" s="71">
        <v>1</v>
      </c>
      <c r="W226" s="89">
        <v>2</v>
      </c>
      <c r="Y226" s="46" t="s">
        <v>98</v>
      </c>
      <c r="Z226" s="47"/>
      <c r="AB226" s="80"/>
      <c r="AC226" s="46" t="s">
        <v>99</v>
      </c>
      <c r="AD226" s="47"/>
      <c r="AG226" s="46"/>
      <c r="AH226" s="46" t="s">
        <v>100</v>
      </c>
      <c r="AI226" s="47"/>
      <c r="AU226" s="44"/>
      <c r="AV226" s="44"/>
      <c r="AW226" s="44"/>
      <c r="AX226" s="44"/>
      <c r="AY226" s="44"/>
      <c r="AZ226" s="44"/>
      <c r="BA226" s="44"/>
      <c r="BB226" s="44"/>
    </row>
    <row r="227" spans="9:54" x14ac:dyDescent="0.3">
      <c r="M227" s="44"/>
      <c r="N227" s="44"/>
      <c r="R227" s="86">
        <v>11</v>
      </c>
      <c r="S227" s="86">
        <v>209</v>
      </c>
      <c r="T227" s="86">
        <v>0</v>
      </c>
      <c r="U227" s="86">
        <v>0.88571428571428568</v>
      </c>
      <c r="V227" s="71">
        <v>0.11428571428571428</v>
      </c>
      <c r="W227" s="89">
        <v>2</v>
      </c>
      <c r="Y227" s="84" t="s">
        <v>81</v>
      </c>
      <c r="AA227" s="84" t="s">
        <v>85</v>
      </c>
      <c r="AB227" s="80"/>
      <c r="AC227" s="84" t="s">
        <v>81</v>
      </c>
      <c r="AE227" s="84" t="s">
        <v>85</v>
      </c>
      <c r="AH227" s="84" t="s">
        <v>81</v>
      </c>
      <c r="AJ227" s="84" t="s">
        <v>85</v>
      </c>
      <c r="AU227" s="44"/>
      <c r="AV227" s="44"/>
      <c r="AW227" s="44"/>
      <c r="AX227" s="44"/>
      <c r="AY227" s="44"/>
      <c r="AZ227" s="44"/>
      <c r="BA227" s="44"/>
      <c r="BB227" s="44"/>
    </row>
    <row r="228" spans="9:54" x14ac:dyDescent="0.3">
      <c r="K228" s="85" t="s">
        <v>46</v>
      </c>
      <c r="L228" s="86" t="s">
        <v>183</v>
      </c>
      <c r="M228" s="86" t="s">
        <v>79</v>
      </c>
      <c r="N228" s="44"/>
      <c r="R228" s="86">
        <v>12</v>
      </c>
      <c r="S228" s="86">
        <v>225</v>
      </c>
      <c r="T228" s="86">
        <v>0</v>
      </c>
      <c r="U228" s="86">
        <v>0.42857142857142855</v>
      </c>
      <c r="V228" s="71">
        <v>0.5714285714285714</v>
      </c>
      <c r="W228" s="89">
        <v>2</v>
      </c>
      <c r="Y228" s="101" t="s">
        <v>82</v>
      </c>
      <c r="Z228" s="101">
        <f>SUM(T223,T230)</f>
        <v>1.7</v>
      </c>
      <c r="AA228" s="101">
        <f>((Z228)/(Z228+Z229+Z230))*(100)</f>
        <v>100</v>
      </c>
      <c r="AB228" s="80"/>
      <c r="AC228" s="90" t="s">
        <v>82</v>
      </c>
      <c r="AD228" s="90">
        <f>SUM(U222,U223,U231,U230)</f>
        <v>1.7</v>
      </c>
      <c r="AE228" s="90">
        <f>((AD228)/(AD228+AD229+AD230))*(100)</f>
        <v>36.391437308868497</v>
      </c>
      <c r="AG228" s="90"/>
      <c r="AH228" s="90" t="s">
        <v>82</v>
      </c>
      <c r="AI228" s="90">
        <f>SUM(V222,V223,V230,V231)</f>
        <v>0.6</v>
      </c>
      <c r="AJ228" s="90">
        <f>((AI228)/(AI228+AI229+AI230))*(100)</f>
        <v>10.76923076923077</v>
      </c>
      <c r="AU228" s="44"/>
      <c r="AV228" s="44"/>
      <c r="AW228" s="44"/>
      <c r="AX228" s="44"/>
      <c r="AY228" s="44"/>
      <c r="AZ228" s="44"/>
      <c r="BA228" s="44"/>
      <c r="BB228" s="44"/>
    </row>
    <row r="229" spans="9:54" x14ac:dyDescent="0.3">
      <c r="I229" s="113"/>
      <c r="J229" s="80"/>
      <c r="K229" s="86">
        <v>1</v>
      </c>
      <c r="L229" s="86">
        <v>0.7142857142857143</v>
      </c>
      <c r="M229" s="89">
        <v>2</v>
      </c>
      <c r="N229" s="44"/>
      <c r="R229" s="86">
        <v>13</v>
      </c>
      <c r="S229" s="86">
        <v>295</v>
      </c>
      <c r="T229" s="86">
        <v>0</v>
      </c>
      <c r="U229" s="86">
        <v>0</v>
      </c>
      <c r="V229" s="71">
        <v>1</v>
      </c>
      <c r="W229" s="89">
        <v>3</v>
      </c>
      <c r="Y229" s="84" t="s">
        <v>83</v>
      </c>
      <c r="Z229" s="84">
        <f>SUM(0)</f>
        <v>0</v>
      </c>
      <c r="AA229" s="84">
        <f>((Z229)/(Z228+Z229+Z230))*(100)</f>
        <v>0</v>
      </c>
      <c r="AB229" s="80"/>
      <c r="AC229" s="84" t="s">
        <v>83</v>
      </c>
      <c r="AD229" s="84">
        <f>SUM(U220,U226,U227,U228)</f>
        <v>2.0285714285714285</v>
      </c>
      <c r="AE229" s="84">
        <f>((AD229)/(AD228+AD229+AD230))*(100)</f>
        <v>43.425076452599384</v>
      </c>
      <c r="AH229" s="84" t="s">
        <v>83</v>
      </c>
      <c r="AI229" s="84">
        <f>SUM(V220,V226,V227,V228)</f>
        <v>1.9714285714285713</v>
      </c>
      <c r="AJ229" s="84">
        <f>((AI229)/(AI228+AI229+AI230))*(100)</f>
        <v>35.384615384615387</v>
      </c>
      <c r="AU229" s="44"/>
      <c r="AV229" s="44"/>
      <c r="AW229" s="44"/>
      <c r="AX229" s="44"/>
      <c r="AY229" s="44"/>
      <c r="AZ229" s="44"/>
      <c r="BA229" s="44"/>
      <c r="BB229" s="44"/>
    </row>
    <row r="230" spans="9:54" x14ac:dyDescent="0.3">
      <c r="I230" s="80"/>
      <c r="J230" s="80"/>
      <c r="K230" s="86">
        <v>3</v>
      </c>
      <c r="L230" s="86">
        <v>0.88571428571428568</v>
      </c>
      <c r="M230" s="89">
        <v>1</v>
      </c>
      <c r="N230" s="44"/>
      <c r="R230" s="86">
        <v>14</v>
      </c>
      <c r="S230" s="86">
        <v>172</v>
      </c>
      <c r="T230" s="86">
        <v>1</v>
      </c>
      <c r="U230" s="86">
        <v>0</v>
      </c>
      <c r="V230" s="71">
        <v>0</v>
      </c>
      <c r="W230" s="89">
        <v>1</v>
      </c>
      <c r="Y230" s="84" t="s">
        <v>84</v>
      </c>
      <c r="Z230" s="84">
        <f>SUM(AA215)</f>
        <v>0</v>
      </c>
      <c r="AA230" s="84">
        <f>((Z230)/(Z228+Z229+Z230))*(100)</f>
        <v>0</v>
      </c>
      <c r="AB230" s="80"/>
      <c r="AC230" s="84" t="s">
        <v>84</v>
      </c>
      <c r="AD230" s="84">
        <f>SUM(U221,U224,U225,U229)</f>
        <v>0.94285714285714284</v>
      </c>
      <c r="AE230" s="84">
        <f>((AD230)/(AD228+AD229+AD230))*(100)</f>
        <v>20.183486238532108</v>
      </c>
      <c r="AH230" s="84" t="s">
        <v>84</v>
      </c>
      <c r="AI230" s="84">
        <f>SUM(V221,V225,V229)</f>
        <v>3</v>
      </c>
      <c r="AJ230" s="84">
        <f>((AI230)/(AI228+AI229+AI230))*(100)</f>
        <v>53.846153846153847</v>
      </c>
      <c r="AU230" s="44"/>
      <c r="AV230" s="44"/>
      <c r="AW230" s="44"/>
      <c r="AX230" s="44"/>
      <c r="AY230" s="44"/>
      <c r="AZ230" s="44"/>
      <c r="BA230" s="44"/>
      <c r="BB230" s="44"/>
    </row>
    <row r="231" spans="9:54" x14ac:dyDescent="0.3">
      <c r="I231" s="80"/>
      <c r="J231" s="80"/>
      <c r="K231" s="86">
        <v>5</v>
      </c>
      <c r="L231" s="86">
        <v>0.3</v>
      </c>
      <c r="M231" s="89">
        <v>1</v>
      </c>
      <c r="N231" s="44"/>
      <c r="R231" s="86">
        <v>15</v>
      </c>
      <c r="S231" s="86">
        <v>222</v>
      </c>
      <c r="T231" s="86">
        <v>0</v>
      </c>
      <c r="U231" s="86">
        <v>0.51428571428571423</v>
      </c>
      <c r="V231" s="71">
        <v>0.48571428571428571</v>
      </c>
      <c r="W231" s="89">
        <v>1</v>
      </c>
      <c r="Y231" s="80"/>
      <c r="Z231" s="20"/>
      <c r="AA231" s="80"/>
      <c r="AB231" s="80"/>
      <c r="AD231" s="80"/>
      <c r="AE231" s="20"/>
      <c r="AU231" s="44"/>
      <c r="AV231" s="44"/>
      <c r="AW231" s="44"/>
      <c r="AX231" s="44"/>
      <c r="AY231" s="44"/>
      <c r="AZ231" s="44"/>
      <c r="BA231" s="44"/>
      <c r="BB231" s="44"/>
    </row>
    <row r="232" spans="9:54" x14ac:dyDescent="0.3">
      <c r="I232" s="80"/>
      <c r="J232" s="80"/>
      <c r="K232" s="86">
        <v>7</v>
      </c>
      <c r="L232" s="86">
        <v>0.94285714285714284</v>
      </c>
      <c r="M232" s="89">
        <v>3</v>
      </c>
      <c r="N232" s="44"/>
      <c r="T232" s="80">
        <f>SUM(T220:T231)</f>
        <v>1.7</v>
      </c>
      <c r="U232" s="35">
        <f>SUM(U220:U231)</f>
        <v>4.6714285714285717</v>
      </c>
      <c r="V232" s="80">
        <f>SUM(V220:V231)</f>
        <v>5.628571428571429</v>
      </c>
      <c r="W232" s="80"/>
      <c r="Y232" s="80"/>
      <c r="Z232" s="20"/>
      <c r="AA232" s="80"/>
      <c r="AB232" s="80"/>
      <c r="AD232" s="80"/>
      <c r="AE232" s="20"/>
      <c r="AU232" s="44"/>
      <c r="AV232" s="44"/>
      <c r="AW232" s="44"/>
      <c r="AX232" s="44"/>
      <c r="AY232" s="44"/>
      <c r="AZ232" s="44"/>
      <c r="BA232" s="44"/>
      <c r="BB232" s="44"/>
    </row>
    <row r="233" spans="9:54" x14ac:dyDescent="0.3">
      <c r="I233" s="80"/>
      <c r="J233" s="80"/>
      <c r="K233" s="86">
        <v>11</v>
      </c>
      <c r="L233" s="86">
        <v>0.88571428571428568</v>
      </c>
      <c r="M233" s="89">
        <v>2</v>
      </c>
      <c r="N233" s="44"/>
      <c r="O233" s="85" t="s">
        <v>46</v>
      </c>
      <c r="P233" s="88" t="s">
        <v>199</v>
      </c>
      <c r="Q233" s="86" t="s">
        <v>79</v>
      </c>
      <c r="R233" s="44"/>
      <c r="S233" s="44"/>
      <c r="T233" s="44"/>
      <c r="U233" s="44"/>
      <c r="V233" s="44"/>
      <c r="W233" s="44"/>
      <c r="X233" s="44"/>
      <c r="Y233" s="44"/>
      <c r="Z233" s="96"/>
      <c r="AA233" s="44"/>
      <c r="AB233" s="44"/>
      <c r="AC233" s="44"/>
      <c r="AD233" s="91"/>
      <c r="AE233" s="44"/>
      <c r="AF233" s="44"/>
      <c r="AG233" s="44"/>
      <c r="AU233" s="44"/>
      <c r="AV233" s="44"/>
      <c r="AW233" s="44"/>
      <c r="AX233" s="44"/>
      <c r="AY233" s="44"/>
      <c r="AZ233" s="44"/>
      <c r="BA233" s="44"/>
      <c r="BB233" s="44"/>
    </row>
    <row r="234" spans="9:54" x14ac:dyDescent="0.3">
      <c r="I234" s="80"/>
      <c r="J234" s="80"/>
      <c r="K234" s="86">
        <v>12</v>
      </c>
      <c r="L234" s="86">
        <v>0.42857142857142855</v>
      </c>
      <c r="M234" s="89">
        <v>2</v>
      </c>
      <c r="N234" s="44"/>
      <c r="O234" s="86">
        <v>1</v>
      </c>
      <c r="P234" s="71">
        <v>0.2857142857142857</v>
      </c>
      <c r="Q234" s="89">
        <v>2</v>
      </c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U234" s="44"/>
      <c r="AV234" s="44"/>
      <c r="AW234" s="44"/>
      <c r="AX234" s="44"/>
      <c r="AY234" s="44"/>
      <c r="AZ234" s="44"/>
      <c r="BA234" s="44"/>
      <c r="BB234" s="44"/>
    </row>
    <row r="235" spans="9:54" x14ac:dyDescent="0.3">
      <c r="I235" s="80"/>
      <c r="J235" s="80"/>
      <c r="K235" s="86">
        <v>15</v>
      </c>
      <c r="L235" s="86">
        <v>0.51428571428571423</v>
      </c>
      <c r="M235" s="89">
        <v>1</v>
      </c>
      <c r="N235" s="44"/>
      <c r="O235" s="86">
        <v>2</v>
      </c>
      <c r="P235" s="71">
        <v>1</v>
      </c>
      <c r="Q235" s="89">
        <v>3</v>
      </c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U235" s="44"/>
      <c r="AV235" s="44"/>
      <c r="AW235" s="44"/>
      <c r="AX235" s="44"/>
      <c r="AY235" s="44"/>
      <c r="AZ235" s="44"/>
      <c r="BA235" s="44"/>
      <c r="BB235" s="44"/>
    </row>
    <row r="236" spans="9:54" x14ac:dyDescent="0.3">
      <c r="O236" s="86">
        <v>3</v>
      </c>
      <c r="P236" s="71">
        <v>0.11428571428571428</v>
      </c>
      <c r="Q236" s="89">
        <v>1</v>
      </c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U236" s="44"/>
      <c r="AV236" s="44"/>
      <c r="AW236" s="44"/>
      <c r="AX236" s="44"/>
      <c r="AY236" s="44"/>
      <c r="AZ236" s="44"/>
      <c r="BA236" s="44"/>
      <c r="BB236" s="44"/>
    </row>
    <row r="237" spans="9:54" x14ac:dyDescent="0.3">
      <c r="O237" s="86">
        <v>7</v>
      </c>
      <c r="P237" s="71">
        <v>5.7142857142857141E-2</v>
      </c>
      <c r="Q237" s="89">
        <v>3</v>
      </c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U237" s="44"/>
      <c r="AV237" s="44"/>
      <c r="AW237" s="44"/>
      <c r="AX237" s="44"/>
      <c r="AY237" s="44"/>
      <c r="AZ237" s="44"/>
      <c r="BA237" s="44"/>
      <c r="BB237" s="44"/>
    </row>
    <row r="238" spans="9:54" x14ac:dyDescent="0.3">
      <c r="O238" s="86">
        <v>8</v>
      </c>
      <c r="P238" s="71">
        <v>1</v>
      </c>
      <c r="Q238" s="89">
        <v>3</v>
      </c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U238" s="44"/>
      <c r="AV238" s="44"/>
      <c r="AW238" s="44"/>
      <c r="AX238" s="44"/>
      <c r="AY238" s="44"/>
      <c r="AZ238" s="44"/>
      <c r="BA238" s="44"/>
      <c r="BB238" s="44"/>
    </row>
    <row r="239" spans="9:54" x14ac:dyDescent="0.3">
      <c r="O239" s="86">
        <v>10</v>
      </c>
      <c r="P239" s="71">
        <v>1</v>
      </c>
      <c r="Q239" s="89">
        <v>2</v>
      </c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U239" s="44"/>
      <c r="AV239" s="44"/>
      <c r="AW239" s="44"/>
      <c r="AX239" s="44"/>
      <c r="AY239" s="44"/>
      <c r="AZ239" s="44"/>
      <c r="BA239" s="44"/>
      <c r="BB239" s="44"/>
    </row>
    <row r="240" spans="9:54" x14ac:dyDescent="0.3">
      <c r="O240" s="86">
        <v>11</v>
      </c>
      <c r="P240" s="71">
        <v>0.11428571428571428</v>
      </c>
      <c r="Q240" s="89">
        <v>2</v>
      </c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U240" s="44"/>
      <c r="AV240" s="44"/>
      <c r="AW240" s="44"/>
      <c r="AX240" s="44"/>
      <c r="AY240" s="44"/>
      <c r="AZ240" s="44"/>
      <c r="BA240" s="44"/>
      <c r="BB240" s="44"/>
    </row>
    <row r="241" spans="15:54" x14ac:dyDescent="0.3">
      <c r="O241" s="86">
        <v>12</v>
      </c>
      <c r="P241" s="71">
        <v>0.5714285714285714</v>
      </c>
      <c r="Q241" s="89">
        <v>2</v>
      </c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96"/>
      <c r="AN241" s="44"/>
      <c r="AO241" s="44"/>
      <c r="AP241" s="44"/>
      <c r="AQ241" s="91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</row>
    <row r="242" spans="15:54" x14ac:dyDescent="0.3">
      <c r="O242" s="86">
        <v>13</v>
      </c>
      <c r="P242" s="71">
        <v>1</v>
      </c>
      <c r="Q242" s="89">
        <v>3</v>
      </c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96"/>
      <c r="AN242" s="44"/>
      <c r="AO242" s="44"/>
      <c r="AP242" s="44"/>
      <c r="AQ242" s="91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</row>
    <row r="243" spans="15:54" x14ac:dyDescent="0.3">
      <c r="O243" s="86">
        <v>15</v>
      </c>
      <c r="P243" s="71">
        <v>0.48571428571428571</v>
      </c>
      <c r="Q243" s="89">
        <v>1</v>
      </c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</row>
    <row r="244" spans="15:54" x14ac:dyDescent="0.3"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</row>
    <row r="245" spans="15:54" x14ac:dyDescent="0.3"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</row>
    <row r="246" spans="15:54" x14ac:dyDescent="0.3"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</row>
    <row r="247" spans="15:54" x14ac:dyDescent="0.3"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</row>
    <row r="248" spans="15:54" x14ac:dyDescent="0.3">
      <c r="O248" s="95"/>
      <c r="P248" s="44"/>
      <c r="Q248" s="44"/>
      <c r="R248" s="44"/>
      <c r="S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</row>
    <row r="249" spans="15:54" x14ac:dyDescent="0.3">
      <c r="O249" s="44"/>
      <c r="P249" s="91"/>
      <c r="Q249" s="44"/>
      <c r="R249" s="44"/>
      <c r="S249" s="91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</row>
    <row r="250" spans="15:54" x14ac:dyDescent="0.3">
      <c r="O250" s="44"/>
      <c r="P250" s="91"/>
      <c r="Q250" s="44"/>
      <c r="R250" s="44"/>
      <c r="S250" s="91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</row>
    <row r="251" spans="15:54" x14ac:dyDescent="0.3">
      <c r="O251" s="44"/>
      <c r="P251" s="91"/>
      <c r="Q251" s="44"/>
      <c r="R251" s="44"/>
      <c r="S251" s="91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</row>
    <row r="252" spans="15:54" x14ac:dyDescent="0.3">
      <c r="O252" s="44"/>
      <c r="P252" s="91"/>
      <c r="Q252" s="44"/>
      <c r="R252" s="44"/>
      <c r="S252" s="91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</row>
    <row r="253" spans="15:54" x14ac:dyDescent="0.3"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7"/>
      <c r="AN253" s="47"/>
      <c r="AO253" s="44"/>
      <c r="AP253" s="44"/>
      <c r="AQ253" s="47"/>
      <c r="AR253" s="47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</row>
    <row r="254" spans="15:54" x14ac:dyDescent="0.3"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</row>
    <row r="255" spans="15:54" x14ac:dyDescent="0.3">
      <c r="O255" s="46" t="s">
        <v>111</v>
      </c>
      <c r="P255" s="47"/>
      <c r="R255" s="80"/>
      <c r="S255" s="46" t="s">
        <v>112</v>
      </c>
      <c r="T255" s="47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</row>
    <row r="256" spans="15:54" x14ac:dyDescent="0.3">
      <c r="O256" s="84" t="s">
        <v>81</v>
      </c>
      <c r="Q256" s="84" t="s">
        <v>85</v>
      </c>
      <c r="R256" s="80"/>
      <c r="S256" s="84" t="s">
        <v>81</v>
      </c>
      <c r="U256" s="84" t="s">
        <v>85</v>
      </c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</row>
    <row r="257" spans="15:54" x14ac:dyDescent="0.3">
      <c r="O257" s="90" t="s">
        <v>82</v>
      </c>
      <c r="P257" s="90">
        <f>SUM(Q268,Q263,Q264)</f>
        <v>1.5925925925925926</v>
      </c>
      <c r="Q257" s="90">
        <f>((P257)/(P257+P258+P259))*(100)</f>
        <v>50.588235294117645</v>
      </c>
      <c r="R257" s="80"/>
      <c r="S257" s="90" t="s">
        <v>82</v>
      </c>
      <c r="T257" s="90">
        <f>SUM(R263,R264,R268)</f>
        <v>1.4074074074074074</v>
      </c>
      <c r="U257" s="90">
        <f>((T257)/(T257+T258+T259))*(100)</f>
        <v>36.53846153846154</v>
      </c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</row>
    <row r="258" spans="15:54" x14ac:dyDescent="0.3">
      <c r="O258" s="90" t="s">
        <v>83</v>
      </c>
      <c r="P258" s="90">
        <f>SUM(Q266:Q267)</f>
        <v>1.2222222222222223</v>
      </c>
      <c r="Q258" s="90">
        <f>((P258)/(P257+P258+P259))*(100)</f>
        <v>38.82352941176471</v>
      </c>
      <c r="R258" s="80"/>
      <c r="S258" s="90" t="s">
        <v>83</v>
      </c>
      <c r="T258" s="90">
        <f>SUM(R262,R266,R267)</f>
        <v>1.7777777777777777</v>
      </c>
      <c r="U258" s="90">
        <f>((T258)/(T257+T258+T259))*(100)</f>
        <v>46.153846153846153</v>
      </c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</row>
    <row r="259" spans="15:54" x14ac:dyDescent="0.3">
      <c r="O259" s="84" t="s">
        <v>84</v>
      </c>
      <c r="P259" s="84">
        <f>SUM(Q265)</f>
        <v>0.33333333333333331</v>
      </c>
      <c r="Q259" s="84">
        <f>((P259)/(P257+P258+P259))*(100)</f>
        <v>10.588235294117645</v>
      </c>
      <c r="R259" s="80"/>
      <c r="S259" s="90" t="s">
        <v>84</v>
      </c>
      <c r="T259" s="90">
        <f>SUM(R265)</f>
        <v>0.66666666666666663</v>
      </c>
      <c r="U259" s="90">
        <f>((T259)/(T257+T258+T259))*(100)</f>
        <v>17.307692307692307</v>
      </c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</row>
    <row r="260" spans="15:54" x14ac:dyDescent="0.3"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</row>
    <row r="261" spans="15:54" x14ac:dyDescent="0.3">
      <c r="O261" s="85" t="s">
        <v>46</v>
      </c>
      <c r="P261" s="86" t="s">
        <v>42</v>
      </c>
      <c r="Q261" s="86" t="s">
        <v>55</v>
      </c>
      <c r="R261" s="86" t="s">
        <v>43</v>
      </c>
      <c r="S261" s="86" t="s">
        <v>79</v>
      </c>
      <c r="T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</row>
    <row r="262" spans="15:54" x14ac:dyDescent="0.3">
      <c r="O262" s="86">
        <v>1</v>
      </c>
      <c r="P262" s="89">
        <v>52</v>
      </c>
      <c r="Q262" s="86">
        <v>0</v>
      </c>
      <c r="R262" s="86">
        <v>1</v>
      </c>
      <c r="S262" s="89">
        <v>2</v>
      </c>
      <c r="T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</row>
    <row r="263" spans="15:54" x14ac:dyDescent="0.3">
      <c r="O263" s="86">
        <v>3</v>
      </c>
      <c r="P263" s="89">
        <v>56</v>
      </c>
      <c r="Q263" s="86">
        <v>0</v>
      </c>
      <c r="R263" s="86">
        <v>1</v>
      </c>
      <c r="S263" s="89">
        <v>1</v>
      </c>
      <c r="T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</row>
    <row r="264" spans="15:54" x14ac:dyDescent="0.3">
      <c r="O264" s="86">
        <v>5</v>
      </c>
      <c r="P264" s="89">
        <v>36</v>
      </c>
      <c r="Q264" s="86">
        <v>0.59259259259259256</v>
      </c>
      <c r="R264" s="86">
        <v>0.40740740740740738</v>
      </c>
      <c r="S264" s="89">
        <v>1</v>
      </c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</row>
    <row r="265" spans="15:54" x14ac:dyDescent="0.3">
      <c r="O265" s="86">
        <v>7</v>
      </c>
      <c r="P265" s="89">
        <v>43</v>
      </c>
      <c r="Q265" s="86">
        <v>0.33333333333333331</v>
      </c>
      <c r="R265" s="86">
        <v>0.66666666666666663</v>
      </c>
      <c r="S265" s="89">
        <v>3</v>
      </c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</row>
    <row r="266" spans="15:54" x14ac:dyDescent="0.3">
      <c r="O266" s="86">
        <v>11</v>
      </c>
      <c r="P266" s="89">
        <v>35</v>
      </c>
      <c r="Q266" s="86">
        <v>0.62962962962962965</v>
      </c>
      <c r="R266" s="86">
        <v>0.37037037037037035</v>
      </c>
      <c r="S266" s="89">
        <v>2</v>
      </c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</row>
    <row r="267" spans="15:54" x14ac:dyDescent="0.3">
      <c r="O267" s="86">
        <v>12</v>
      </c>
      <c r="P267" s="89">
        <v>36</v>
      </c>
      <c r="Q267" s="86">
        <v>0.59259259259259256</v>
      </c>
      <c r="R267" s="86">
        <v>0.40740740740740738</v>
      </c>
      <c r="S267" s="89">
        <v>2</v>
      </c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</row>
    <row r="268" spans="15:54" x14ac:dyDescent="0.3">
      <c r="O268" s="86">
        <v>15</v>
      </c>
      <c r="P268" s="89">
        <v>22</v>
      </c>
      <c r="Q268" s="86">
        <v>1</v>
      </c>
      <c r="R268" s="86">
        <v>0</v>
      </c>
      <c r="S268" s="89">
        <v>1</v>
      </c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</row>
    <row r="269" spans="15:54" x14ac:dyDescent="0.3">
      <c r="O269" s="44"/>
      <c r="P269" s="44"/>
      <c r="Q269" s="44">
        <f>SUM(Q262:Q268)</f>
        <v>3.1481481481481479</v>
      </c>
      <c r="R269" s="44">
        <f>SUM(R262:R268)</f>
        <v>3.8518518518518516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</row>
    <row r="270" spans="15:54" x14ac:dyDescent="0.3"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96"/>
      <c r="AA270" s="44"/>
      <c r="AB270" s="44"/>
      <c r="AC270" s="44"/>
      <c r="AD270" s="96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</row>
    <row r="271" spans="15:54" x14ac:dyDescent="0.3"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96"/>
      <c r="AA271" s="44"/>
      <c r="AB271" s="91"/>
      <c r="AC271" s="44"/>
      <c r="AD271" s="96"/>
      <c r="AE271" s="44"/>
      <c r="AF271" s="91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</row>
    <row r="272" spans="15:54" x14ac:dyDescent="0.3">
      <c r="O272" s="44"/>
      <c r="P272" s="44"/>
      <c r="Q272" s="44"/>
      <c r="R272" s="44"/>
      <c r="V272" s="44"/>
      <c r="W272" s="44"/>
      <c r="X272" s="44"/>
      <c r="Y272" s="44"/>
      <c r="Z272" s="96"/>
      <c r="AA272" s="44"/>
      <c r="AB272" s="91"/>
      <c r="AC272" s="44"/>
      <c r="AD272" s="96"/>
      <c r="AE272" s="44"/>
      <c r="AF272" s="91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</row>
    <row r="273" spans="9:54" x14ac:dyDescent="0.3">
      <c r="O273" s="44"/>
      <c r="P273" s="44"/>
      <c r="Q273" s="44"/>
      <c r="R273" s="44"/>
      <c r="V273" s="44"/>
      <c r="W273" s="44"/>
      <c r="X273" s="44"/>
      <c r="Y273" s="44"/>
      <c r="Z273" s="96"/>
      <c r="AA273" s="44"/>
      <c r="AB273" s="91"/>
      <c r="AC273" s="44"/>
      <c r="AD273" s="96"/>
      <c r="AE273" s="44"/>
      <c r="AF273" s="91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</row>
    <row r="274" spans="9:54" x14ac:dyDescent="0.3">
      <c r="M274" s="95"/>
      <c r="N274" s="44"/>
      <c r="O274" s="44"/>
      <c r="P274" s="44"/>
      <c r="Q274" s="44"/>
      <c r="R274" s="44"/>
      <c r="V274" s="44"/>
      <c r="W274" s="44"/>
      <c r="X274" s="44"/>
      <c r="Y274" s="44"/>
      <c r="Z274" s="96"/>
      <c r="AA274" s="44"/>
      <c r="AB274" s="91"/>
      <c r="AC274" s="44"/>
      <c r="AD274" s="96"/>
      <c r="AE274" s="44"/>
      <c r="AF274" s="91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</row>
    <row r="275" spans="9:54" x14ac:dyDescent="0.3">
      <c r="M275" s="44"/>
      <c r="N275" s="44"/>
      <c r="O275" s="91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96"/>
      <c r="AA275" s="44"/>
      <c r="AB275" s="91"/>
      <c r="AC275" s="44"/>
      <c r="AD275" s="96"/>
      <c r="AE275" s="44"/>
      <c r="AF275" s="91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</row>
    <row r="276" spans="9:54" x14ac:dyDescent="0.3">
      <c r="M276" s="44"/>
      <c r="N276" s="44"/>
      <c r="O276" s="91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96"/>
      <c r="AA276" s="44"/>
      <c r="AB276" s="91"/>
      <c r="AC276" s="44"/>
      <c r="AD276" s="96"/>
      <c r="AE276" s="44"/>
      <c r="AF276" s="91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</row>
    <row r="277" spans="9:54" x14ac:dyDescent="0.3">
      <c r="M277" s="44"/>
      <c r="N277" s="44"/>
      <c r="O277" s="91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96"/>
      <c r="AA277" s="44"/>
      <c r="AB277" s="91"/>
      <c r="AC277" s="44"/>
      <c r="AD277" s="96"/>
      <c r="AE277" s="44"/>
      <c r="AF277" s="91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</row>
    <row r="278" spans="9:54" x14ac:dyDescent="0.3"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96"/>
      <c r="AA278" s="44"/>
      <c r="AB278" s="91"/>
      <c r="AC278" s="44"/>
      <c r="AD278" s="96"/>
      <c r="AE278" s="44"/>
      <c r="AF278" s="91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</row>
    <row r="279" spans="9:54" x14ac:dyDescent="0.3"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96"/>
      <c r="AA279" s="44"/>
      <c r="AB279" s="91"/>
      <c r="AC279" s="44"/>
      <c r="AD279" s="96"/>
      <c r="AE279" s="44"/>
      <c r="AF279" s="91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</row>
    <row r="280" spans="9:54" x14ac:dyDescent="0.3">
      <c r="I280" s="95"/>
      <c r="J280" s="44"/>
      <c r="K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96"/>
      <c r="AA280" s="44"/>
      <c r="AB280" s="91"/>
      <c r="AC280" s="44"/>
      <c r="AD280" s="96"/>
      <c r="AE280" s="44"/>
      <c r="AF280" s="91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</row>
    <row r="281" spans="9:54" x14ac:dyDescent="0.3">
      <c r="I281" s="44"/>
      <c r="J281" s="44"/>
      <c r="K281" s="91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96"/>
      <c r="AA281" s="44"/>
      <c r="AB281" s="91"/>
      <c r="AC281" s="44"/>
      <c r="AD281" s="96"/>
      <c r="AE281" s="44"/>
      <c r="AF281" s="91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</row>
    <row r="282" spans="9:54" x14ac:dyDescent="0.3">
      <c r="I282" s="44"/>
      <c r="J282" s="44"/>
      <c r="K282" s="91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96"/>
      <c r="AA282" s="44"/>
      <c r="AB282" s="91"/>
      <c r="AC282" s="44"/>
      <c r="AD282" s="96"/>
      <c r="AE282" s="44"/>
      <c r="AF282" s="91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</row>
    <row r="283" spans="9:54" x14ac:dyDescent="0.3"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96"/>
      <c r="AA283" s="44"/>
      <c r="AB283" s="91"/>
      <c r="AC283" s="44"/>
      <c r="AD283" s="96"/>
      <c r="AE283" s="44"/>
      <c r="AF283" s="91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</row>
    <row r="284" spans="9:54" x14ac:dyDescent="0.3"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96"/>
      <c r="AA284" s="44"/>
      <c r="AB284" s="91"/>
      <c r="AC284" s="44"/>
      <c r="AD284" s="96"/>
      <c r="AE284" s="44"/>
      <c r="AF284" s="91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</row>
    <row r="285" spans="9:54" x14ac:dyDescent="0.3"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96"/>
      <c r="AA285" s="44"/>
      <c r="AB285" s="91"/>
      <c r="AC285" s="44"/>
      <c r="AD285" s="96"/>
      <c r="AE285" s="44"/>
      <c r="AF285" s="91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</row>
    <row r="286" spans="9:54" x14ac:dyDescent="0.3"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</row>
    <row r="287" spans="9:54" x14ac:dyDescent="0.3"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</row>
    <row r="288" spans="9:54" x14ac:dyDescent="0.3"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</row>
    <row r="289" spans="13:54" x14ac:dyDescent="0.3"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</row>
    <row r="290" spans="13:54" x14ac:dyDescent="0.3"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</row>
    <row r="291" spans="13:54" x14ac:dyDescent="0.3"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</row>
    <row r="292" spans="13:54" x14ac:dyDescent="0.3"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</row>
    <row r="293" spans="13:54" x14ac:dyDescent="0.3">
      <c r="M293" s="113"/>
      <c r="N293" s="95"/>
      <c r="O293" s="44"/>
      <c r="P293" s="44"/>
      <c r="Q293" s="44"/>
      <c r="R293" s="44"/>
      <c r="U293" s="44"/>
      <c r="V293" s="85" t="s">
        <v>46</v>
      </c>
      <c r="W293" s="86" t="s">
        <v>42</v>
      </c>
      <c r="X293" s="86" t="s">
        <v>55</v>
      </c>
      <c r="Y293" s="86" t="s">
        <v>43</v>
      </c>
      <c r="Z293" s="86" t="s">
        <v>79</v>
      </c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</row>
    <row r="294" spans="13:54" x14ac:dyDescent="0.3">
      <c r="M294" s="80"/>
      <c r="N294" s="44"/>
      <c r="O294" s="91"/>
      <c r="P294" s="44"/>
      <c r="Q294" s="44"/>
      <c r="R294" s="91"/>
      <c r="U294" s="44"/>
      <c r="V294" s="86">
        <v>1</v>
      </c>
      <c r="W294" s="89">
        <v>52</v>
      </c>
      <c r="X294" s="86">
        <v>0</v>
      </c>
      <c r="Y294" s="86">
        <v>1</v>
      </c>
      <c r="Z294" s="89">
        <v>2</v>
      </c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</row>
    <row r="295" spans="13:54" x14ac:dyDescent="0.3">
      <c r="M295" s="80"/>
      <c r="N295" s="44"/>
      <c r="O295" s="91"/>
      <c r="P295" s="44"/>
      <c r="Q295" s="44"/>
      <c r="R295" s="91"/>
      <c r="U295" s="44"/>
      <c r="V295" s="86">
        <v>2</v>
      </c>
      <c r="W295" s="89">
        <v>66</v>
      </c>
      <c r="X295" s="86">
        <v>0</v>
      </c>
      <c r="Y295" s="86">
        <v>1</v>
      </c>
      <c r="Z295" s="89">
        <v>3</v>
      </c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</row>
    <row r="296" spans="13:54" x14ac:dyDescent="0.3">
      <c r="M296" s="80"/>
      <c r="N296" s="44"/>
      <c r="O296" s="91"/>
      <c r="P296" s="44"/>
      <c r="Q296" s="44"/>
      <c r="R296" s="91"/>
      <c r="S296" s="44"/>
      <c r="T296" s="44"/>
      <c r="U296" s="44"/>
      <c r="V296" s="86">
        <v>3</v>
      </c>
      <c r="W296" s="89">
        <v>56</v>
      </c>
      <c r="X296" s="86">
        <v>0</v>
      </c>
      <c r="Y296" s="86">
        <v>1</v>
      </c>
      <c r="Z296" s="89">
        <v>1</v>
      </c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</row>
    <row r="297" spans="13:54" x14ac:dyDescent="0.3">
      <c r="M297" s="80"/>
      <c r="N297" s="44"/>
      <c r="O297" s="91"/>
      <c r="P297" s="44"/>
      <c r="Q297" s="44"/>
      <c r="R297" s="91"/>
      <c r="S297" s="44"/>
      <c r="T297" s="44"/>
      <c r="U297" s="44"/>
      <c r="V297" s="86">
        <v>7</v>
      </c>
      <c r="W297" s="89">
        <v>43</v>
      </c>
      <c r="X297" s="86">
        <v>0.33333333333333331</v>
      </c>
      <c r="Y297" s="86">
        <v>0.66666666666666663</v>
      </c>
      <c r="Z297" s="89">
        <v>3</v>
      </c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</row>
    <row r="298" spans="13:54" x14ac:dyDescent="0.3">
      <c r="M298" s="80"/>
      <c r="N298" s="44"/>
      <c r="O298" s="91"/>
      <c r="P298" s="44"/>
      <c r="Q298" s="44"/>
      <c r="R298" s="91"/>
      <c r="S298" s="44"/>
      <c r="T298" s="44"/>
      <c r="U298" s="44"/>
      <c r="V298" s="86">
        <v>8</v>
      </c>
      <c r="W298" s="89">
        <v>49</v>
      </c>
      <c r="X298" s="86">
        <v>0.1111111111111111</v>
      </c>
      <c r="Y298" s="86">
        <v>0.88888888888888884</v>
      </c>
      <c r="Z298" s="89">
        <v>3</v>
      </c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</row>
    <row r="299" spans="13:54" x14ac:dyDescent="0.3">
      <c r="M299" s="80"/>
      <c r="N299" s="44"/>
      <c r="O299" s="91"/>
      <c r="P299" s="44"/>
      <c r="Q299" s="44"/>
      <c r="R299" s="91"/>
      <c r="S299" s="44"/>
      <c r="T299" s="44"/>
      <c r="U299" s="44"/>
      <c r="V299" s="86">
        <v>10</v>
      </c>
      <c r="W299" s="89">
        <v>80</v>
      </c>
      <c r="X299" s="86">
        <v>0</v>
      </c>
      <c r="Y299" s="86">
        <v>1</v>
      </c>
      <c r="Z299" s="89">
        <v>2</v>
      </c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</row>
    <row r="300" spans="13:54" x14ac:dyDescent="0.3">
      <c r="N300" s="44"/>
      <c r="O300" s="44"/>
      <c r="P300" s="44"/>
      <c r="Q300" s="44"/>
      <c r="R300" s="44"/>
      <c r="S300" s="44"/>
      <c r="T300" s="44"/>
      <c r="U300" s="44"/>
      <c r="V300" s="86">
        <v>11</v>
      </c>
      <c r="W300" s="89">
        <v>35</v>
      </c>
      <c r="X300" s="86">
        <v>0.62962962962962965</v>
      </c>
      <c r="Y300" s="86">
        <v>0.37037037037037035</v>
      </c>
      <c r="Z300" s="89">
        <v>2</v>
      </c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</row>
    <row r="301" spans="13:54" x14ac:dyDescent="0.3">
      <c r="O301" s="44"/>
      <c r="P301" s="44"/>
      <c r="Q301" s="44"/>
      <c r="R301" s="44"/>
      <c r="S301" s="44"/>
      <c r="T301" s="44"/>
      <c r="U301" s="44"/>
      <c r="V301" s="86">
        <v>12</v>
      </c>
      <c r="W301" s="89">
        <v>36</v>
      </c>
      <c r="X301" s="86">
        <v>0.59259259259259256</v>
      </c>
      <c r="Y301" s="86">
        <v>0.40740740740740738</v>
      </c>
      <c r="Z301" s="89">
        <v>2</v>
      </c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</row>
    <row r="302" spans="13:54" x14ac:dyDescent="0.3">
      <c r="N302" s="46" t="s">
        <v>101</v>
      </c>
      <c r="O302" s="47"/>
      <c r="Q302" s="80"/>
      <c r="R302" s="46" t="s">
        <v>102</v>
      </c>
      <c r="S302" s="47"/>
      <c r="U302" s="44"/>
      <c r="V302" s="86">
        <v>13</v>
      </c>
      <c r="W302" s="89">
        <v>66</v>
      </c>
      <c r="X302" s="86">
        <v>0</v>
      </c>
      <c r="Y302" s="86">
        <v>1</v>
      </c>
      <c r="Z302" s="89">
        <v>3</v>
      </c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</row>
    <row r="303" spans="13:54" x14ac:dyDescent="0.3">
      <c r="N303" s="84" t="s">
        <v>81</v>
      </c>
      <c r="P303" s="84" t="s">
        <v>85</v>
      </c>
      <c r="Q303" s="80"/>
      <c r="R303" s="84" t="s">
        <v>81</v>
      </c>
      <c r="T303" s="84" t="s">
        <v>85</v>
      </c>
      <c r="V303" s="86">
        <v>15</v>
      </c>
      <c r="W303" s="89">
        <v>22</v>
      </c>
      <c r="X303" s="86">
        <v>1</v>
      </c>
      <c r="Y303" s="86">
        <v>0</v>
      </c>
      <c r="Z303" s="89">
        <v>1</v>
      </c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</row>
    <row r="304" spans="13:54" x14ac:dyDescent="0.3">
      <c r="N304" s="90" t="s">
        <v>82</v>
      </c>
      <c r="O304" s="90">
        <f>SUM(X303)</f>
        <v>1</v>
      </c>
      <c r="P304" s="90">
        <f>((O304)/(O304+O305+O306))*(100)</f>
        <v>37.499999999999993</v>
      </c>
      <c r="Q304" s="80"/>
      <c r="R304" s="90" t="s">
        <v>82</v>
      </c>
      <c r="S304" s="90">
        <f>SUM(Y296)</f>
        <v>1</v>
      </c>
      <c r="T304" s="90">
        <f>((S304)/(S304+S305+S306))*(100)</f>
        <v>13.636363636363638</v>
      </c>
      <c r="X304" s="84">
        <f>SUM(X294:X303)</f>
        <v>2.6666666666666665</v>
      </c>
      <c r="Y304" s="84">
        <f>SUM(Y294:Y303)</f>
        <v>7.333333333333333</v>
      </c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</row>
    <row r="305" spans="14:54" x14ac:dyDescent="0.3">
      <c r="N305" s="101" t="s">
        <v>83</v>
      </c>
      <c r="O305" s="101">
        <f>SUM(X300:X301)</f>
        <v>1.2222222222222223</v>
      </c>
      <c r="P305" s="101">
        <f>((O305)/(O304+O305+O306))*(100)</f>
        <v>45.833333333333329</v>
      </c>
      <c r="Q305" s="80"/>
      <c r="R305" s="90" t="s">
        <v>83</v>
      </c>
      <c r="S305" s="90">
        <f>SUM(Y294,Y299,Y300,Y301)</f>
        <v>2.7777777777777777</v>
      </c>
      <c r="T305" s="90">
        <f>((S305)/(S304+S305+S306))*(100)</f>
        <v>37.878787878787875</v>
      </c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</row>
    <row r="306" spans="14:54" x14ac:dyDescent="0.3">
      <c r="N306" s="84" t="s">
        <v>84</v>
      </c>
      <c r="O306" s="84">
        <f>SUM(X297,X298)</f>
        <v>0.44444444444444442</v>
      </c>
      <c r="P306" s="84">
        <f>((O306)/(O304+O305+O306))*(100)</f>
        <v>16.666666666666664</v>
      </c>
      <c r="Q306" s="80"/>
      <c r="R306" s="101" t="s">
        <v>84</v>
      </c>
      <c r="S306" s="101">
        <f>SUM(Y295,Y297:Y298,Y302)</f>
        <v>3.5555555555555554</v>
      </c>
      <c r="T306" s="101">
        <f>((S306)/(S304+S305+S306))*(100)</f>
        <v>48.484848484848484</v>
      </c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190"/>
      <c r="AY306" s="190"/>
      <c r="AZ306" s="190"/>
      <c r="BA306" s="44"/>
      <c r="BB306" s="44"/>
    </row>
    <row r="307" spans="14:54" x14ac:dyDescent="0.3"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96"/>
      <c r="AP307" s="44"/>
      <c r="AQ307" s="44"/>
      <c r="AR307" s="44"/>
      <c r="AS307" s="44"/>
      <c r="AT307" s="44"/>
      <c r="AU307" s="44"/>
      <c r="AV307" s="44"/>
      <c r="AW307" s="44"/>
      <c r="AX307" s="190"/>
      <c r="AY307" s="190"/>
      <c r="AZ307" s="190"/>
      <c r="BA307" s="44"/>
      <c r="BB307" s="44"/>
    </row>
    <row r="308" spans="14:54" x14ac:dyDescent="0.3"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96"/>
      <c r="AP308" s="91"/>
      <c r="AQ308" s="44"/>
      <c r="AR308" s="44"/>
      <c r="AS308" s="91"/>
      <c r="AT308" s="44"/>
      <c r="AU308" s="44"/>
      <c r="AV308" s="44"/>
      <c r="AW308" s="44"/>
      <c r="AX308" s="190"/>
      <c r="AY308" s="190"/>
      <c r="AZ308" s="190"/>
      <c r="BA308" s="44"/>
      <c r="BB308" s="44"/>
    </row>
    <row r="309" spans="14:54" x14ac:dyDescent="0.3"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96"/>
      <c r="AP309" s="91"/>
      <c r="AQ309" s="44"/>
      <c r="AR309" s="44"/>
      <c r="AS309" s="91"/>
      <c r="AT309" s="44"/>
      <c r="AU309" s="44"/>
      <c r="AV309" s="44"/>
      <c r="AW309" s="44"/>
      <c r="AX309" s="44"/>
      <c r="AY309" s="44"/>
      <c r="AZ309" s="44"/>
      <c r="BA309" s="44"/>
      <c r="BB309" s="44"/>
    </row>
    <row r="310" spans="14:54" x14ac:dyDescent="0.3"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96"/>
      <c r="AP310" s="91"/>
      <c r="AQ310" s="44"/>
      <c r="AR310" s="44"/>
      <c r="AS310" s="91"/>
      <c r="AT310" s="44"/>
      <c r="AU310" s="44"/>
      <c r="AV310" s="44"/>
      <c r="AW310" s="44"/>
      <c r="AX310" s="44"/>
      <c r="AY310" s="44"/>
      <c r="AZ310" s="44"/>
      <c r="BA310" s="44"/>
      <c r="BB310" s="44"/>
    </row>
    <row r="311" spans="14:54" x14ac:dyDescent="0.3"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96"/>
      <c r="AP311" s="91"/>
      <c r="AQ311" s="44"/>
      <c r="AR311" s="44"/>
      <c r="AS311" s="91"/>
      <c r="AT311" s="44"/>
      <c r="AU311" s="44"/>
      <c r="AV311" s="44"/>
      <c r="AW311" s="44"/>
      <c r="AX311" s="44"/>
      <c r="AY311" s="44"/>
      <c r="AZ311" s="44"/>
      <c r="BA311" s="44"/>
      <c r="BB311" s="44"/>
    </row>
    <row r="312" spans="14:54" x14ac:dyDescent="0.3"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96"/>
      <c r="AP312" s="91"/>
      <c r="AQ312" s="44"/>
      <c r="AR312" s="44"/>
      <c r="AS312" s="91"/>
      <c r="AT312" s="44"/>
      <c r="AU312" s="44"/>
      <c r="AV312" s="44"/>
      <c r="AW312" s="44"/>
      <c r="AX312" s="44"/>
      <c r="AY312" s="44"/>
      <c r="AZ312" s="44"/>
      <c r="BA312" s="44"/>
      <c r="BB312" s="44"/>
    </row>
    <row r="313" spans="14:54" x14ac:dyDescent="0.3"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96"/>
      <c r="AP313" s="91"/>
      <c r="AQ313" s="44"/>
      <c r="AR313" s="44"/>
      <c r="AS313" s="91"/>
      <c r="AT313" s="44"/>
      <c r="AU313" s="44"/>
      <c r="AV313" s="44"/>
      <c r="AW313" s="44"/>
      <c r="AX313" s="44"/>
      <c r="AY313" s="44"/>
      <c r="AZ313" s="44"/>
      <c r="BA313" s="44"/>
      <c r="BB313" s="44"/>
    </row>
    <row r="314" spans="14:54" x14ac:dyDescent="0.3">
      <c r="S314" s="104" t="s">
        <v>77</v>
      </c>
      <c r="T314" s="192" t="s">
        <v>167</v>
      </c>
      <c r="U314" s="192"/>
      <c r="V314" s="192"/>
      <c r="W314" s="192"/>
      <c r="X314" s="192"/>
      <c r="Y314" s="192"/>
      <c r="Z314" s="192"/>
      <c r="AA314" s="192"/>
      <c r="AB314" s="192"/>
      <c r="AC314" s="192"/>
      <c r="AD314" s="192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96"/>
      <c r="AP314" s="91"/>
      <c r="AQ314" s="44"/>
      <c r="AR314" s="44"/>
      <c r="AS314" s="91"/>
      <c r="AT314" s="44"/>
      <c r="AU314" s="44"/>
      <c r="AV314" s="44"/>
      <c r="AW314" s="44"/>
      <c r="AX314" s="44"/>
      <c r="AY314" s="44"/>
      <c r="AZ314" s="44"/>
      <c r="BA314" s="44"/>
      <c r="BB314" s="44"/>
    </row>
    <row r="315" spans="14:54" x14ac:dyDescent="0.3">
      <c r="S315" s="87">
        <v>1</v>
      </c>
      <c r="T315" s="189" t="s">
        <v>185</v>
      </c>
      <c r="U315" s="189"/>
      <c r="V315" s="189"/>
      <c r="W315" s="189"/>
      <c r="X315" s="189"/>
      <c r="Y315" s="189"/>
      <c r="Z315" s="189"/>
      <c r="AA315" s="189"/>
      <c r="AB315" s="189"/>
      <c r="AC315" s="189"/>
      <c r="AD315" s="189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96"/>
      <c r="AP315" s="91"/>
      <c r="AQ315" s="44"/>
      <c r="AR315" s="44"/>
      <c r="AS315" s="91"/>
      <c r="AT315" s="44"/>
      <c r="AU315" s="44"/>
      <c r="AV315" s="44"/>
      <c r="AW315" s="44"/>
      <c r="AX315" s="44"/>
      <c r="AY315" s="44"/>
      <c r="AZ315" s="44"/>
      <c r="BA315" s="44"/>
      <c r="BB315" s="44"/>
    </row>
    <row r="316" spans="14:54" x14ac:dyDescent="0.3">
      <c r="S316" s="87">
        <v>2</v>
      </c>
      <c r="T316" s="189" t="s">
        <v>186</v>
      </c>
      <c r="U316" s="189"/>
      <c r="V316" s="189"/>
      <c r="W316" s="189"/>
      <c r="X316" s="189"/>
      <c r="Y316" s="189"/>
      <c r="Z316" s="189"/>
      <c r="AA316" s="189"/>
      <c r="AB316" s="189"/>
      <c r="AC316" s="189"/>
      <c r="AD316" s="189"/>
      <c r="AE316" s="96"/>
      <c r="AF316" s="44"/>
      <c r="AG316" s="44"/>
      <c r="AH316" s="44"/>
      <c r="AI316" s="44"/>
      <c r="AJ316" s="44"/>
      <c r="AK316" s="96"/>
      <c r="AL316" s="44"/>
      <c r="AM316" s="44"/>
      <c r="AN316" s="44"/>
      <c r="AO316" s="96"/>
      <c r="AP316" s="91"/>
      <c r="AQ316" s="44"/>
      <c r="AR316" s="44"/>
      <c r="AS316" s="91"/>
      <c r="AT316" s="44"/>
      <c r="AU316" s="44"/>
      <c r="AV316" s="44"/>
      <c r="AW316" s="44"/>
      <c r="AX316" s="44"/>
      <c r="AY316" s="44"/>
      <c r="AZ316" s="44"/>
      <c r="BA316" s="44"/>
      <c r="BB316" s="44"/>
    </row>
    <row r="317" spans="14:54" x14ac:dyDescent="0.3">
      <c r="S317" s="87">
        <v>3</v>
      </c>
      <c r="T317" s="189" t="s">
        <v>187</v>
      </c>
      <c r="U317" s="189"/>
      <c r="V317" s="189"/>
      <c r="W317" s="189"/>
      <c r="X317" s="189"/>
      <c r="Y317" s="189"/>
      <c r="Z317" s="189"/>
      <c r="AA317" s="189"/>
      <c r="AB317" s="189"/>
      <c r="AC317" s="189"/>
      <c r="AD317" s="189"/>
      <c r="AE317" s="96"/>
      <c r="AF317" s="44"/>
      <c r="AG317" s="91"/>
      <c r="AH317" s="44"/>
      <c r="AI317" s="44"/>
      <c r="AJ317" s="44"/>
      <c r="AK317" s="96"/>
      <c r="AL317" s="44"/>
      <c r="AM317" s="91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</row>
    <row r="318" spans="14:54" x14ac:dyDescent="0.3">
      <c r="S318" s="87">
        <v>4</v>
      </c>
      <c r="T318" s="189" t="s">
        <v>188</v>
      </c>
      <c r="U318" s="189"/>
      <c r="V318" s="189"/>
      <c r="W318" s="189"/>
      <c r="X318" s="189"/>
      <c r="Y318" s="189"/>
      <c r="Z318" s="189"/>
      <c r="AA318" s="189"/>
      <c r="AB318" s="189"/>
      <c r="AC318" s="189"/>
      <c r="AD318" s="189"/>
      <c r="AE318" s="96"/>
      <c r="AF318" s="44"/>
      <c r="AG318" s="91"/>
      <c r="AH318" s="44"/>
      <c r="AI318" s="44"/>
      <c r="AJ318" s="44"/>
      <c r="AK318" s="96"/>
      <c r="AL318" s="44"/>
      <c r="AM318" s="91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</row>
    <row r="319" spans="14:54" x14ac:dyDescent="0.3">
      <c r="S319" s="87">
        <v>5</v>
      </c>
      <c r="T319" s="189" t="s">
        <v>189</v>
      </c>
      <c r="U319" s="189"/>
      <c r="V319" s="189"/>
      <c r="W319" s="189"/>
      <c r="X319" s="189"/>
      <c r="Y319" s="189"/>
      <c r="Z319" s="189"/>
      <c r="AA319" s="189"/>
      <c r="AB319" s="189"/>
      <c r="AC319" s="189"/>
      <c r="AD319" s="189"/>
      <c r="AE319" s="44"/>
      <c r="AF319" s="44"/>
      <c r="AG319" s="44"/>
      <c r="AH319" s="44"/>
      <c r="AI319" s="44"/>
      <c r="AJ319" s="44"/>
      <c r="AK319" s="96"/>
      <c r="AL319" s="44"/>
      <c r="AM319" s="91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</row>
    <row r="320" spans="14:54" x14ac:dyDescent="0.3">
      <c r="S320" s="87">
        <v>6</v>
      </c>
      <c r="T320" s="189" t="s">
        <v>190</v>
      </c>
      <c r="U320" s="189"/>
      <c r="V320" s="189"/>
      <c r="W320" s="189"/>
      <c r="X320" s="189"/>
      <c r="Y320" s="189"/>
      <c r="Z320" s="189"/>
      <c r="AA320" s="189"/>
      <c r="AB320" s="189"/>
      <c r="AC320" s="189"/>
      <c r="AD320" s="189"/>
      <c r="AE320" s="44"/>
      <c r="AF320" s="44"/>
      <c r="AG320" s="44"/>
      <c r="AH320" s="44"/>
      <c r="AI320" s="44"/>
      <c r="AJ320" s="44"/>
      <c r="AK320" s="96"/>
      <c r="AL320" s="44"/>
      <c r="AM320" s="91"/>
      <c r="AN320" s="44"/>
      <c r="AO320" s="96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</row>
    <row r="321" spans="19:54" x14ac:dyDescent="0.3">
      <c r="S321" s="87">
        <v>7</v>
      </c>
      <c r="T321" s="189" t="s">
        <v>191</v>
      </c>
      <c r="U321" s="189"/>
      <c r="V321" s="189"/>
      <c r="W321" s="189"/>
      <c r="X321" s="189"/>
      <c r="Y321" s="189"/>
      <c r="Z321" s="189"/>
      <c r="AA321" s="189"/>
      <c r="AB321" s="189"/>
      <c r="AC321" s="189"/>
      <c r="AD321" s="189"/>
      <c r="AE321" s="44"/>
      <c r="AF321" s="44"/>
      <c r="AG321" s="44"/>
      <c r="AH321" s="44"/>
      <c r="AI321" s="44"/>
      <c r="AJ321" s="44"/>
      <c r="AK321" s="96"/>
      <c r="AL321" s="44"/>
      <c r="AM321" s="91"/>
      <c r="AN321" s="44"/>
      <c r="AO321" s="96"/>
      <c r="AP321" s="44"/>
      <c r="AQ321" s="44"/>
      <c r="AR321" s="44"/>
      <c r="AS321" s="91"/>
      <c r="AT321" s="44"/>
      <c r="AU321" s="44"/>
      <c r="AV321" s="44"/>
      <c r="AW321" s="44"/>
      <c r="AX321" s="44"/>
      <c r="AY321" s="44"/>
      <c r="AZ321" s="44"/>
      <c r="BA321" s="44"/>
      <c r="BB321" s="44"/>
    </row>
    <row r="322" spans="19:54" x14ac:dyDescent="0.3">
      <c r="S322" s="87">
        <v>8</v>
      </c>
      <c r="T322" s="189" t="s">
        <v>192</v>
      </c>
      <c r="U322" s="189"/>
      <c r="V322" s="189"/>
      <c r="W322" s="189"/>
      <c r="X322" s="189"/>
      <c r="Y322" s="189"/>
      <c r="Z322" s="189"/>
      <c r="AA322" s="189"/>
      <c r="AB322" s="189"/>
      <c r="AC322" s="189"/>
      <c r="AD322" s="189"/>
      <c r="AE322" s="44"/>
      <c r="AF322" s="44"/>
      <c r="AG322" s="44"/>
      <c r="AH322" s="44"/>
      <c r="AI322" s="44"/>
      <c r="AJ322" s="44"/>
      <c r="AK322" s="96"/>
      <c r="AL322" s="44"/>
      <c r="AM322" s="91"/>
      <c r="AN322" s="44"/>
      <c r="AO322" s="96"/>
      <c r="AP322" s="44"/>
      <c r="AQ322" s="44"/>
      <c r="AR322" s="44"/>
      <c r="AS322" s="91"/>
      <c r="AT322" s="44"/>
      <c r="AU322" s="44"/>
      <c r="AV322" s="44"/>
      <c r="AW322" s="44"/>
      <c r="AX322" s="44"/>
      <c r="AY322" s="44"/>
      <c r="AZ322" s="44"/>
      <c r="BA322" s="44"/>
      <c r="BB322" s="44"/>
    </row>
    <row r="323" spans="19:54" x14ac:dyDescent="0.3">
      <c r="S323" s="87">
        <v>9</v>
      </c>
      <c r="T323" s="189" t="s">
        <v>193</v>
      </c>
      <c r="U323" s="189"/>
      <c r="V323" s="189"/>
      <c r="W323" s="189"/>
      <c r="X323" s="189"/>
      <c r="Y323" s="189"/>
      <c r="Z323" s="189"/>
      <c r="AA323" s="189"/>
      <c r="AB323" s="189"/>
      <c r="AC323" s="189"/>
      <c r="AD323" s="189"/>
      <c r="AE323" s="44"/>
      <c r="AF323" s="44"/>
      <c r="AG323" s="44"/>
      <c r="AH323" s="44"/>
      <c r="AI323" s="44"/>
      <c r="AJ323" s="44"/>
      <c r="AK323" s="96"/>
      <c r="AL323" s="44"/>
      <c r="AM323" s="91"/>
      <c r="AN323" s="44"/>
      <c r="AO323" s="96"/>
      <c r="AP323" s="44"/>
      <c r="AQ323" s="44"/>
      <c r="AR323" s="44"/>
      <c r="AS323" s="91"/>
      <c r="AT323" s="44"/>
      <c r="AU323" s="44"/>
      <c r="AV323" s="44"/>
      <c r="AW323" s="44"/>
      <c r="AX323" s="44"/>
      <c r="AY323" s="44"/>
      <c r="AZ323" s="44"/>
      <c r="BA323" s="44"/>
      <c r="BB323" s="44"/>
    </row>
    <row r="324" spans="19:54" x14ac:dyDescent="0.3">
      <c r="AB324" s="44"/>
      <c r="AC324" s="44"/>
      <c r="AD324" s="44"/>
      <c r="AE324" s="44"/>
      <c r="AF324" s="44"/>
      <c r="AG324" s="44"/>
      <c r="AH324" s="44"/>
      <c r="AI324" s="44"/>
      <c r="AJ324" s="44"/>
      <c r="AK324" s="96"/>
      <c r="AL324" s="44"/>
      <c r="AM324" s="91"/>
      <c r="AN324" s="44"/>
      <c r="AO324" s="96"/>
      <c r="AP324" s="44"/>
      <c r="AQ324" s="44"/>
      <c r="AR324" s="44"/>
      <c r="AS324" s="91"/>
      <c r="AT324" s="44"/>
      <c r="AU324" s="44"/>
      <c r="AV324" s="44"/>
      <c r="AW324" s="44"/>
      <c r="AX324" s="44"/>
      <c r="AY324" s="44"/>
      <c r="AZ324" s="44"/>
      <c r="BA324" s="44"/>
      <c r="BB324" s="44"/>
    </row>
    <row r="325" spans="19:54" x14ac:dyDescent="0.3">
      <c r="AB325" s="44"/>
      <c r="AC325" s="44"/>
      <c r="AD325" s="44"/>
      <c r="AE325" s="44"/>
      <c r="AF325" s="44"/>
      <c r="AG325" s="44"/>
      <c r="AH325" s="44"/>
      <c r="AI325" s="44"/>
      <c r="AJ325" s="44"/>
      <c r="AK325" s="96"/>
      <c r="AL325" s="44"/>
      <c r="AM325" s="91"/>
      <c r="AN325" s="44"/>
      <c r="AO325" s="96"/>
      <c r="AP325" s="44"/>
      <c r="AQ325" s="44"/>
      <c r="AR325" s="44"/>
      <c r="AS325" s="91"/>
      <c r="AT325" s="44"/>
      <c r="AU325" s="44"/>
      <c r="AV325" s="44"/>
      <c r="AW325" s="44"/>
      <c r="AX325" s="44"/>
      <c r="AY325" s="44"/>
      <c r="AZ325" s="44"/>
      <c r="BA325" s="44"/>
      <c r="BB325" s="44"/>
    </row>
    <row r="326" spans="19:54" x14ac:dyDescent="0.3">
      <c r="AB326" s="44"/>
      <c r="AC326" s="44"/>
      <c r="AD326" s="44"/>
      <c r="AE326" s="44"/>
      <c r="AF326" s="44"/>
      <c r="AG326" s="44"/>
      <c r="AH326" s="44"/>
      <c r="AI326" s="44"/>
      <c r="AJ326" s="44"/>
      <c r="AK326" s="96"/>
      <c r="AL326" s="44"/>
      <c r="AM326" s="91"/>
      <c r="AN326" s="44"/>
      <c r="AO326" s="96"/>
      <c r="AP326" s="44"/>
      <c r="AQ326" s="44"/>
      <c r="AR326" s="44"/>
      <c r="AS326" s="91"/>
      <c r="AT326" s="44"/>
      <c r="AU326" s="44"/>
      <c r="AV326" s="44"/>
      <c r="AW326" s="44"/>
      <c r="AX326" s="44"/>
      <c r="AY326" s="44"/>
      <c r="AZ326" s="44"/>
      <c r="BA326" s="44"/>
      <c r="BB326" s="44"/>
    </row>
    <row r="327" spans="19:54" x14ac:dyDescent="0.3"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96"/>
      <c r="AP327" s="44"/>
      <c r="AQ327" s="44"/>
      <c r="AR327" s="44"/>
      <c r="AS327" s="91"/>
      <c r="AT327" s="44"/>
      <c r="AU327" s="44"/>
      <c r="AV327" s="44"/>
      <c r="AW327" s="44"/>
      <c r="AX327" s="44"/>
      <c r="AY327" s="44"/>
      <c r="AZ327" s="44"/>
      <c r="BA327" s="44"/>
      <c r="BB327" s="44"/>
    </row>
    <row r="328" spans="19:54" x14ac:dyDescent="0.3"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96"/>
      <c r="AP328" s="44"/>
      <c r="AQ328" s="44"/>
      <c r="AR328" s="44"/>
      <c r="AS328" s="91"/>
      <c r="AT328" s="44"/>
      <c r="AU328" s="44"/>
      <c r="AV328" s="44"/>
      <c r="AW328" s="44"/>
      <c r="AX328" s="44"/>
      <c r="AY328" s="44"/>
      <c r="AZ328" s="44"/>
      <c r="BA328" s="44"/>
      <c r="BB328" s="44"/>
    </row>
    <row r="329" spans="19:54" x14ac:dyDescent="0.3"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96"/>
      <c r="AP329" s="44"/>
      <c r="AQ329" s="44"/>
      <c r="AR329" s="44"/>
      <c r="AS329" s="91"/>
      <c r="AT329" s="44"/>
      <c r="AU329" s="44"/>
      <c r="AV329" s="44"/>
      <c r="AW329" s="44"/>
      <c r="AX329" s="44"/>
      <c r="AY329" s="44"/>
      <c r="AZ329" s="44"/>
      <c r="BA329" s="44"/>
      <c r="BB329" s="44"/>
    </row>
    <row r="330" spans="19:54" x14ac:dyDescent="0.3">
      <c r="AB330" s="44"/>
      <c r="AC330" s="44"/>
      <c r="AD330" s="44"/>
      <c r="AE330" s="44"/>
      <c r="AF330" s="47"/>
      <c r="AG330" s="47"/>
      <c r="AH330" s="44"/>
      <c r="AI330" s="44"/>
      <c r="AJ330" s="47"/>
      <c r="AK330" s="47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</row>
    <row r="331" spans="19:54" x14ac:dyDescent="0.3"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</row>
    <row r="332" spans="19:54" x14ac:dyDescent="0.3">
      <c r="AB332" s="44"/>
      <c r="AC332" s="44"/>
      <c r="AD332" s="190"/>
      <c r="AE332" s="190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</row>
    <row r="333" spans="19:54" x14ac:dyDescent="0.3"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</row>
    <row r="334" spans="19:54" x14ac:dyDescent="0.3"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</row>
    <row r="335" spans="19:54" x14ac:dyDescent="0.3"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</row>
    <row r="336" spans="19:54" x14ac:dyDescent="0.3">
      <c r="Y336" s="87" t="s">
        <v>77</v>
      </c>
      <c r="Z336" s="86" t="s">
        <v>7</v>
      </c>
      <c r="AA336" s="86" t="s">
        <v>57</v>
      </c>
      <c r="AB336" s="86" t="s">
        <v>58</v>
      </c>
      <c r="AC336" s="86" t="s">
        <v>79</v>
      </c>
      <c r="AD336" s="84" t="s">
        <v>74</v>
      </c>
      <c r="AF336" s="44"/>
      <c r="AG336" s="44"/>
      <c r="AH336" s="181" t="s">
        <v>63</v>
      </c>
      <c r="AI336" s="182"/>
      <c r="AJ336" s="183"/>
      <c r="AK336" s="181">
        <f>-((4/11)*LOG((4/11),2))-((2/11)*LOG((2/11),2))-((4/11)*LOG((4/11),2))</f>
        <v>1.5085741987611794</v>
      </c>
      <c r="AL336" s="182"/>
      <c r="AM336" s="183"/>
      <c r="AN336" s="20"/>
      <c r="AT336" s="44"/>
      <c r="AU336" s="44"/>
      <c r="AV336" s="44"/>
      <c r="AW336" s="44"/>
      <c r="AX336" s="44"/>
      <c r="AY336" s="44"/>
      <c r="AZ336" s="44"/>
      <c r="BA336" s="44"/>
      <c r="BB336" s="44"/>
    </row>
    <row r="337" spans="25:54" x14ac:dyDescent="0.3">
      <c r="Y337" s="87">
        <v>1</v>
      </c>
      <c r="Z337" s="24">
        <v>78</v>
      </c>
      <c r="AA337" s="32">
        <v>0.55000000000000004</v>
      </c>
      <c r="AB337" s="32">
        <v>0.45</v>
      </c>
      <c r="AC337" s="89">
        <v>2</v>
      </c>
      <c r="AD337" s="84" t="s">
        <v>55</v>
      </c>
      <c r="AE337" s="84">
        <f>-((AA341+AA347)/(AA348)*LOG((AA341+AA347)/(AA348),2))-((AA337)/(AA348)*LOG((AA337)/(AA348),2))-((0))</f>
        <v>1</v>
      </c>
      <c r="AF337" s="44"/>
      <c r="AG337" s="44"/>
      <c r="AH337" s="181" t="s">
        <v>73</v>
      </c>
      <c r="AI337" s="182"/>
      <c r="AJ337" s="183"/>
      <c r="AK337" s="181">
        <f>(AK336)-((AA348/11)*AE337)-((AB348/11)*AE338)</f>
        <v>7.4405928273844069E-3</v>
      </c>
      <c r="AL337" s="182"/>
      <c r="AM337" s="183"/>
      <c r="AN337" s="20"/>
      <c r="AT337" s="44"/>
      <c r="AU337" s="44"/>
      <c r="AV337" s="44"/>
      <c r="AW337" s="44"/>
      <c r="AX337" s="44"/>
      <c r="AY337" s="44"/>
      <c r="AZ337" s="44"/>
      <c r="BA337" s="44"/>
      <c r="BB337" s="44"/>
    </row>
    <row r="338" spans="25:54" x14ac:dyDescent="0.3">
      <c r="Y338" s="87">
        <v>2</v>
      </c>
      <c r="Z338" s="24">
        <v>98</v>
      </c>
      <c r="AA338" s="32">
        <v>0</v>
      </c>
      <c r="AB338" s="32">
        <v>1</v>
      </c>
      <c r="AC338" s="89">
        <v>3</v>
      </c>
      <c r="AD338" s="84" t="s">
        <v>43</v>
      </c>
      <c r="AE338" s="84">
        <f>-((AB339+AB340+AB341+AB347)/(AB348)*LOG((AB339+AB340+AB341+AB347)/(AB348),2))-((AB337+AB342+AB346)/(AB348)*LOG((AB337+AB342+AB346)/(AB348),2))-((AB338+AB343+AB344+AB345)/(AB348)*LOG((AB338+AB343+AB344+AB345)/(AB348),2))</f>
        <v>1.5568151177042164</v>
      </c>
      <c r="AF338" s="44"/>
      <c r="AG338" s="44"/>
      <c r="AH338" s="208" t="s">
        <v>65</v>
      </c>
      <c r="AI338" s="209"/>
      <c r="AJ338" s="210"/>
      <c r="AK338" s="208">
        <f>(AK336)-((AA362/11)*AE351)-((AB362/11)*AE352)</f>
        <v>-4.8244865812848814E-2</v>
      </c>
      <c r="AL338" s="209"/>
      <c r="AM338" s="210"/>
      <c r="AT338" s="44"/>
      <c r="AU338" s="44"/>
      <c r="AV338" s="44"/>
      <c r="AW338" s="44"/>
      <c r="AX338" s="44"/>
      <c r="AY338" s="44"/>
      <c r="AZ338" s="44"/>
      <c r="BA338" s="44"/>
      <c r="BB338" s="44"/>
    </row>
    <row r="339" spans="25:54" x14ac:dyDescent="0.3">
      <c r="Y339" s="87">
        <v>3</v>
      </c>
      <c r="Z339" s="24">
        <v>98</v>
      </c>
      <c r="AA339" s="32">
        <v>0</v>
      </c>
      <c r="AB339" s="32">
        <v>1</v>
      </c>
      <c r="AC339" s="89">
        <v>1</v>
      </c>
      <c r="AH339" s="211" t="s">
        <v>71</v>
      </c>
      <c r="AI339" s="212"/>
      <c r="AJ339" s="213"/>
      <c r="AK339" s="211">
        <f>(AK336)-((AA376/11)*AF365)-((AB376/11)*AF366)-((AC376/11)*AF367)</f>
        <v>0.68425649119435539</v>
      </c>
      <c r="AL339" s="212"/>
      <c r="AM339" s="213"/>
      <c r="AN339" s="203" t="s">
        <v>166</v>
      </c>
      <c r="AO339" s="203"/>
      <c r="AP339" s="203"/>
    </row>
    <row r="340" spans="25:54" x14ac:dyDescent="0.3">
      <c r="Y340" s="87">
        <v>4</v>
      </c>
      <c r="Z340" s="27">
        <v>99</v>
      </c>
      <c r="AA340" s="31">
        <v>0</v>
      </c>
      <c r="AB340" s="31">
        <v>1</v>
      </c>
      <c r="AC340" s="89">
        <v>1</v>
      </c>
      <c r="AH340" s="80"/>
      <c r="AI340" s="20"/>
      <c r="AJ340" s="80"/>
      <c r="AK340" s="80"/>
      <c r="AM340" s="80"/>
      <c r="AN340" s="20"/>
    </row>
    <row r="341" spans="25:54" x14ac:dyDescent="0.3">
      <c r="Y341" s="87">
        <v>5</v>
      </c>
      <c r="Z341" s="27">
        <v>88</v>
      </c>
      <c r="AA341" s="31">
        <v>0.05</v>
      </c>
      <c r="AB341" s="31">
        <v>0.95</v>
      </c>
      <c r="AC341" s="89">
        <v>1</v>
      </c>
      <c r="AH341" s="80"/>
      <c r="AI341" s="20"/>
      <c r="AJ341" s="80"/>
      <c r="AK341" s="80"/>
      <c r="AM341" s="80"/>
      <c r="AN341" s="20"/>
    </row>
    <row r="342" spans="25:54" x14ac:dyDescent="0.3">
      <c r="Y342" s="87">
        <v>6</v>
      </c>
      <c r="Z342" s="27">
        <v>89</v>
      </c>
      <c r="AA342" s="31">
        <v>0</v>
      </c>
      <c r="AB342" s="31">
        <v>1</v>
      </c>
      <c r="AC342" s="89">
        <v>2</v>
      </c>
      <c r="AH342" s="46" t="s">
        <v>98</v>
      </c>
      <c r="AI342" s="47"/>
      <c r="AK342" s="80"/>
      <c r="AL342" s="46" t="s">
        <v>99</v>
      </c>
      <c r="AM342" s="47"/>
      <c r="AP342" s="46"/>
      <c r="AQ342" s="46" t="s">
        <v>100</v>
      </c>
      <c r="AR342" s="47"/>
    </row>
    <row r="343" spans="25:54" x14ac:dyDescent="0.3">
      <c r="Y343" s="87">
        <v>7</v>
      </c>
      <c r="Z343" s="24">
        <v>89</v>
      </c>
      <c r="AA343" s="32">
        <v>0</v>
      </c>
      <c r="AB343" s="32">
        <v>1</v>
      </c>
      <c r="AC343" s="89">
        <v>3</v>
      </c>
      <c r="AH343" s="84" t="s">
        <v>81</v>
      </c>
      <c r="AJ343" s="84" t="s">
        <v>85</v>
      </c>
      <c r="AK343" s="80"/>
      <c r="AL343" s="84" t="s">
        <v>81</v>
      </c>
      <c r="AN343" s="84" t="s">
        <v>85</v>
      </c>
      <c r="AQ343" s="84" t="s">
        <v>81</v>
      </c>
      <c r="AS343" s="84" t="s">
        <v>85</v>
      </c>
    </row>
    <row r="344" spans="25:54" x14ac:dyDescent="0.3">
      <c r="Y344" s="87">
        <v>8</v>
      </c>
      <c r="Z344" s="24">
        <v>91</v>
      </c>
      <c r="AA344" s="32">
        <v>0</v>
      </c>
      <c r="AB344" s="32">
        <v>1</v>
      </c>
      <c r="AC344" s="89">
        <v>3</v>
      </c>
      <c r="AH344" s="101" t="s">
        <v>82</v>
      </c>
      <c r="AI344" s="101">
        <f>SUM(AA368,AA369,AA375)</f>
        <v>1.9</v>
      </c>
      <c r="AJ344" s="101">
        <f>((AI344)/(AI344+AI345+AI346))*(100)</f>
        <v>100</v>
      </c>
      <c r="AK344" s="80"/>
      <c r="AL344" s="90" t="s">
        <v>82</v>
      </c>
      <c r="AM344" s="90">
        <f>SUM(AB367,AB368,AB369)</f>
        <v>1.9857142857142858</v>
      </c>
      <c r="AN344" s="90">
        <f>((AM344)/(AM344+AM345+AM346))*(100)</f>
        <v>39.154929577464792</v>
      </c>
      <c r="AP344" s="90"/>
      <c r="AQ344" s="90" t="s">
        <v>82</v>
      </c>
      <c r="AR344" s="90">
        <f>SUM(AC367)</f>
        <v>0.11428571428571428</v>
      </c>
      <c r="AS344" s="90">
        <f>((AR344)/(AR344+AR345+AR346))*(100)</f>
        <v>2.8368794326241136</v>
      </c>
    </row>
    <row r="345" spans="25:54" x14ac:dyDescent="0.3">
      <c r="Y345" s="87">
        <v>9</v>
      </c>
      <c r="Z345" s="27">
        <v>106</v>
      </c>
      <c r="AA345" s="31">
        <v>0</v>
      </c>
      <c r="AB345" s="31">
        <v>1</v>
      </c>
      <c r="AC345" s="89">
        <v>3</v>
      </c>
      <c r="AH345" s="84" t="s">
        <v>83</v>
      </c>
      <c r="AI345" s="84">
        <f>SUM(0)</f>
        <v>0</v>
      </c>
      <c r="AJ345" s="84">
        <f>((AI345)/(AI344+AI345+AI346))*(100)</f>
        <v>0</v>
      </c>
      <c r="AK345" s="80"/>
      <c r="AL345" s="84" t="s">
        <v>83</v>
      </c>
      <c r="AM345" s="84">
        <f>SUM(AB365,AB370,AB374)</f>
        <v>2.1428571428571428</v>
      </c>
      <c r="AN345" s="84">
        <f>((AM345)/(AM344+AM345+AM346))*(100)</f>
        <v>42.25352112676056</v>
      </c>
      <c r="AQ345" s="84" t="s">
        <v>83</v>
      </c>
      <c r="AR345" s="84">
        <f>SUM(AC365,AC374)</f>
        <v>0.8571428571428571</v>
      </c>
      <c r="AS345" s="84">
        <f>((AR345)/(AR344+AR345+AR346))*(100)</f>
        <v>21.276595744680851</v>
      </c>
    </row>
    <row r="346" spans="25:54" x14ac:dyDescent="0.3">
      <c r="Y346" s="87">
        <v>12</v>
      </c>
      <c r="Z346" s="27">
        <v>101</v>
      </c>
      <c r="AA346" s="31">
        <v>0</v>
      </c>
      <c r="AB346" s="31">
        <v>1</v>
      </c>
      <c r="AC346" s="89">
        <v>2</v>
      </c>
      <c r="AH346" s="84" t="s">
        <v>84</v>
      </c>
      <c r="AI346" s="84">
        <f>SUM(AJ331)</f>
        <v>0</v>
      </c>
      <c r="AJ346" s="84">
        <f>((AI346)/(AI344+AI345+AI346))*(100)</f>
        <v>0</v>
      </c>
      <c r="AK346" s="80"/>
      <c r="AL346" s="84" t="s">
        <v>84</v>
      </c>
      <c r="AM346" s="84">
        <f>SUM(AB371)</f>
        <v>0.94285714285714284</v>
      </c>
      <c r="AN346" s="84">
        <f>((AM346)/(AM344+AM345+AM346))*(100)</f>
        <v>18.591549295774648</v>
      </c>
      <c r="AQ346" s="101" t="s">
        <v>84</v>
      </c>
      <c r="AR346" s="101">
        <f>SUM(AC366,AC371,AC372,AC373)</f>
        <v>3.0571428571428569</v>
      </c>
      <c r="AS346" s="101">
        <f>((AR346)/(AR344+AR345+AR346))*(100)</f>
        <v>75.886524822695037</v>
      </c>
    </row>
    <row r="347" spans="25:54" x14ac:dyDescent="0.3">
      <c r="Y347" s="87">
        <v>14</v>
      </c>
      <c r="Z347" s="24">
        <v>79</v>
      </c>
      <c r="AA347" s="32">
        <v>0.5</v>
      </c>
      <c r="AB347" s="32">
        <v>0.5</v>
      </c>
      <c r="AC347" s="89">
        <v>1</v>
      </c>
    </row>
    <row r="348" spans="25:54" x14ac:dyDescent="0.3">
      <c r="AA348" s="84">
        <f>SUM(AA337:AA347)</f>
        <v>1.1000000000000001</v>
      </c>
      <c r="AB348" s="84">
        <f>SUM(AB337:AB347)</f>
        <v>9.9</v>
      </c>
    </row>
    <row r="350" spans="25:54" x14ac:dyDescent="0.3">
      <c r="Y350" s="87" t="s">
        <v>77</v>
      </c>
      <c r="Z350" s="86" t="s">
        <v>42</v>
      </c>
      <c r="AA350" s="86" t="s">
        <v>55</v>
      </c>
      <c r="AB350" s="86" t="s">
        <v>43</v>
      </c>
      <c r="AC350" s="86" t="s">
        <v>79</v>
      </c>
      <c r="AD350" s="84" t="s">
        <v>68</v>
      </c>
    </row>
    <row r="351" spans="25:54" x14ac:dyDescent="0.3">
      <c r="Y351" s="87">
        <v>1</v>
      </c>
      <c r="Z351" s="89">
        <v>52</v>
      </c>
      <c r="AA351" s="86">
        <v>0</v>
      </c>
      <c r="AB351" s="86">
        <v>1</v>
      </c>
      <c r="AC351" s="89">
        <v>2</v>
      </c>
      <c r="AD351" s="84" t="s">
        <v>55</v>
      </c>
      <c r="AE351" s="84">
        <f>-((AA354+AA355)/(AA362)*LOG((AA354+AA355)/(AA362),2))-((AA356+AA360)/(AA362)*LOG((AA356+AA360)/(AA362),2))-((AA357+AA358+AA359)/(AA362)*LOG((AA357+AA358+AA359)/(AA362),2))</f>
        <v>1.5782640746334207</v>
      </c>
    </row>
    <row r="352" spans="25:54" x14ac:dyDescent="0.3">
      <c r="Y352" s="87">
        <v>2</v>
      </c>
      <c r="Z352" s="89">
        <v>66</v>
      </c>
      <c r="AA352" s="86">
        <v>0</v>
      </c>
      <c r="AB352" s="86">
        <v>1</v>
      </c>
      <c r="AC352" s="89">
        <v>3</v>
      </c>
      <c r="AD352" s="84" t="s">
        <v>43</v>
      </c>
      <c r="AE352" s="84">
        <f>-((AB353+AB354+AB355+AB361)/(AB362)*LOG((AB353+AB354+AB355+AB361)/(AB362),2))-((AB351+AB356+AB360)/(AB362)*LOG((AB351+AB356+AB360)/(AB362),2))-((AB352+AB357+AB358+AB359)/(AB362)*LOG((AB352+AB357+AB358+AB359)/(AB362),2))</f>
        <v>1.5452632042311432</v>
      </c>
    </row>
    <row r="353" spans="17:32" x14ac:dyDescent="0.3">
      <c r="Y353" s="87">
        <v>3</v>
      </c>
      <c r="Z353" s="89">
        <v>56</v>
      </c>
      <c r="AA353" s="86">
        <v>0</v>
      </c>
      <c r="AB353" s="86">
        <v>1</v>
      </c>
      <c r="AC353" s="89">
        <v>1</v>
      </c>
    </row>
    <row r="354" spans="17:32" x14ac:dyDescent="0.3">
      <c r="Y354" s="87">
        <v>4</v>
      </c>
      <c r="Z354" s="89">
        <v>38</v>
      </c>
      <c r="AA354" s="86">
        <v>0.51851851851851849</v>
      </c>
      <c r="AB354" s="86">
        <v>0.48148148148148145</v>
      </c>
      <c r="AC354" s="89">
        <v>1</v>
      </c>
    </row>
    <row r="355" spans="17:32" x14ac:dyDescent="0.3">
      <c r="Y355" s="87">
        <v>5</v>
      </c>
      <c r="Z355" s="89">
        <v>36</v>
      </c>
      <c r="AA355" s="86">
        <v>0.59259259259259256</v>
      </c>
      <c r="AB355" s="86">
        <v>0.40740740740740738</v>
      </c>
      <c r="AC355" s="89">
        <v>1</v>
      </c>
    </row>
    <row r="356" spans="17:32" x14ac:dyDescent="0.3">
      <c r="Q356" s="68"/>
      <c r="R356" s="80"/>
      <c r="S356" s="80"/>
      <c r="Y356" s="87">
        <v>6</v>
      </c>
      <c r="Z356" s="89">
        <v>31</v>
      </c>
      <c r="AA356" s="86">
        <v>0.77777777777777779</v>
      </c>
      <c r="AB356" s="86">
        <v>0.22222222222222221</v>
      </c>
      <c r="AC356" s="89">
        <v>2</v>
      </c>
    </row>
    <row r="357" spans="17:32" x14ac:dyDescent="0.3">
      <c r="Q357" s="68"/>
      <c r="R357" s="80"/>
      <c r="S357" s="20"/>
      <c r="Y357" s="87">
        <v>7</v>
      </c>
      <c r="Z357" s="89">
        <v>43</v>
      </c>
      <c r="AA357" s="86">
        <v>0.33333333333333331</v>
      </c>
      <c r="AB357" s="86">
        <v>0.66666666666666663</v>
      </c>
      <c r="AC357" s="89">
        <v>3</v>
      </c>
    </row>
    <row r="358" spans="17:32" x14ac:dyDescent="0.3">
      <c r="Q358" s="68"/>
      <c r="R358" s="80"/>
      <c r="S358" s="20"/>
      <c r="Y358" s="87">
        <v>8</v>
      </c>
      <c r="Z358" s="89">
        <v>49</v>
      </c>
      <c r="AA358" s="86">
        <v>0.1111111111111111</v>
      </c>
      <c r="AB358" s="86">
        <v>0.88888888888888884</v>
      </c>
      <c r="AC358" s="89">
        <v>3</v>
      </c>
    </row>
    <row r="359" spans="17:32" x14ac:dyDescent="0.3">
      <c r="Q359" s="68"/>
      <c r="R359" s="80"/>
      <c r="S359" s="20"/>
      <c r="Y359" s="87">
        <v>9</v>
      </c>
      <c r="Z359" s="89">
        <v>27</v>
      </c>
      <c r="AA359" s="86">
        <v>0.92592592592592593</v>
      </c>
      <c r="AB359" s="86">
        <v>7.407407407407407E-2</v>
      </c>
      <c r="AC359" s="89">
        <v>3</v>
      </c>
    </row>
    <row r="360" spans="17:32" x14ac:dyDescent="0.3">
      <c r="Y360" s="87">
        <v>12</v>
      </c>
      <c r="Z360" s="89">
        <v>36</v>
      </c>
      <c r="AA360" s="86">
        <v>0.59259259259259256</v>
      </c>
      <c r="AB360" s="86">
        <v>0.40740740740740738</v>
      </c>
      <c r="AC360" s="89">
        <v>2</v>
      </c>
    </row>
    <row r="361" spans="17:32" x14ac:dyDescent="0.3">
      <c r="T361" s="87" t="s">
        <v>77</v>
      </c>
      <c r="U361" s="86" t="s">
        <v>62</v>
      </c>
      <c r="V361" s="86" t="s">
        <v>79</v>
      </c>
      <c r="Y361" s="87">
        <v>14</v>
      </c>
      <c r="Z361" s="89">
        <v>54</v>
      </c>
      <c r="AA361" s="86">
        <v>0</v>
      </c>
      <c r="AB361" s="86">
        <v>1</v>
      </c>
      <c r="AC361" s="89">
        <v>1</v>
      </c>
    </row>
    <row r="362" spans="17:32" x14ac:dyDescent="0.3">
      <c r="T362" s="87">
        <v>1</v>
      </c>
      <c r="U362" s="86">
        <v>0.7142857142857143</v>
      </c>
      <c r="V362" s="89">
        <v>2</v>
      </c>
      <c r="AA362" s="84">
        <f>SUM(AA351:AA361)</f>
        <v>3.8518518518518521</v>
      </c>
      <c r="AB362" s="84">
        <f>SUM(AB351:AB361)</f>
        <v>7.1481481481481479</v>
      </c>
    </row>
    <row r="363" spans="17:32" x14ac:dyDescent="0.3">
      <c r="T363" s="87">
        <v>3</v>
      </c>
      <c r="U363" s="86">
        <v>0.88571428571428568</v>
      </c>
      <c r="V363" s="89">
        <v>1</v>
      </c>
    </row>
    <row r="364" spans="17:32" x14ac:dyDescent="0.3">
      <c r="T364" s="87">
        <v>4</v>
      </c>
      <c r="U364" s="86">
        <v>0.8</v>
      </c>
      <c r="V364" s="89">
        <v>1</v>
      </c>
      <c r="Y364" s="87" t="s">
        <v>77</v>
      </c>
      <c r="Z364" s="86" t="s">
        <v>59</v>
      </c>
      <c r="AA364" s="86" t="s">
        <v>44</v>
      </c>
      <c r="AB364" s="86" t="s">
        <v>62</v>
      </c>
      <c r="AC364" s="88" t="s">
        <v>61</v>
      </c>
      <c r="AD364" s="86" t="s">
        <v>79</v>
      </c>
      <c r="AE364" s="84" t="s">
        <v>72</v>
      </c>
    </row>
    <row r="365" spans="17:32" x14ac:dyDescent="0.3">
      <c r="T365" s="87">
        <v>5</v>
      </c>
      <c r="U365" s="86">
        <v>0.3</v>
      </c>
      <c r="V365" s="89">
        <v>1</v>
      </c>
      <c r="Y365" s="87">
        <v>1</v>
      </c>
      <c r="Z365" s="86">
        <v>215</v>
      </c>
      <c r="AA365" s="86">
        <v>0</v>
      </c>
      <c r="AB365" s="86">
        <v>0.7142857142857143</v>
      </c>
      <c r="AC365" s="71">
        <v>0.2857142857142857</v>
      </c>
      <c r="AD365" s="89">
        <v>2</v>
      </c>
      <c r="AE365" s="84" t="s">
        <v>44</v>
      </c>
      <c r="AF365" s="84">
        <f>-((AA368+AA369+AA375)/(AA376)*LOG((AA368+AA369+AA375)/(AA376),2))-((0))-((0))</f>
        <v>0</v>
      </c>
    </row>
    <row r="366" spans="17:32" x14ac:dyDescent="0.3">
      <c r="T366" s="87">
        <v>6</v>
      </c>
      <c r="U366" s="86">
        <v>1</v>
      </c>
      <c r="V366" s="89">
        <v>2</v>
      </c>
      <c r="Y366" s="87">
        <v>2</v>
      </c>
      <c r="Z366" s="86">
        <v>308</v>
      </c>
      <c r="AA366" s="86">
        <v>0</v>
      </c>
      <c r="AB366" s="86">
        <v>0</v>
      </c>
      <c r="AC366" s="71">
        <v>1</v>
      </c>
      <c r="AD366" s="89">
        <v>3</v>
      </c>
      <c r="AE366" s="84" t="s">
        <v>155</v>
      </c>
      <c r="AF366" s="84">
        <f>-((AB367+AB368+AB369)/(AB376)*LOG((AB367+AB368+AB369)/(AB376),2))-((AB365+AB370+AB374)/(AB376)*LOG((AB365+AB370+AB374)/(AB376),2))-(0)</f>
        <v>1.0548127444404258</v>
      </c>
    </row>
    <row r="367" spans="17:32" x14ac:dyDescent="0.3">
      <c r="T367" s="87">
        <v>7</v>
      </c>
      <c r="U367" s="86">
        <v>0.94285714285714284</v>
      </c>
      <c r="V367" s="89">
        <v>3</v>
      </c>
      <c r="Y367" s="87">
        <v>3</v>
      </c>
      <c r="Z367" s="86">
        <v>209</v>
      </c>
      <c r="AA367" s="86">
        <v>0</v>
      </c>
      <c r="AB367" s="86">
        <v>0.88571428571428568</v>
      </c>
      <c r="AC367" s="71">
        <v>0.11428571428571428</v>
      </c>
      <c r="AD367" s="89">
        <v>1</v>
      </c>
      <c r="AE367" s="44" t="s">
        <v>61</v>
      </c>
      <c r="AF367" s="84">
        <f>-((AC367)/(AC376)*LOG((AC367)/(AC376),2))-((AC365+AC374)/(AC376)*LOG((AC365+AC374)/(AC376),2))-((AC366+AC371+AC372+AC373)/(AC376)*LOG((AC366+AC371+AC372+AC373)/(AC376),2))</f>
        <v>0.92292947003582704</v>
      </c>
    </row>
    <row r="368" spans="17:32" x14ac:dyDescent="0.3">
      <c r="T368" s="87">
        <v>12</v>
      </c>
      <c r="U368" s="86">
        <v>0.42857142857142855</v>
      </c>
      <c r="V368" s="89">
        <v>2</v>
      </c>
      <c r="Y368" s="87">
        <v>4</v>
      </c>
      <c r="Z368" s="86">
        <v>203</v>
      </c>
      <c r="AA368" s="86">
        <v>0.2</v>
      </c>
      <c r="AB368" s="86">
        <v>0.8</v>
      </c>
      <c r="AC368" s="71">
        <v>0</v>
      </c>
      <c r="AD368" s="89">
        <v>1</v>
      </c>
    </row>
    <row r="369" spans="25:51" x14ac:dyDescent="0.3">
      <c r="Y369" s="87">
        <v>5</v>
      </c>
      <c r="Z369" s="86">
        <v>198</v>
      </c>
      <c r="AA369" s="86">
        <v>0.7</v>
      </c>
      <c r="AB369" s="86">
        <v>0.3</v>
      </c>
      <c r="AC369" s="71">
        <v>0</v>
      </c>
      <c r="AD369" s="89">
        <v>1</v>
      </c>
    </row>
    <row r="370" spans="25:51" x14ac:dyDescent="0.3">
      <c r="Y370" s="87">
        <v>6</v>
      </c>
      <c r="Z370" s="86">
        <v>205</v>
      </c>
      <c r="AA370" s="86">
        <v>0</v>
      </c>
      <c r="AB370" s="86">
        <v>1</v>
      </c>
      <c r="AC370" s="71">
        <v>0</v>
      </c>
      <c r="AD370" s="89">
        <v>2</v>
      </c>
    </row>
    <row r="371" spans="25:51" x14ac:dyDescent="0.3">
      <c r="Y371" s="87">
        <v>7</v>
      </c>
      <c r="Z371" s="86">
        <v>207</v>
      </c>
      <c r="AA371" s="86">
        <v>0</v>
      </c>
      <c r="AB371" s="86">
        <v>0.94285714285714284</v>
      </c>
      <c r="AC371" s="71">
        <v>5.7142857142857141E-2</v>
      </c>
      <c r="AD371" s="89">
        <v>3</v>
      </c>
    </row>
    <row r="372" spans="25:51" x14ac:dyDescent="0.3">
      <c r="Y372" s="87">
        <v>8</v>
      </c>
      <c r="Z372" s="86">
        <v>290</v>
      </c>
      <c r="AA372" s="86">
        <v>0</v>
      </c>
      <c r="AB372" s="86">
        <v>0</v>
      </c>
      <c r="AC372" s="71">
        <v>1</v>
      </c>
      <c r="AD372" s="89">
        <v>3</v>
      </c>
    </row>
    <row r="373" spans="25:51" x14ac:dyDescent="0.3">
      <c r="Y373" s="87">
        <v>9</v>
      </c>
      <c r="Z373" s="86">
        <v>250</v>
      </c>
      <c r="AA373" s="86">
        <v>0</v>
      </c>
      <c r="AB373" s="86">
        <v>0</v>
      </c>
      <c r="AC373" s="71">
        <v>1</v>
      </c>
      <c r="AD373" s="89">
        <v>3</v>
      </c>
    </row>
    <row r="374" spans="25:51" x14ac:dyDescent="0.3">
      <c r="Y374" s="87">
        <v>12</v>
      </c>
      <c r="Z374" s="86">
        <v>225</v>
      </c>
      <c r="AA374" s="86">
        <v>0</v>
      </c>
      <c r="AB374" s="86">
        <v>0.42857142857142855</v>
      </c>
      <c r="AC374" s="71">
        <v>0.5714285714285714</v>
      </c>
      <c r="AD374" s="89">
        <v>2</v>
      </c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</row>
    <row r="375" spans="25:51" x14ac:dyDescent="0.3">
      <c r="Y375" s="87">
        <v>14</v>
      </c>
      <c r="Z375" s="86">
        <v>172</v>
      </c>
      <c r="AA375" s="86">
        <v>1</v>
      </c>
      <c r="AB375" s="86">
        <v>0</v>
      </c>
      <c r="AC375" s="71">
        <v>0</v>
      </c>
      <c r="AD375" s="89">
        <v>1</v>
      </c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</row>
    <row r="376" spans="25:51" x14ac:dyDescent="0.3">
      <c r="AA376" s="84">
        <f>SUM(AA365:AA375)</f>
        <v>1.9</v>
      </c>
      <c r="AB376" s="84">
        <f>SUM(AB365:AB375)</f>
        <v>5.0714285714285721</v>
      </c>
      <c r="AC376" s="84">
        <f>SUM(AC365:AC375)</f>
        <v>4.0285714285714285</v>
      </c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</row>
    <row r="377" spans="25:51" x14ac:dyDescent="0.3"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</row>
    <row r="378" spans="25:51" x14ac:dyDescent="0.3"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</row>
    <row r="379" spans="25:51" x14ac:dyDescent="0.3"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</row>
    <row r="380" spans="25:51" x14ac:dyDescent="0.3"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</row>
    <row r="381" spans="25:51" x14ac:dyDescent="0.3">
      <c r="AG381" s="44"/>
      <c r="AH381" s="44"/>
      <c r="AI381" s="44"/>
      <c r="AJ381" s="44"/>
      <c r="AK381" s="44"/>
      <c r="AL381" s="44"/>
      <c r="AM381" s="44"/>
      <c r="AN381" s="44"/>
      <c r="AO381" s="96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</row>
    <row r="382" spans="25:51" x14ac:dyDescent="0.3">
      <c r="AG382" s="44"/>
      <c r="AH382" s="44"/>
      <c r="AI382" s="44"/>
      <c r="AJ382" s="44"/>
      <c r="AK382" s="44"/>
      <c r="AL382" s="44"/>
      <c r="AM382" s="44"/>
      <c r="AN382" s="44"/>
      <c r="AO382" s="96"/>
      <c r="AP382" s="91"/>
      <c r="AQ382" s="44"/>
      <c r="AR382" s="44"/>
      <c r="AS382" s="91"/>
      <c r="AT382" s="44"/>
      <c r="AU382" s="44"/>
      <c r="AV382" s="44"/>
      <c r="AW382" s="44"/>
      <c r="AX382" s="44"/>
      <c r="AY382" s="44"/>
    </row>
    <row r="383" spans="25:51" x14ac:dyDescent="0.3">
      <c r="AG383" s="44"/>
      <c r="AH383" s="44"/>
      <c r="AI383" s="44"/>
      <c r="AJ383" s="44"/>
      <c r="AK383" s="44"/>
      <c r="AL383" s="44"/>
      <c r="AM383" s="44"/>
      <c r="AN383" s="44"/>
      <c r="AO383" s="96"/>
      <c r="AP383" s="91"/>
      <c r="AQ383" s="44"/>
      <c r="AR383" s="44"/>
      <c r="AS383" s="91"/>
      <c r="AT383" s="44"/>
      <c r="AU383" s="44"/>
      <c r="AV383" s="44"/>
      <c r="AW383" s="44"/>
      <c r="AX383" s="44"/>
      <c r="AY383" s="44"/>
    </row>
    <row r="384" spans="25:51" x14ac:dyDescent="0.3">
      <c r="AG384" s="44"/>
      <c r="AH384" s="44"/>
      <c r="AI384" s="44"/>
      <c r="AJ384" s="44"/>
      <c r="AK384" s="44"/>
      <c r="AL384" s="44"/>
      <c r="AM384" s="44"/>
      <c r="AN384" s="44"/>
      <c r="AO384" s="96"/>
      <c r="AP384" s="91"/>
      <c r="AQ384" s="44"/>
      <c r="AR384" s="44"/>
      <c r="AS384" s="91"/>
      <c r="AT384" s="44"/>
      <c r="AU384" s="44"/>
      <c r="AV384" s="44"/>
      <c r="AW384" s="44"/>
      <c r="AX384" s="44"/>
      <c r="AY384" s="44"/>
    </row>
    <row r="385" spans="22:51" x14ac:dyDescent="0.3">
      <c r="AG385" s="44"/>
      <c r="AH385" s="44"/>
      <c r="AI385" s="44"/>
      <c r="AJ385" s="44"/>
      <c r="AK385" s="44"/>
      <c r="AL385" s="44"/>
      <c r="AM385" s="44"/>
      <c r="AN385" s="44"/>
      <c r="AO385" s="96"/>
      <c r="AP385" s="91"/>
      <c r="AQ385" s="44"/>
      <c r="AR385" s="44"/>
      <c r="AS385" s="91"/>
      <c r="AT385" s="44"/>
      <c r="AU385" s="44"/>
      <c r="AV385" s="44"/>
      <c r="AW385" s="44"/>
      <c r="AX385" s="44"/>
      <c r="AY385" s="44"/>
    </row>
    <row r="386" spans="22:51" x14ac:dyDescent="0.3">
      <c r="AG386" s="44"/>
      <c r="AH386" s="44"/>
      <c r="AI386" s="44"/>
      <c r="AJ386" s="44"/>
      <c r="AK386" s="44"/>
      <c r="AL386" s="44"/>
      <c r="AM386" s="44"/>
      <c r="AN386" s="44"/>
      <c r="AO386" s="96"/>
      <c r="AP386" s="91"/>
      <c r="AQ386" s="44"/>
      <c r="AR386" s="44"/>
      <c r="AS386" s="91"/>
      <c r="AT386" s="44"/>
      <c r="AU386" s="44"/>
      <c r="AV386" s="44"/>
      <c r="AW386" s="44"/>
      <c r="AX386" s="44"/>
      <c r="AY386" s="44"/>
    </row>
    <row r="387" spans="22:51" x14ac:dyDescent="0.3">
      <c r="V387" s="87" t="s">
        <v>77</v>
      </c>
      <c r="W387" s="86" t="s">
        <v>7</v>
      </c>
      <c r="X387" s="86" t="s">
        <v>57</v>
      </c>
      <c r="Y387" s="86" t="s">
        <v>58</v>
      </c>
      <c r="Z387" s="86" t="s">
        <v>79</v>
      </c>
      <c r="AA387" s="84" t="s">
        <v>74</v>
      </c>
      <c r="AF387" s="181" t="s">
        <v>63</v>
      </c>
      <c r="AG387" s="182"/>
      <c r="AH387" s="183"/>
      <c r="AI387" s="181">
        <f>-((3/7)*LOG((3/7),2))-((3/7)*LOG((3/7),2))-((1/7)*LOG((1/7),2))</f>
        <v>1.4488156357251847</v>
      </c>
      <c r="AJ387" s="182"/>
      <c r="AK387" s="183"/>
      <c r="AL387" s="44"/>
      <c r="AM387" s="44"/>
      <c r="AN387" s="44"/>
      <c r="AO387" s="96"/>
      <c r="AP387" s="91"/>
      <c r="AQ387" s="44"/>
      <c r="AR387" s="44"/>
      <c r="AS387" s="91"/>
      <c r="AT387" s="44"/>
      <c r="AU387" s="44"/>
      <c r="AV387" s="44"/>
      <c r="AW387" s="44"/>
      <c r="AX387" s="44"/>
      <c r="AY387" s="44"/>
    </row>
    <row r="388" spans="22:51" x14ac:dyDescent="0.3">
      <c r="V388" s="87">
        <v>1</v>
      </c>
      <c r="W388" s="24">
        <v>78</v>
      </c>
      <c r="X388" s="32">
        <v>0.55000000000000004</v>
      </c>
      <c r="Y388" s="32">
        <v>0.45</v>
      </c>
      <c r="Z388" s="89">
        <v>2</v>
      </c>
      <c r="AA388" s="84" t="s">
        <v>55</v>
      </c>
      <c r="AB388" s="84">
        <f>-((X391)/(X395)*LOG((X391)/(X395),2))-((X388)/(X395)*LOG((X388)/(X395),2))-((0))</f>
        <v>0.41381685030363374</v>
      </c>
      <c r="AF388" s="199" t="s">
        <v>73</v>
      </c>
      <c r="AG388" s="200"/>
      <c r="AH388" s="201"/>
      <c r="AI388" s="199">
        <f>(AI387)-((X395/7)*AB388)-((Y395/7)*AB389)</f>
        <v>7.5026221211595079E-2</v>
      </c>
      <c r="AJ388" s="200"/>
      <c r="AK388" s="201"/>
      <c r="AL388" s="44" t="s">
        <v>166</v>
      </c>
      <c r="AM388" s="44"/>
      <c r="AN388" s="44"/>
      <c r="AO388" s="96"/>
      <c r="AP388" s="91"/>
      <c r="AQ388" s="44"/>
      <c r="AR388" s="44"/>
      <c r="AS388" s="91"/>
      <c r="AT388" s="44"/>
      <c r="AU388" s="44"/>
      <c r="AV388" s="44"/>
      <c r="AW388" s="44"/>
      <c r="AX388" s="44"/>
      <c r="AY388" s="44"/>
    </row>
    <row r="389" spans="22:51" x14ac:dyDescent="0.3">
      <c r="V389" s="87">
        <v>3</v>
      </c>
      <c r="W389" s="24">
        <v>98</v>
      </c>
      <c r="X389" s="32">
        <v>0</v>
      </c>
      <c r="Y389" s="32">
        <v>1</v>
      </c>
      <c r="Z389" s="89">
        <v>1</v>
      </c>
      <c r="AA389" s="84" t="s">
        <v>43</v>
      </c>
      <c r="AB389" s="84">
        <f>-((Y389+Y390+Y391)/(Y395)*LOG((Y389+Y390+Y391)/(Y395),2))-((Y388+Y392+Y394)/(Y395)*LOG((Y388+Y392+Y394)/(Y395),2))-((Y393)/(Y395)*LOG((Y393)/(Y395),2))</f>
        <v>1.4637868424082729</v>
      </c>
      <c r="AF389" s="191" t="s">
        <v>65</v>
      </c>
      <c r="AG389" s="191"/>
      <c r="AH389" s="191"/>
      <c r="AI389" s="191">
        <f>(AI387)-((X405/7)*AB398)-((Y405/7)*AB399)</f>
        <v>7.1777379549612386E-3</v>
      </c>
      <c r="AJ389" s="191"/>
      <c r="AK389" s="191"/>
      <c r="AL389" s="44"/>
      <c r="AM389" s="44"/>
      <c r="AN389" s="44"/>
      <c r="AO389" s="96"/>
      <c r="AP389" s="91"/>
      <c r="AQ389" s="44"/>
      <c r="AR389" s="44"/>
      <c r="AS389" s="91"/>
      <c r="AT389" s="44"/>
      <c r="AU389" s="44"/>
      <c r="AV389" s="44"/>
      <c r="AW389" s="44"/>
      <c r="AX389" s="44"/>
      <c r="AY389" s="44"/>
    </row>
    <row r="390" spans="22:51" x14ac:dyDescent="0.3">
      <c r="V390" s="87">
        <v>4</v>
      </c>
      <c r="W390" s="27">
        <v>99</v>
      </c>
      <c r="X390" s="31">
        <v>0</v>
      </c>
      <c r="Y390" s="31">
        <v>1</v>
      </c>
      <c r="Z390" s="89">
        <v>1</v>
      </c>
      <c r="AG390" s="44"/>
      <c r="AH390" s="44"/>
      <c r="AI390" s="44"/>
      <c r="AJ390" s="44"/>
      <c r="AK390" s="44"/>
      <c r="AL390" s="44"/>
      <c r="AM390" s="44"/>
      <c r="AN390" s="44"/>
      <c r="AO390" s="96"/>
      <c r="AP390" s="91"/>
      <c r="AQ390" s="44"/>
      <c r="AR390" s="44"/>
      <c r="AS390" s="91"/>
      <c r="AT390" s="44"/>
      <c r="AU390" s="44"/>
      <c r="AV390" s="44"/>
      <c r="AW390" s="44"/>
      <c r="AX390" s="44"/>
      <c r="AY390" s="44"/>
    </row>
    <row r="391" spans="22:51" x14ac:dyDescent="0.3">
      <c r="V391" s="87">
        <v>5</v>
      </c>
      <c r="W391" s="27">
        <v>88</v>
      </c>
      <c r="X391" s="31">
        <v>0.05</v>
      </c>
      <c r="Y391" s="31">
        <v>0.95</v>
      </c>
      <c r="Z391" s="89">
        <v>1</v>
      </c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</row>
    <row r="392" spans="22:51" x14ac:dyDescent="0.3">
      <c r="V392" s="87">
        <v>6</v>
      </c>
      <c r="W392" s="27">
        <v>89</v>
      </c>
      <c r="X392" s="31">
        <v>0</v>
      </c>
      <c r="Y392" s="31">
        <v>1</v>
      </c>
      <c r="Z392" s="89">
        <v>2</v>
      </c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</row>
    <row r="393" spans="22:51" x14ac:dyDescent="0.3">
      <c r="V393" s="87">
        <v>7</v>
      </c>
      <c r="W393" s="24">
        <v>89</v>
      </c>
      <c r="X393" s="32">
        <v>0</v>
      </c>
      <c r="Y393" s="32">
        <v>1</v>
      </c>
      <c r="Z393" s="89">
        <v>3</v>
      </c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</row>
    <row r="394" spans="22:51" x14ac:dyDescent="0.3">
      <c r="V394" s="87">
        <v>12</v>
      </c>
      <c r="W394" s="27">
        <v>101</v>
      </c>
      <c r="X394" s="31">
        <v>0</v>
      </c>
      <c r="Y394" s="31">
        <v>1</v>
      </c>
      <c r="Z394" s="89">
        <v>2</v>
      </c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</row>
    <row r="395" spans="22:51" x14ac:dyDescent="0.3">
      <c r="X395" s="84">
        <f>SUM(X388:X394)</f>
        <v>0.60000000000000009</v>
      </c>
      <c r="Y395" s="84">
        <f>SUM(Y388:Y394)</f>
        <v>6.4</v>
      </c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</row>
    <row r="396" spans="22:51" x14ac:dyDescent="0.3">
      <c r="AG396" s="44"/>
      <c r="AH396" s="96"/>
      <c r="AI396" s="44"/>
      <c r="AJ396" s="44"/>
      <c r="AK396" s="44"/>
      <c r="AL396" s="44"/>
      <c r="AM396" s="44"/>
      <c r="AN396" s="96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</row>
    <row r="397" spans="22:51" x14ac:dyDescent="0.3">
      <c r="V397" s="87" t="s">
        <v>77</v>
      </c>
      <c r="W397" s="86" t="s">
        <v>42</v>
      </c>
      <c r="X397" s="86" t="s">
        <v>55</v>
      </c>
      <c r="Y397" s="86" t="s">
        <v>43</v>
      </c>
      <c r="Z397" s="86" t="s">
        <v>79</v>
      </c>
      <c r="AA397" s="84" t="s">
        <v>68</v>
      </c>
      <c r="AF397" s="46" t="s">
        <v>101</v>
      </c>
      <c r="AG397" s="47"/>
      <c r="AI397" s="80"/>
      <c r="AJ397" s="46" t="s">
        <v>102</v>
      </c>
      <c r="AK397" s="47"/>
      <c r="AM397" s="44"/>
      <c r="AN397" s="96"/>
      <c r="AO397" s="44"/>
      <c r="AP397" s="91"/>
      <c r="AQ397" s="96"/>
      <c r="AR397" s="44"/>
      <c r="AS397" s="44"/>
      <c r="AT397" s="44"/>
      <c r="AU397" s="44"/>
      <c r="AV397" s="44"/>
      <c r="AW397" s="44"/>
      <c r="AX397" s="44"/>
      <c r="AY397" s="44"/>
    </row>
    <row r="398" spans="22:51" x14ac:dyDescent="0.3">
      <c r="V398" s="87">
        <v>1</v>
      </c>
      <c r="W398" s="89">
        <v>52</v>
      </c>
      <c r="X398" s="86">
        <v>0</v>
      </c>
      <c r="Y398" s="86">
        <v>1</v>
      </c>
      <c r="Z398" s="89">
        <v>2</v>
      </c>
      <c r="AA398" s="84" t="s">
        <v>55</v>
      </c>
      <c r="AB398" s="84">
        <f>-((X400+X401)/(X405)*LOG((X400+X401)/(X405),2))-((X402+X404)/(X405)*LOG((X402+X404)/(X405),2))-((X403)/(X405)*LOG((X403)/(X405),2))</f>
        <v>1.3994299159500656</v>
      </c>
      <c r="AF398" s="84" t="s">
        <v>81</v>
      </c>
      <c r="AH398" s="84" t="s">
        <v>85</v>
      </c>
      <c r="AI398" s="80"/>
      <c r="AJ398" s="84" t="s">
        <v>81</v>
      </c>
      <c r="AL398" s="84" t="s">
        <v>85</v>
      </c>
      <c r="AM398" s="44"/>
      <c r="AN398" s="96"/>
      <c r="AO398" s="44"/>
      <c r="AP398" s="91"/>
      <c r="AQ398" s="96"/>
      <c r="AR398" s="44"/>
      <c r="AS398" s="44"/>
      <c r="AT398" s="44"/>
      <c r="AU398" s="44"/>
      <c r="AV398" s="44"/>
      <c r="AW398" s="44"/>
      <c r="AX398" s="44"/>
      <c r="AY398" s="44"/>
    </row>
    <row r="399" spans="22:51" x14ac:dyDescent="0.3">
      <c r="V399" s="87">
        <v>3</v>
      </c>
      <c r="W399" s="89">
        <v>56</v>
      </c>
      <c r="X399" s="86">
        <v>0</v>
      </c>
      <c r="Y399" s="86">
        <v>1</v>
      </c>
      <c r="Z399" s="89">
        <v>1</v>
      </c>
      <c r="AA399" s="84" t="s">
        <v>43</v>
      </c>
      <c r="AB399" s="84">
        <f>-((Y399+Y400+Y401)/(Y405)*LOG((Y399+Y400+Y401)/(Y405),2))-((Y398+Y402+Y404)/(Y405)*LOG((Y398+Y402+Y404)/(Y405),2))-((Y403)/(Y405)*LOG((Y403)/(Y405),2))</f>
        <v>1.4700255669590021</v>
      </c>
      <c r="AF399" s="90" t="s">
        <v>82</v>
      </c>
      <c r="AG399" s="90">
        <f>SUM(X391)</f>
        <v>0.05</v>
      </c>
      <c r="AH399" s="90">
        <f>((AG399)/(AG399+AG400+AG401))*(100)</f>
        <v>8.3333333333333321</v>
      </c>
      <c r="AI399" s="80"/>
      <c r="AJ399" s="90" t="s">
        <v>82</v>
      </c>
      <c r="AK399" s="90">
        <f>SUM(Y399:Y401)</f>
        <v>1.8888888888888888</v>
      </c>
      <c r="AL399" s="90">
        <f>((AK399)/(AK399+AK400+AK401))*(100)</f>
        <v>45.132743362831853</v>
      </c>
      <c r="AM399" s="44"/>
      <c r="AN399" s="96"/>
      <c r="AO399" s="44"/>
      <c r="AP399" s="91"/>
      <c r="AQ399" s="96"/>
      <c r="AR399" s="44"/>
      <c r="AS399" s="44"/>
      <c r="AT399" s="44"/>
      <c r="AU399" s="44"/>
      <c r="AV399" s="44"/>
      <c r="AW399" s="44"/>
      <c r="AX399" s="44"/>
      <c r="AY399" s="44"/>
    </row>
    <row r="400" spans="22:51" x14ac:dyDescent="0.3">
      <c r="V400" s="87">
        <v>4</v>
      </c>
      <c r="W400" s="89">
        <v>38</v>
      </c>
      <c r="X400" s="86">
        <v>0.51851851851851849</v>
      </c>
      <c r="Y400" s="86">
        <v>0.48148148148148145</v>
      </c>
      <c r="Z400" s="89">
        <v>1</v>
      </c>
      <c r="AF400" s="101" t="s">
        <v>83</v>
      </c>
      <c r="AG400" s="101">
        <f>SUM(X388)</f>
        <v>0.55000000000000004</v>
      </c>
      <c r="AH400" s="101">
        <f>((AG400)/(AG399+AG400+AG401))*(100)</f>
        <v>91.666666666666657</v>
      </c>
      <c r="AI400" s="80"/>
      <c r="AJ400" s="90" t="s">
        <v>83</v>
      </c>
      <c r="AK400" s="90">
        <f>SUM(Y398,Y402,Y404)</f>
        <v>1.6296296296296298</v>
      </c>
      <c r="AL400" s="90">
        <f>((AK400)/(AK399+AK400+AK401))*(100)</f>
        <v>38.93805309734514</v>
      </c>
      <c r="AM400" s="44"/>
      <c r="AN400" s="96"/>
      <c r="AO400" s="44"/>
      <c r="AP400" s="91"/>
      <c r="AQ400" s="96"/>
      <c r="AR400" s="44"/>
      <c r="AS400" s="44"/>
      <c r="AT400" s="44"/>
      <c r="AU400" s="44"/>
      <c r="AV400" s="44"/>
      <c r="AW400" s="44"/>
      <c r="AX400" s="44"/>
      <c r="AY400" s="44"/>
    </row>
    <row r="401" spans="16:51" x14ac:dyDescent="0.3">
      <c r="V401" s="87">
        <v>5</v>
      </c>
      <c r="W401" s="89">
        <v>36</v>
      </c>
      <c r="X401" s="86">
        <v>0.59259259259259256</v>
      </c>
      <c r="Y401" s="86">
        <v>0.40740740740740738</v>
      </c>
      <c r="Z401" s="89">
        <v>1</v>
      </c>
      <c r="AF401" s="84" t="s">
        <v>84</v>
      </c>
      <c r="AG401" s="84">
        <f>SUM(0)</f>
        <v>0</v>
      </c>
      <c r="AH401" s="84">
        <f>((AG401)/(AG399+AG400+AG401))*(100)</f>
        <v>0</v>
      </c>
      <c r="AI401" s="80"/>
      <c r="AJ401" s="90" t="s">
        <v>84</v>
      </c>
      <c r="AK401" s="90">
        <f>SUM(Y403)</f>
        <v>0.66666666666666663</v>
      </c>
      <c r="AL401" s="90">
        <f>((AK401)/(AK399+AK400+AK401))*(100)</f>
        <v>15.929203539823009</v>
      </c>
      <c r="AM401" s="44"/>
      <c r="AN401" s="96"/>
      <c r="AO401" s="44"/>
      <c r="AP401" s="91"/>
      <c r="AQ401" s="96"/>
      <c r="AR401" s="44"/>
      <c r="AS401" s="44"/>
      <c r="AT401" s="44"/>
      <c r="AU401" s="44"/>
      <c r="AV401" s="44"/>
      <c r="AW401" s="44"/>
      <c r="AX401" s="44"/>
      <c r="AY401" s="44"/>
    </row>
    <row r="402" spans="16:51" x14ac:dyDescent="0.3">
      <c r="V402" s="87">
        <v>6</v>
      </c>
      <c r="W402" s="89">
        <v>31</v>
      </c>
      <c r="X402" s="86">
        <v>0.77777777777777779</v>
      </c>
      <c r="Y402" s="86">
        <v>0.22222222222222221</v>
      </c>
      <c r="Z402" s="89">
        <v>2</v>
      </c>
      <c r="AG402" s="44"/>
      <c r="AH402" s="96"/>
      <c r="AI402" s="44"/>
      <c r="AJ402" s="91"/>
      <c r="AK402" s="44"/>
      <c r="AL402" s="44"/>
      <c r="AM402" s="44"/>
      <c r="AN402" s="96"/>
      <c r="AO402" s="44"/>
      <c r="AP402" s="91"/>
      <c r="AQ402" s="96"/>
      <c r="AR402" s="44"/>
      <c r="AS402" s="44"/>
      <c r="AT402" s="44"/>
      <c r="AU402" s="44"/>
      <c r="AV402" s="44"/>
      <c r="AW402" s="44"/>
      <c r="AX402" s="44"/>
      <c r="AY402" s="44"/>
    </row>
    <row r="403" spans="16:51" x14ac:dyDescent="0.3">
      <c r="V403" s="87">
        <v>7</v>
      </c>
      <c r="W403" s="89">
        <v>43</v>
      </c>
      <c r="X403" s="86">
        <v>0.33333333333333331</v>
      </c>
      <c r="Y403" s="86">
        <v>0.66666666666666663</v>
      </c>
      <c r="Z403" s="89">
        <v>3</v>
      </c>
      <c r="AG403" s="44"/>
      <c r="AH403" s="96"/>
      <c r="AI403" s="44"/>
      <c r="AJ403" s="91"/>
      <c r="AK403" s="44"/>
      <c r="AL403" s="44"/>
      <c r="AM403" s="44"/>
      <c r="AN403" s="44"/>
      <c r="AO403" s="44"/>
      <c r="AP403" s="44"/>
      <c r="AQ403" s="96"/>
      <c r="AR403" s="44"/>
      <c r="AS403" s="44"/>
      <c r="AT403" s="44"/>
      <c r="AU403" s="44"/>
      <c r="AV403" s="44"/>
      <c r="AW403" s="44"/>
      <c r="AX403" s="44"/>
      <c r="AY403" s="44"/>
    </row>
    <row r="404" spans="16:51" x14ac:dyDescent="0.3">
      <c r="V404" s="87">
        <v>12</v>
      </c>
      <c r="W404" s="89">
        <v>36</v>
      </c>
      <c r="X404" s="86">
        <v>0.59259259259259256</v>
      </c>
      <c r="Y404" s="86">
        <v>0.40740740740740738</v>
      </c>
      <c r="Z404" s="89">
        <v>2</v>
      </c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</row>
    <row r="405" spans="16:51" x14ac:dyDescent="0.3">
      <c r="X405" s="84">
        <f>SUM(X398:X404)</f>
        <v>2.8148148148148149</v>
      </c>
      <c r="Y405" s="84">
        <f>SUM(Y398:Y404)</f>
        <v>4.1851851851851851</v>
      </c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</row>
    <row r="406" spans="16:51" x14ac:dyDescent="0.3"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</row>
    <row r="407" spans="16:51" x14ac:dyDescent="0.3"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</row>
    <row r="408" spans="16:51" x14ac:dyDescent="0.3">
      <c r="AG408" s="44"/>
      <c r="AH408" s="47"/>
      <c r="AI408" s="47"/>
      <c r="AJ408" s="44"/>
      <c r="AK408" s="44"/>
      <c r="AL408" s="47"/>
      <c r="AM408" s="47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</row>
    <row r="409" spans="16:51" x14ac:dyDescent="0.3"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</row>
    <row r="410" spans="16:51" x14ac:dyDescent="0.3"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</row>
    <row r="411" spans="16:51" x14ac:dyDescent="0.3">
      <c r="P411" s="96"/>
      <c r="Q411" s="44"/>
      <c r="R411" s="87" t="s">
        <v>77</v>
      </c>
      <c r="S411" s="86" t="s">
        <v>184</v>
      </c>
      <c r="T411" s="86" t="s">
        <v>79</v>
      </c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</row>
    <row r="412" spans="16:51" x14ac:dyDescent="0.3">
      <c r="P412" s="96"/>
      <c r="Q412" s="44"/>
      <c r="R412" s="87">
        <v>1</v>
      </c>
      <c r="S412" s="32">
        <v>0.45</v>
      </c>
      <c r="T412" s="89">
        <v>2</v>
      </c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</row>
    <row r="413" spans="16:51" x14ac:dyDescent="0.3">
      <c r="P413" s="96"/>
      <c r="Q413" s="44"/>
      <c r="R413" s="87">
        <v>3</v>
      </c>
      <c r="S413" s="32">
        <v>1</v>
      </c>
      <c r="T413" s="89">
        <v>1</v>
      </c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</row>
    <row r="414" spans="16:51" x14ac:dyDescent="0.3">
      <c r="R414" s="87">
        <v>4</v>
      </c>
      <c r="S414" s="31">
        <v>1</v>
      </c>
      <c r="T414" s="89">
        <v>1</v>
      </c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</row>
    <row r="415" spans="16:51" x14ac:dyDescent="0.3">
      <c r="R415" s="87">
        <v>5</v>
      </c>
      <c r="S415" s="31">
        <v>0.95</v>
      </c>
      <c r="T415" s="89">
        <v>1</v>
      </c>
    </row>
    <row r="416" spans="16:51" x14ac:dyDescent="0.3">
      <c r="R416" s="87">
        <v>6</v>
      </c>
      <c r="S416" s="31">
        <v>1</v>
      </c>
      <c r="T416" s="89">
        <v>2</v>
      </c>
    </row>
    <row r="417" spans="18:50" x14ac:dyDescent="0.3">
      <c r="R417" s="87">
        <v>7</v>
      </c>
      <c r="S417" s="32">
        <v>1</v>
      </c>
      <c r="T417" s="89">
        <v>3</v>
      </c>
    </row>
    <row r="418" spans="18:50" x14ac:dyDescent="0.3">
      <c r="R418" s="87">
        <v>12</v>
      </c>
      <c r="S418" s="31">
        <v>1</v>
      </c>
      <c r="T418" s="89">
        <v>2</v>
      </c>
      <c r="AM418" s="112"/>
      <c r="AN418" s="204"/>
      <c r="AO418" s="204"/>
      <c r="AP418" s="204"/>
      <c r="AQ418" s="204"/>
      <c r="AR418" s="204"/>
      <c r="AS418" s="204"/>
      <c r="AT418" s="204"/>
      <c r="AU418" s="204"/>
      <c r="AV418" s="204"/>
      <c r="AW418" s="204"/>
      <c r="AX418" s="204"/>
    </row>
    <row r="419" spans="18:50" x14ac:dyDescent="0.3">
      <c r="AM419" s="96"/>
      <c r="AN419" s="190"/>
      <c r="AO419" s="190"/>
      <c r="AP419" s="190"/>
      <c r="AQ419" s="190"/>
      <c r="AR419" s="190"/>
      <c r="AS419" s="190"/>
      <c r="AT419" s="190"/>
      <c r="AU419" s="190"/>
      <c r="AV419" s="190"/>
      <c r="AW419" s="190"/>
      <c r="AX419" s="190"/>
    </row>
    <row r="420" spans="18:50" x14ac:dyDescent="0.3">
      <c r="AM420" s="96"/>
      <c r="AN420" s="190"/>
      <c r="AO420" s="190"/>
      <c r="AP420" s="190"/>
      <c r="AQ420" s="190"/>
      <c r="AR420" s="190"/>
      <c r="AS420" s="190"/>
      <c r="AT420" s="190"/>
      <c r="AU420" s="190"/>
      <c r="AV420" s="190"/>
      <c r="AW420" s="190"/>
      <c r="AX420" s="190"/>
    </row>
    <row r="421" spans="18:50" x14ac:dyDescent="0.3">
      <c r="AM421" s="96"/>
      <c r="AN421" s="190"/>
      <c r="AO421" s="190"/>
      <c r="AP421" s="190"/>
      <c r="AQ421" s="190"/>
      <c r="AR421" s="190"/>
      <c r="AS421" s="190"/>
      <c r="AT421" s="190"/>
      <c r="AU421" s="190"/>
      <c r="AV421" s="190"/>
      <c r="AW421" s="190"/>
      <c r="AX421" s="190"/>
    </row>
    <row r="422" spans="18:50" x14ac:dyDescent="0.3">
      <c r="AM422" s="96"/>
      <c r="AN422" s="190"/>
      <c r="AO422" s="190"/>
      <c r="AP422" s="190"/>
      <c r="AQ422" s="190"/>
      <c r="AR422" s="190"/>
      <c r="AS422" s="190"/>
      <c r="AT422" s="190"/>
      <c r="AU422" s="190"/>
      <c r="AV422" s="190"/>
      <c r="AW422" s="190"/>
      <c r="AX422" s="190"/>
    </row>
    <row r="423" spans="18:50" x14ac:dyDescent="0.3">
      <c r="AM423" s="96"/>
      <c r="AN423" s="190"/>
      <c r="AO423" s="190"/>
      <c r="AP423" s="190"/>
      <c r="AQ423" s="190"/>
      <c r="AR423" s="190"/>
      <c r="AS423" s="190"/>
      <c r="AT423" s="190"/>
      <c r="AU423" s="190"/>
      <c r="AV423" s="190"/>
      <c r="AW423" s="190"/>
      <c r="AX423" s="190"/>
    </row>
    <row r="424" spans="18:50" x14ac:dyDescent="0.3">
      <c r="AM424" s="96"/>
      <c r="AN424" s="190"/>
      <c r="AO424" s="190"/>
      <c r="AP424" s="190"/>
      <c r="AQ424" s="190"/>
      <c r="AR424" s="190"/>
      <c r="AS424" s="190"/>
      <c r="AT424" s="190"/>
      <c r="AU424" s="190"/>
      <c r="AV424" s="190"/>
      <c r="AW424" s="190"/>
      <c r="AX424" s="190"/>
    </row>
    <row r="425" spans="18:50" x14ac:dyDescent="0.3">
      <c r="AM425" s="96"/>
      <c r="AN425" s="190"/>
      <c r="AO425" s="190"/>
      <c r="AP425" s="190"/>
      <c r="AQ425" s="190"/>
      <c r="AR425" s="190"/>
      <c r="AS425" s="190"/>
      <c r="AT425" s="190"/>
      <c r="AU425" s="190"/>
      <c r="AV425" s="190"/>
      <c r="AW425" s="190"/>
      <c r="AX425" s="190"/>
    </row>
    <row r="426" spans="18:50" x14ac:dyDescent="0.3">
      <c r="AM426" s="96"/>
      <c r="AN426" s="190"/>
      <c r="AO426" s="190"/>
      <c r="AP426" s="190"/>
      <c r="AQ426" s="190"/>
      <c r="AR426" s="190"/>
      <c r="AS426" s="190"/>
      <c r="AT426" s="190"/>
      <c r="AU426" s="190"/>
      <c r="AV426" s="190"/>
      <c r="AW426" s="190"/>
      <c r="AX426" s="190"/>
    </row>
    <row r="427" spans="18:50" x14ac:dyDescent="0.3"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</row>
    <row r="428" spans="18:50" x14ac:dyDescent="0.3"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</row>
    <row r="429" spans="18:50" x14ac:dyDescent="0.3">
      <c r="U429" s="87" t="s">
        <v>77</v>
      </c>
      <c r="V429" s="86" t="s">
        <v>42</v>
      </c>
      <c r="W429" s="86" t="s">
        <v>55</v>
      </c>
      <c r="X429" s="86" t="s">
        <v>43</v>
      </c>
      <c r="Y429" s="86" t="s">
        <v>79</v>
      </c>
      <c r="Z429" s="84" t="s">
        <v>68</v>
      </c>
      <c r="AM429" s="44"/>
      <c r="AN429" s="190"/>
      <c r="AO429" s="190"/>
      <c r="AP429" s="190"/>
      <c r="AQ429" s="190"/>
      <c r="AR429" s="190"/>
      <c r="AS429" s="190"/>
      <c r="AT429" s="190"/>
      <c r="AU429" s="190"/>
      <c r="AV429" s="190"/>
      <c r="AW429" s="44"/>
      <c r="AX429" s="44"/>
    </row>
    <row r="430" spans="18:50" x14ac:dyDescent="0.3">
      <c r="U430" s="87">
        <v>1</v>
      </c>
      <c r="V430" s="89">
        <v>52</v>
      </c>
      <c r="W430" s="86">
        <v>0</v>
      </c>
      <c r="X430" s="86">
        <v>1</v>
      </c>
      <c r="Y430" s="89">
        <v>2</v>
      </c>
      <c r="Z430" s="84" t="s">
        <v>55</v>
      </c>
      <c r="AA430" s="84">
        <f>-((W432+W433)/(W437)*LOG((W432+W433)/(W437),2))-((W434+W436)/(W437)*LOG((W434+W436)/(W437),2))-((W435)/(W437)*LOG((W435)/(W437),2))</f>
        <v>1.3994299159500656</v>
      </c>
      <c r="AM430" s="91"/>
      <c r="AN430" s="91"/>
      <c r="AO430" s="91"/>
      <c r="AP430" s="91"/>
      <c r="AQ430" s="91"/>
      <c r="AR430" s="96"/>
      <c r="AS430" s="96"/>
      <c r="AT430" s="91"/>
      <c r="AU430" s="91"/>
      <c r="AV430" s="91"/>
      <c r="AW430" s="44"/>
      <c r="AX430" s="44"/>
    </row>
    <row r="431" spans="18:50" x14ac:dyDescent="0.3">
      <c r="U431" s="87">
        <v>3</v>
      </c>
      <c r="V431" s="89">
        <v>56</v>
      </c>
      <c r="W431" s="86">
        <v>0</v>
      </c>
      <c r="X431" s="86">
        <v>1</v>
      </c>
      <c r="Y431" s="89">
        <v>1</v>
      </c>
      <c r="Z431" s="84" t="s">
        <v>43</v>
      </c>
      <c r="AA431" s="84">
        <f>-((X431+X432+X433)/(X437)*LOG((X431+X432+X433)/(X437),2))-((X430+X434+X436)/(X437)*LOG((X430+X434+X436)/(X437),2))-((X435)/(X437)*LOG((X435)/(X437),2))</f>
        <v>1.4700255669590021</v>
      </c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</row>
    <row r="432" spans="18:50" x14ac:dyDescent="0.3">
      <c r="U432" s="87">
        <v>4</v>
      </c>
      <c r="V432" s="89">
        <v>38</v>
      </c>
      <c r="W432" s="86">
        <v>0.51851851851851849</v>
      </c>
      <c r="X432" s="86">
        <v>0.48148148148148145</v>
      </c>
      <c r="Y432" s="89">
        <v>1</v>
      </c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</row>
    <row r="433" spans="21:50" x14ac:dyDescent="0.3">
      <c r="U433" s="87">
        <v>5</v>
      </c>
      <c r="V433" s="89">
        <v>36</v>
      </c>
      <c r="W433" s="86">
        <v>0.59259259259259256</v>
      </c>
      <c r="X433" s="86">
        <v>0.40740740740740738</v>
      </c>
      <c r="Y433" s="89">
        <v>1</v>
      </c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</row>
    <row r="434" spans="21:50" x14ac:dyDescent="0.3">
      <c r="U434" s="87">
        <v>6</v>
      </c>
      <c r="V434" s="89">
        <v>31</v>
      </c>
      <c r="W434" s="86">
        <v>0.77777777777777779</v>
      </c>
      <c r="X434" s="86">
        <v>0.22222222222222221</v>
      </c>
      <c r="Y434" s="89">
        <v>2</v>
      </c>
    </row>
    <row r="435" spans="21:50" x14ac:dyDescent="0.3">
      <c r="U435" s="87">
        <v>7</v>
      </c>
      <c r="V435" s="89">
        <v>43</v>
      </c>
      <c r="W435" s="86">
        <v>0.33333333333333331</v>
      </c>
      <c r="X435" s="86">
        <v>0.66666666666666663</v>
      </c>
      <c r="Y435" s="89">
        <v>3</v>
      </c>
      <c r="AO435" s="80"/>
      <c r="AP435" s="80"/>
      <c r="AQ435" s="80"/>
    </row>
    <row r="436" spans="21:50" x14ac:dyDescent="0.3">
      <c r="U436" s="87">
        <v>12</v>
      </c>
      <c r="V436" s="89">
        <v>36</v>
      </c>
      <c r="W436" s="86">
        <v>0.59259259259259256</v>
      </c>
      <c r="X436" s="86">
        <v>0.40740740740740738</v>
      </c>
      <c r="Y436" s="89">
        <v>2</v>
      </c>
      <c r="AO436" s="80"/>
      <c r="AP436" s="80"/>
      <c r="AQ436" s="80"/>
    </row>
    <row r="437" spans="21:50" x14ac:dyDescent="0.3">
      <c r="W437" s="84">
        <f>SUM(W430:W436)</f>
        <v>2.8148148148148149</v>
      </c>
      <c r="X437" s="84">
        <f>SUM(X430:X436)</f>
        <v>4.1851851851851851</v>
      </c>
      <c r="AO437" s="80"/>
      <c r="AP437" s="80"/>
      <c r="AQ437" s="80"/>
    </row>
    <row r="438" spans="21:50" x14ac:dyDescent="0.3">
      <c r="AO438" s="80"/>
      <c r="AP438" s="187"/>
      <c r="AQ438" s="187"/>
      <c r="AR438" s="80"/>
      <c r="AS438" s="80"/>
      <c r="AT438" s="80"/>
      <c r="AU438" s="80"/>
      <c r="AV438" s="80"/>
    </row>
    <row r="439" spans="21:50" x14ac:dyDescent="0.3">
      <c r="AO439" s="80"/>
      <c r="AP439" s="80"/>
      <c r="AQ439" s="80"/>
      <c r="AR439" s="80"/>
      <c r="AS439" s="80"/>
      <c r="AT439" s="80"/>
      <c r="AU439" s="80"/>
      <c r="AV439" s="80"/>
    </row>
    <row r="440" spans="21:50" x14ac:dyDescent="0.3">
      <c r="U440" s="46" t="s">
        <v>111</v>
      </c>
      <c r="V440" s="47"/>
      <c r="X440" s="80"/>
      <c r="Y440" s="46" t="s">
        <v>112</v>
      </c>
      <c r="Z440" s="47"/>
      <c r="AO440" s="20"/>
      <c r="AP440" s="20"/>
      <c r="AQ440" s="80"/>
      <c r="AR440" s="80"/>
      <c r="AS440" s="80"/>
      <c r="AT440" s="20"/>
      <c r="AU440" s="80"/>
      <c r="AV440" s="80"/>
    </row>
    <row r="441" spans="21:50" x14ac:dyDescent="0.3">
      <c r="U441" s="84" t="s">
        <v>81</v>
      </c>
      <c r="W441" s="84" t="s">
        <v>85</v>
      </c>
      <c r="X441" s="80"/>
      <c r="Y441" s="84" t="s">
        <v>81</v>
      </c>
      <c r="AA441" s="84" t="s">
        <v>85</v>
      </c>
    </row>
    <row r="442" spans="21:50" x14ac:dyDescent="0.3">
      <c r="U442" s="90" t="s">
        <v>82</v>
      </c>
      <c r="V442" s="90">
        <f>SUM(W432:W433)</f>
        <v>1.1111111111111112</v>
      </c>
      <c r="W442" s="90">
        <f>((V442)/(V442+V443+V444))*(100)</f>
        <v>39.473684210526315</v>
      </c>
      <c r="X442" s="80"/>
      <c r="Y442" s="90" t="s">
        <v>82</v>
      </c>
      <c r="Z442" s="90">
        <f>SUM(X431:X433)</f>
        <v>1.8888888888888888</v>
      </c>
      <c r="AA442" s="90">
        <f>((Z442)/(Z442+Z443+Z444))*(100)</f>
        <v>45.132743362831853</v>
      </c>
      <c r="AR442" s="20"/>
      <c r="AS442" s="20"/>
      <c r="AT442" s="80"/>
    </row>
    <row r="443" spans="21:50" x14ac:dyDescent="0.3">
      <c r="U443" s="101" t="s">
        <v>83</v>
      </c>
      <c r="V443" s="101">
        <f>SUM(W436,W434)</f>
        <v>1.3703703703703702</v>
      </c>
      <c r="W443" s="101">
        <f>((V443)/(V442+V443+V444))*(100)</f>
        <v>48.684210526315788</v>
      </c>
      <c r="X443" s="80"/>
      <c r="Y443" s="90" t="s">
        <v>83</v>
      </c>
      <c r="Z443" s="90">
        <f>SUM(X430,X434,X436)</f>
        <v>1.6296296296296298</v>
      </c>
      <c r="AA443" s="90">
        <f>((Z443)/(Z442+Z443+Z444))*(100)</f>
        <v>38.93805309734514</v>
      </c>
    </row>
    <row r="444" spans="21:50" x14ac:dyDescent="0.3">
      <c r="U444" s="84" t="s">
        <v>84</v>
      </c>
      <c r="V444" s="84">
        <f>SUM(W435)</f>
        <v>0.33333333333333331</v>
      </c>
      <c r="W444" s="84">
        <f>((V444)/(V442+V443+V444))*(100)</f>
        <v>11.842105263157894</v>
      </c>
      <c r="X444" s="80"/>
      <c r="Y444" s="90" t="s">
        <v>84</v>
      </c>
      <c r="Z444" s="90">
        <f>SUM(X435)</f>
        <v>0.66666666666666663</v>
      </c>
      <c r="AA444" s="90">
        <f>((Z444)/(Z442+Z443+Z444))*(100)</f>
        <v>15.929203539823009</v>
      </c>
    </row>
    <row r="449" spans="23:34" x14ac:dyDescent="0.3">
      <c r="W449" s="104" t="s">
        <v>77</v>
      </c>
      <c r="X449" s="192" t="s">
        <v>167</v>
      </c>
      <c r="Y449" s="192"/>
      <c r="Z449" s="192"/>
      <c r="AA449" s="192"/>
      <c r="AB449" s="192"/>
      <c r="AC449" s="192"/>
      <c r="AD449" s="192"/>
      <c r="AE449" s="192"/>
      <c r="AF449" s="192"/>
      <c r="AG449" s="192"/>
      <c r="AH449" s="192"/>
    </row>
    <row r="450" spans="23:34" x14ac:dyDescent="0.3">
      <c r="W450" s="87">
        <v>1</v>
      </c>
      <c r="X450" s="189" t="s">
        <v>200</v>
      </c>
      <c r="Y450" s="189"/>
      <c r="Z450" s="189"/>
      <c r="AA450" s="189"/>
      <c r="AB450" s="189"/>
      <c r="AC450" s="189"/>
      <c r="AD450" s="189"/>
      <c r="AE450" s="189"/>
      <c r="AF450" s="189"/>
      <c r="AG450" s="189"/>
      <c r="AH450" s="189"/>
    </row>
    <row r="451" spans="23:34" x14ac:dyDescent="0.3">
      <c r="W451" s="87">
        <v>2</v>
      </c>
      <c r="X451" s="189" t="s">
        <v>201</v>
      </c>
      <c r="Y451" s="189"/>
      <c r="Z451" s="189"/>
      <c r="AA451" s="189"/>
      <c r="AB451" s="189"/>
      <c r="AC451" s="189"/>
      <c r="AD451" s="189"/>
      <c r="AE451" s="189"/>
      <c r="AF451" s="189"/>
      <c r="AG451" s="189"/>
      <c r="AH451" s="189"/>
    </row>
    <row r="452" spans="23:34" x14ac:dyDescent="0.3">
      <c r="W452" s="87">
        <v>3</v>
      </c>
      <c r="X452" s="189" t="s">
        <v>202</v>
      </c>
      <c r="Y452" s="189"/>
      <c r="Z452" s="189"/>
      <c r="AA452" s="189"/>
      <c r="AB452" s="189"/>
      <c r="AC452" s="189"/>
      <c r="AD452" s="189"/>
      <c r="AE452" s="189"/>
      <c r="AF452" s="189"/>
      <c r="AG452" s="189"/>
      <c r="AH452" s="189"/>
    </row>
    <row r="453" spans="23:34" x14ac:dyDescent="0.3">
      <c r="W453" s="87">
        <v>4</v>
      </c>
      <c r="X453" s="189" t="s">
        <v>203</v>
      </c>
      <c r="Y453" s="189"/>
      <c r="Z453" s="189"/>
      <c r="AA453" s="189"/>
      <c r="AB453" s="189"/>
      <c r="AC453" s="189"/>
      <c r="AD453" s="189"/>
      <c r="AE453" s="189"/>
      <c r="AF453" s="189"/>
      <c r="AG453" s="189"/>
      <c r="AH453" s="189"/>
    </row>
    <row r="454" spans="23:34" x14ac:dyDescent="0.3">
      <c r="W454" s="87">
        <v>5</v>
      </c>
      <c r="X454" s="189" t="s">
        <v>204</v>
      </c>
      <c r="Y454" s="189"/>
      <c r="Z454" s="189"/>
      <c r="AA454" s="189"/>
      <c r="AB454" s="189"/>
      <c r="AC454" s="189"/>
      <c r="AD454" s="189"/>
      <c r="AE454" s="189"/>
      <c r="AF454" s="189"/>
      <c r="AG454" s="189"/>
      <c r="AH454" s="189"/>
    </row>
    <row r="455" spans="23:34" x14ac:dyDescent="0.3">
      <c r="W455" s="87">
        <v>6</v>
      </c>
      <c r="X455" s="189" t="s">
        <v>205</v>
      </c>
      <c r="Y455" s="189"/>
      <c r="Z455" s="189"/>
      <c r="AA455" s="189"/>
      <c r="AB455" s="189"/>
      <c r="AC455" s="189"/>
      <c r="AD455" s="189"/>
      <c r="AE455" s="189"/>
      <c r="AF455" s="189"/>
      <c r="AG455" s="189"/>
      <c r="AH455" s="189"/>
    </row>
    <row r="456" spans="23:34" x14ac:dyDescent="0.3">
      <c r="W456" s="87">
        <v>7</v>
      </c>
      <c r="X456" s="189" t="s">
        <v>206</v>
      </c>
      <c r="Y456" s="189"/>
      <c r="Z456" s="189"/>
      <c r="AA456" s="189"/>
      <c r="AB456" s="189"/>
      <c r="AC456" s="189"/>
      <c r="AD456" s="189"/>
      <c r="AE456" s="189"/>
      <c r="AF456" s="189"/>
      <c r="AG456" s="189"/>
      <c r="AH456" s="189"/>
    </row>
    <row r="457" spans="23:34" x14ac:dyDescent="0.3">
      <c r="W457" s="87">
        <v>8</v>
      </c>
      <c r="X457" s="189" t="s">
        <v>207</v>
      </c>
      <c r="Y457" s="189"/>
      <c r="Z457" s="189"/>
      <c r="AA457" s="189"/>
      <c r="AB457" s="189"/>
      <c r="AC457" s="189"/>
      <c r="AD457" s="189"/>
      <c r="AE457" s="189"/>
      <c r="AF457" s="189"/>
      <c r="AG457" s="189"/>
      <c r="AH457" s="189"/>
    </row>
    <row r="458" spans="23:34" x14ac:dyDescent="0.3">
      <c r="W458" s="87">
        <v>9</v>
      </c>
      <c r="X458" s="189" t="s">
        <v>208</v>
      </c>
      <c r="Y458" s="189"/>
      <c r="Z458" s="189"/>
      <c r="AA458" s="189"/>
      <c r="AB458" s="189"/>
      <c r="AC458" s="189"/>
      <c r="AD458" s="189"/>
      <c r="AE458" s="189"/>
      <c r="AF458" s="189"/>
      <c r="AG458" s="189"/>
      <c r="AH458" s="189"/>
    </row>
    <row r="459" spans="23:34" x14ac:dyDescent="0.3">
      <c r="W459" s="87">
        <v>10</v>
      </c>
      <c r="X459" s="189" t="s">
        <v>209</v>
      </c>
      <c r="Y459" s="189"/>
      <c r="Z459" s="189"/>
      <c r="AA459" s="189"/>
      <c r="AB459" s="189"/>
      <c r="AC459" s="189"/>
      <c r="AD459" s="189"/>
      <c r="AE459" s="189"/>
      <c r="AF459" s="189"/>
      <c r="AG459" s="189"/>
      <c r="AH459" s="189"/>
    </row>
    <row r="460" spans="23:34" x14ac:dyDescent="0.3">
      <c r="W460" s="87">
        <v>11</v>
      </c>
      <c r="X460" s="189" t="s">
        <v>210</v>
      </c>
      <c r="Y460" s="189"/>
      <c r="Z460" s="189"/>
      <c r="AA460" s="189"/>
      <c r="AB460" s="189"/>
      <c r="AC460" s="189"/>
      <c r="AD460" s="189"/>
      <c r="AE460" s="189"/>
      <c r="AF460" s="189"/>
      <c r="AG460" s="189"/>
      <c r="AH460" s="189"/>
    </row>
    <row r="461" spans="23:34" x14ac:dyDescent="0.3">
      <c r="W461" s="87">
        <v>12</v>
      </c>
      <c r="X461" s="189" t="s">
        <v>212</v>
      </c>
      <c r="Y461" s="189"/>
      <c r="Z461" s="189"/>
      <c r="AA461" s="189"/>
      <c r="AB461" s="189"/>
      <c r="AC461" s="189"/>
      <c r="AD461" s="189"/>
      <c r="AE461" s="189"/>
      <c r="AF461" s="189"/>
      <c r="AG461" s="189"/>
      <c r="AH461" s="189"/>
    </row>
    <row r="462" spans="23:34" x14ac:dyDescent="0.3">
      <c r="W462" s="87">
        <v>13</v>
      </c>
      <c r="X462" s="189" t="s">
        <v>211</v>
      </c>
      <c r="Y462" s="189"/>
      <c r="Z462" s="189"/>
      <c r="AA462" s="189"/>
      <c r="AB462" s="189"/>
      <c r="AC462" s="189"/>
      <c r="AD462" s="189"/>
      <c r="AE462" s="189"/>
      <c r="AF462" s="189"/>
      <c r="AG462" s="189"/>
      <c r="AH462" s="189"/>
    </row>
    <row r="463" spans="23:34" x14ac:dyDescent="0.3">
      <c r="W463" s="87">
        <v>14</v>
      </c>
      <c r="X463" s="189" t="s">
        <v>213</v>
      </c>
      <c r="Y463" s="189"/>
      <c r="Z463" s="189"/>
      <c r="AA463" s="189"/>
      <c r="AB463" s="189"/>
      <c r="AC463" s="189"/>
      <c r="AD463" s="189"/>
      <c r="AE463" s="189"/>
      <c r="AF463" s="189"/>
      <c r="AG463" s="189"/>
      <c r="AH463" s="189"/>
    </row>
  </sheetData>
  <mergeCells count="146">
    <mergeCell ref="H6:H7"/>
    <mergeCell ref="J6:J7"/>
    <mergeCell ref="K6:K7"/>
    <mergeCell ref="L6:L7"/>
    <mergeCell ref="M6:M7"/>
    <mergeCell ref="N6:N7"/>
    <mergeCell ref="B1:J1"/>
    <mergeCell ref="AM4:AW4"/>
    <mergeCell ref="A5:P5"/>
    <mergeCell ref="AM5:AW5"/>
    <mergeCell ref="A6:A7"/>
    <mergeCell ref="B6:B7"/>
    <mergeCell ref="C6:C7"/>
    <mergeCell ref="D6:E6"/>
    <mergeCell ref="F6:F7"/>
    <mergeCell ref="G6:G7"/>
    <mergeCell ref="AM10:AW10"/>
    <mergeCell ref="AM11:AW11"/>
    <mergeCell ref="AM12:AW12"/>
    <mergeCell ref="BL14:BM14"/>
    <mergeCell ref="BL15:BM15"/>
    <mergeCell ref="BO15:BP15"/>
    <mergeCell ref="O6:O7"/>
    <mergeCell ref="P6:P7"/>
    <mergeCell ref="AM6:AW6"/>
    <mergeCell ref="AM7:AW7"/>
    <mergeCell ref="AM8:AW8"/>
    <mergeCell ref="AM9:AW9"/>
    <mergeCell ref="BL22:BM22"/>
    <mergeCell ref="BL23:BM23"/>
    <mergeCell ref="BL24:BM24"/>
    <mergeCell ref="BL25:BM25"/>
    <mergeCell ref="E26:G26"/>
    <mergeCell ref="H26:J26"/>
    <mergeCell ref="BL26:BM26"/>
    <mergeCell ref="BL16:BM16"/>
    <mergeCell ref="BL17:BM17"/>
    <mergeCell ref="BL18:BM18"/>
    <mergeCell ref="BL19:BM19"/>
    <mergeCell ref="BL20:BM20"/>
    <mergeCell ref="BL21:BM21"/>
    <mergeCell ref="BL29:BM29"/>
    <mergeCell ref="E30:G30"/>
    <mergeCell ref="H30:J30"/>
    <mergeCell ref="Y92:AA92"/>
    <mergeCell ref="AB92:AD92"/>
    <mergeCell ref="E27:G27"/>
    <mergeCell ref="H27:J27"/>
    <mergeCell ref="BL27:BM27"/>
    <mergeCell ref="E28:G28"/>
    <mergeCell ref="H28:J28"/>
    <mergeCell ref="BL28:BM28"/>
    <mergeCell ref="Y93:AA93"/>
    <mergeCell ref="AB93:AD93"/>
    <mergeCell ref="Y94:AA94"/>
    <mergeCell ref="AB94:AD94"/>
    <mergeCell ref="AE95:AG95"/>
    <mergeCell ref="Y95:AA95"/>
    <mergeCell ref="AB95:AD95"/>
    <mergeCell ref="E29:G29"/>
    <mergeCell ref="H29:J29"/>
    <mergeCell ref="AD109:AF109"/>
    <mergeCell ref="T128:U128"/>
    <mergeCell ref="T143:U143"/>
    <mergeCell ref="T144:U144"/>
    <mergeCell ref="AV155:AX155"/>
    <mergeCell ref="AV156:AX156"/>
    <mergeCell ref="X107:Z107"/>
    <mergeCell ref="AA107:AC107"/>
    <mergeCell ref="X108:Z108"/>
    <mergeCell ref="AA108:AC108"/>
    <mergeCell ref="X109:Z109"/>
    <mergeCell ref="AA109:AC109"/>
    <mergeCell ref="AX306:AZ306"/>
    <mergeCell ref="AX307:AZ307"/>
    <mergeCell ref="AX308:AZ308"/>
    <mergeCell ref="T314:AD314"/>
    <mergeCell ref="T315:AD315"/>
    <mergeCell ref="T316:AD316"/>
    <mergeCell ref="AV157:AX157"/>
    <mergeCell ref="AV158:AX158"/>
    <mergeCell ref="AA179:AB179"/>
    <mergeCell ref="AU200:AW200"/>
    <mergeCell ref="AU201:AW201"/>
    <mergeCell ref="AU202:AW202"/>
    <mergeCell ref="AN421:AX421"/>
    <mergeCell ref="AH339:AJ339"/>
    <mergeCell ref="AK339:AM339"/>
    <mergeCell ref="AF387:AH387"/>
    <mergeCell ref="AI387:AK387"/>
    <mergeCell ref="T317:AD317"/>
    <mergeCell ref="T318:AD318"/>
    <mergeCell ref="T319:AD319"/>
    <mergeCell ref="T320:AD320"/>
    <mergeCell ref="T321:AD321"/>
    <mergeCell ref="T322:AD322"/>
    <mergeCell ref="AF388:AH388"/>
    <mergeCell ref="AI388:AK388"/>
    <mergeCell ref="AF389:AH389"/>
    <mergeCell ref="AI389:AK389"/>
    <mergeCell ref="AP438:AQ438"/>
    <mergeCell ref="Y220:AA220"/>
    <mergeCell ref="AB220:AD220"/>
    <mergeCell ref="Y221:AA221"/>
    <mergeCell ref="AB221:AD221"/>
    <mergeCell ref="Y222:AA222"/>
    <mergeCell ref="AB222:AD222"/>
    <mergeCell ref="Y223:AA223"/>
    <mergeCell ref="AB223:AD223"/>
    <mergeCell ref="AN339:AP339"/>
    <mergeCell ref="AN422:AX422"/>
    <mergeCell ref="AN423:AX423"/>
    <mergeCell ref="AN424:AX424"/>
    <mergeCell ref="AN425:AX425"/>
    <mergeCell ref="AN426:AX426"/>
    <mergeCell ref="AN429:AO429"/>
    <mergeCell ref="AP429:AQ429"/>
    <mergeCell ref="AR429:AS429"/>
    <mergeCell ref="AT429:AV429"/>
    <mergeCell ref="T323:AD323"/>
    <mergeCell ref="AD332:AE332"/>
    <mergeCell ref="AN418:AX418"/>
    <mergeCell ref="AN419:AX419"/>
    <mergeCell ref="AN420:AX420"/>
    <mergeCell ref="X449:AH449"/>
    <mergeCell ref="X450:AH450"/>
    <mergeCell ref="AE222:AG222"/>
    <mergeCell ref="AH336:AJ336"/>
    <mergeCell ref="AK336:AM336"/>
    <mergeCell ref="AH337:AJ337"/>
    <mergeCell ref="AK337:AM337"/>
    <mergeCell ref="AH338:AJ338"/>
    <mergeCell ref="AK338:AM338"/>
    <mergeCell ref="X463:AH463"/>
    <mergeCell ref="X457:AH457"/>
    <mergeCell ref="X458:AH458"/>
    <mergeCell ref="X459:AH459"/>
    <mergeCell ref="X460:AH460"/>
    <mergeCell ref="X461:AH461"/>
    <mergeCell ref="X462:AH462"/>
    <mergeCell ref="X451:AH451"/>
    <mergeCell ref="X452:AH452"/>
    <mergeCell ref="X453:AH453"/>
    <mergeCell ref="X454:AH454"/>
    <mergeCell ref="X455:AH455"/>
    <mergeCell ref="X456:AH4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0"/>
  <sheetViews>
    <sheetView topLeftCell="K30" zoomScaleNormal="100" workbookViewId="0">
      <selection activeCell="H30" sqref="H30:J30"/>
    </sheetView>
  </sheetViews>
  <sheetFormatPr defaultRowHeight="14.4" x14ac:dyDescent="0.3"/>
  <cols>
    <col min="13" max="13" width="8.21875" customWidth="1"/>
    <col min="14" max="14" width="7.6640625" customWidth="1"/>
    <col min="15" max="15" width="11.6640625" customWidth="1"/>
    <col min="16" max="16" width="7.6640625" customWidth="1"/>
  </cols>
  <sheetData>
    <row r="1" spans="1:33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V1" t="s">
        <v>53</v>
      </c>
      <c r="W1" t="s">
        <v>54</v>
      </c>
    </row>
    <row r="2" spans="1:33" x14ac:dyDescent="0.3">
      <c r="A2" s="169" t="s">
        <v>3</v>
      </c>
      <c r="B2" s="169" t="s">
        <v>4</v>
      </c>
      <c r="C2" s="169" t="s">
        <v>5</v>
      </c>
      <c r="D2" s="169" t="s">
        <v>6</v>
      </c>
      <c r="E2" s="169"/>
      <c r="F2" s="170" t="s">
        <v>7</v>
      </c>
      <c r="G2" s="169" t="s">
        <v>8</v>
      </c>
      <c r="H2" s="169" t="s">
        <v>9</v>
      </c>
      <c r="I2" s="2" t="s">
        <v>10</v>
      </c>
      <c r="J2" s="169" t="s">
        <v>11</v>
      </c>
      <c r="K2" s="170" t="s">
        <v>12</v>
      </c>
      <c r="L2" s="169" t="s">
        <v>13</v>
      </c>
      <c r="M2" s="169" t="s">
        <v>14</v>
      </c>
      <c r="N2" s="169" t="s">
        <v>15</v>
      </c>
      <c r="O2" s="175" t="s">
        <v>16</v>
      </c>
      <c r="P2" s="175" t="s">
        <v>17</v>
      </c>
      <c r="U2" t="s">
        <v>4</v>
      </c>
      <c r="V2">
        <v>35</v>
      </c>
      <c r="W2">
        <v>45</v>
      </c>
      <c r="Z2" t="s">
        <v>25</v>
      </c>
      <c r="AA2">
        <v>1</v>
      </c>
      <c r="AB2">
        <v>0</v>
      </c>
      <c r="AE2" s="20" t="s">
        <v>28</v>
      </c>
      <c r="AF2" s="9">
        <v>1</v>
      </c>
      <c r="AG2" s="9">
        <v>0</v>
      </c>
    </row>
    <row r="3" spans="1:33" x14ac:dyDescent="0.3">
      <c r="A3" s="169"/>
      <c r="B3" s="169"/>
      <c r="C3" s="169"/>
      <c r="D3" s="2" t="s">
        <v>19</v>
      </c>
      <c r="E3" s="2" t="s">
        <v>20</v>
      </c>
      <c r="F3" s="171"/>
      <c r="G3" s="169"/>
      <c r="H3" s="169"/>
      <c r="I3" s="3" t="s">
        <v>21</v>
      </c>
      <c r="J3" s="169"/>
      <c r="K3" s="171"/>
      <c r="L3" s="169"/>
      <c r="M3" s="169"/>
      <c r="N3" s="169"/>
      <c r="O3" s="175"/>
      <c r="P3" s="175"/>
      <c r="Z3" t="s">
        <v>34</v>
      </c>
      <c r="AA3">
        <v>0</v>
      </c>
      <c r="AB3">
        <v>1</v>
      </c>
      <c r="AE3" s="20" t="s">
        <v>33</v>
      </c>
      <c r="AF3" s="9">
        <v>0</v>
      </c>
      <c r="AG3" s="9">
        <v>1</v>
      </c>
    </row>
    <row r="4" spans="1:33" x14ac:dyDescent="0.3">
      <c r="A4" s="2">
        <v>1</v>
      </c>
      <c r="B4" s="2">
        <v>52</v>
      </c>
      <c r="C4" s="24" t="s">
        <v>24</v>
      </c>
      <c r="D4" s="2">
        <v>125</v>
      </c>
      <c r="E4" s="2">
        <v>90</v>
      </c>
      <c r="F4" s="2">
        <v>78</v>
      </c>
      <c r="G4" s="2">
        <v>1.63</v>
      </c>
      <c r="H4" s="2">
        <v>62.7</v>
      </c>
      <c r="I4" s="4">
        <f>H4/(G4*G4)</f>
        <v>23.598931085099178</v>
      </c>
      <c r="J4" s="5" t="s">
        <v>25</v>
      </c>
      <c r="K4" s="2" t="s">
        <v>26</v>
      </c>
      <c r="L4" s="2" t="s">
        <v>27</v>
      </c>
      <c r="M4" s="2" t="s">
        <v>28</v>
      </c>
      <c r="N4" s="2" t="s">
        <v>25</v>
      </c>
      <c r="O4" s="2" t="s">
        <v>29</v>
      </c>
      <c r="P4" s="2" t="s">
        <v>30</v>
      </c>
      <c r="S4" s="5" t="s">
        <v>46</v>
      </c>
      <c r="T4" s="7" t="s">
        <v>66</v>
      </c>
      <c r="U4" s="7" t="s">
        <v>42</v>
      </c>
      <c r="V4" s="7" t="s">
        <v>55</v>
      </c>
      <c r="W4" s="7" t="s">
        <v>43</v>
      </c>
      <c r="Y4" s="7" t="s">
        <v>46</v>
      </c>
      <c r="Z4" s="7" t="s">
        <v>11</v>
      </c>
      <c r="AA4" s="7" t="s">
        <v>25</v>
      </c>
      <c r="AB4" s="7" t="s">
        <v>34</v>
      </c>
      <c r="AD4" s="7" t="s">
        <v>46</v>
      </c>
      <c r="AE4" s="7" t="s">
        <v>52</v>
      </c>
      <c r="AF4" s="21" t="s">
        <v>28</v>
      </c>
      <c r="AG4" s="21" t="s">
        <v>33</v>
      </c>
    </row>
    <row r="5" spans="1:33" x14ac:dyDescent="0.3">
      <c r="A5" s="2">
        <v>2</v>
      </c>
      <c r="B5" s="2">
        <v>66</v>
      </c>
      <c r="C5" s="24" t="s">
        <v>24</v>
      </c>
      <c r="D5" s="2">
        <v>194</v>
      </c>
      <c r="E5" s="2">
        <v>114</v>
      </c>
      <c r="F5" s="2">
        <v>98</v>
      </c>
      <c r="G5" s="2">
        <v>1.63</v>
      </c>
      <c r="H5" s="2">
        <v>72.2</v>
      </c>
      <c r="I5" s="4">
        <f t="shared" ref="I5:I18" si="0">H5/(G5*G5)</f>
        <v>27.174526704053598</v>
      </c>
      <c r="J5" s="5" t="s">
        <v>31</v>
      </c>
      <c r="K5" s="2" t="s">
        <v>26</v>
      </c>
      <c r="L5" s="2" t="s">
        <v>32</v>
      </c>
      <c r="M5" s="2" t="s">
        <v>33</v>
      </c>
      <c r="N5" s="2" t="s">
        <v>25</v>
      </c>
      <c r="O5" s="2" t="s">
        <v>34</v>
      </c>
      <c r="P5" s="2" t="s">
        <v>35</v>
      </c>
      <c r="S5" s="7">
        <v>1</v>
      </c>
      <c r="T5" s="2" t="s">
        <v>30</v>
      </c>
      <c r="U5" s="2">
        <v>52</v>
      </c>
      <c r="V5" s="7">
        <f>IF(U5&lt;=$V$2,1,IF(AND($V$2&lt;U5,U5&lt;$W$2),($W$2-U5)/($W$2-$V$2),IF(U5&gt;=$W$2,0)))</f>
        <v>0</v>
      </c>
      <c r="W5" s="7">
        <f>IF(U5&lt;=$V$2,0,IF(AND($V$2&lt;U5,U5&lt;$W$2),(U5-$V$2)/($W$2-$V$2),IF(U5&gt;=$W$2,1)))</f>
        <v>1</v>
      </c>
      <c r="Y5" s="7">
        <v>1</v>
      </c>
      <c r="Z5" s="5">
        <v>1</v>
      </c>
      <c r="AA5" s="7">
        <f>($AB$2-Z5)/($AB$2-$AA$2)</f>
        <v>1</v>
      </c>
      <c r="AB5" s="7">
        <f>(Z5-$AA$3)/($AB$3-$AA$3)</f>
        <v>1</v>
      </c>
      <c r="AD5" s="7">
        <v>1</v>
      </c>
      <c r="AE5" s="2">
        <v>1</v>
      </c>
      <c r="AF5" s="7">
        <f>($AG$2-AE5)/(AG$2-$AF$2)</f>
        <v>1</v>
      </c>
      <c r="AG5" s="7">
        <f>(AE5-$AF$3)/($AG$3-$AF$3)</f>
        <v>1</v>
      </c>
    </row>
    <row r="6" spans="1:33" x14ac:dyDescent="0.3">
      <c r="A6" s="2">
        <v>3</v>
      </c>
      <c r="B6" s="2">
        <v>56</v>
      </c>
      <c r="C6" s="24" t="s">
        <v>24</v>
      </c>
      <c r="D6" s="2">
        <v>129</v>
      </c>
      <c r="E6" s="2">
        <v>80</v>
      </c>
      <c r="F6" s="2">
        <v>98</v>
      </c>
      <c r="G6" s="2">
        <v>1.51</v>
      </c>
      <c r="H6" s="2">
        <v>61.2</v>
      </c>
      <c r="I6" s="4">
        <f t="shared" si="0"/>
        <v>26.840928029472394</v>
      </c>
      <c r="J6" s="5" t="s">
        <v>25</v>
      </c>
      <c r="K6" s="2" t="s">
        <v>26</v>
      </c>
      <c r="L6" s="2" t="s">
        <v>27</v>
      </c>
      <c r="M6" s="2" t="s">
        <v>28</v>
      </c>
      <c r="N6" s="2" t="s">
        <v>25</v>
      </c>
      <c r="O6" s="2" t="s">
        <v>34</v>
      </c>
      <c r="P6" s="2" t="s">
        <v>36</v>
      </c>
      <c r="S6" s="7">
        <v>2</v>
      </c>
      <c r="T6" s="2" t="s">
        <v>35</v>
      </c>
      <c r="U6" s="2">
        <v>66</v>
      </c>
      <c r="V6" s="7">
        <f t="shared" ref="V6:V19" si="1">IF(U6&lt;=$V$2,1,IF(AND($V$2&lt;U6,U6&lt;$W$2),($W$2-U6)/($W$2-$V$2),IF(U6&gt;=$W$2,0)))</f>
        <v>0</v>
      </c>
      <c r="W6" s="7">
        <f t="shared" ref="W6:W19" si="2">IF(U6&lt;=$V$2,0,IF(AND($V$2&lt;U6,U6&lt;$W$2),(U6-$V$2)/($W$2-$V$2),IF(U6&gt;=$W$2,1)))</f>
        <v>1</v>
      </c>
      <c r="Y6" s="7">
        <v>2</v>
      </c>
      <c r="Z6" s="5">
        <v>0</v>
      </c>
      <c r="AA6" s="7">
        <f t="shared" ref="AA6:AA19" si="3">($AB$2-Z6)/($AB$2-$AA$2)</f>
        <v>0</v>
      </c>
      <c r="AB6" s="7">
        <f t="shared" ref="AB6:AB19" si="4">(Z6-$AA$3)/($AB$3-$AA$3)</f>
        <v>0</v>
      </c>
      <c r="AD6" s="7">
        <v>2</v>
      </c>
      <c r="AE6" s="2">
        <v>0</v>
      </c>
      <c r="AF6" s="7">
        <f t="shared" ref="AF6:AF19" si="5">($AG$2-AE6)/(AG$2-$AF$2)</f>
        <v>0</v>
      </c>
      <c r="AG6" s="7">
        <f t="shared" ref="AG6:AG19" si="6">(AE6-$AF$3)/($AG$3-$AF$3)</f>
        <v>0</v>
      </c>
    </row>
    <row r="7" spans="1:33" ht="15.6" x14ac:dyDescent="0.3">
      <c r="A7" s="2">
        <v>32</v>
      </c>
      <c r="B7" s="2">
        <v>38</v>
      </c>
      <c r="C7" s="25" t="s">
        <v>37</v>
      </c>
      <c r="D7" s="2">
        <v>116</v>
      </c>
      <c r="E7" s="2">
        <v>87</v>
      </c>
      <c r="F7" s="2">
        <v>99</v>
      </c>
      <c r="G7" s="2">
        <v>1.512</v>
      </c>
      <c r="H7" s="2">
        <v>74.2</v>
      </c>
      <c r="I7" s="4">
        <f t="shared" si="0"/>
        <v>32.456398197138938</v>
      </c>
      <c r="J7" s="5" t="s">
        <v>31</v>
      </c>
      <c r="K7" s="2" t="s">
        <v>39</v>
      </c>
      <c r="L7" s="2" t="s">
        <v>32</v>
      </c>
      <c r="M7" s="2" t="s">
        <v>33</v>
      </c>
      <c r="N7" s="2" t="s">
        <v>25</v>
      </c>
      <c r="O7" s="2" t="s">
        <v>34</v>
      </c>
      <c r="P7" s="2" t="s">
        <v>36</v>
      </c>
      <c r="S7" s="7">
        <v>3</v>
      </c>
      <c r="T7" s="2" t="s">
        <v>36</v>
      </c>
      <c r="U7" s="2">
        <v>56</v>
      </c>
      <c r="V7" s="7">
        <f t="shared" si="1"/>
        <v>0</v>
      </c>
      <c r="W7" s="7">
        <f t="shared" si="2"/>
        <v>1</v>
      </c>
      <c r="Y7" s="7">
        <v>3</v>
      </c>
      <c r="Z7" s="5">
        <v>1</v>
      </c>
      <c r="AA7" s="7">
        <f t="shared" si="3"/>
        <v>1</v>
      </c>
      <c r="AB7" s="7">
        <f t="shared" si="4"/>
        <v>1</v>
      </c>
      <c r="AD7" s="7">
        <v>3</v>
      </c>
      <c r="AE7" s="2">
        <v>1</v>
      </c>
      <c r="AF7" s="7">
        <f t="shared" si="5"/>
        <v>1</v>
      </c>
      <c r="AG7" s="7">
        <f t="shared" si="6"/>
        <v>1</v>
      </c>
    </row>
    <row r="8" spans="1:33" ht="15.6" x14ac:dyDescent="0.3">
      <c r="A8" s="2">
        <v>34</v>
      </c>
      <c r="B8" s="2">
        <v>36</v>
      </c>
      <c r="C8" s="25" t="s">
        <v>37</v>
      </c>
      <c r="D8" s="2">
        <v>115</v>
      </c>
      <c r="E8" s="2">
        <v>83</v>
      </c>
      <c r="F8" s="2">
        <v>88</v>
      </c>
      <c r="G8" s="2">
        <v>1.46</v>
      </c>
      <c r="H8" s="2">
        <v>50.3</v>
      </c>
      <c r="I8" s="4">
        <f t="shared" si="0"/>
        <v>23.59729780446613</v>
      </c>
      <c r="J8" s="5" t="s">
        <v>31</v>
      </c>
      <c r="K8" s="2" t="s">
        <v>39</v>
      </c>
      <c r="L8" s="2" t="s">
        <v>27</v>
      </c>
      <c r="M8" s="2" t="s">
        <v>28</v>
      </c>
      <c r="N8" s="2" t="s">
        <v>25</v>
      </c>
      <c r="O8" s="2" t="s">
        <v>34</v>
      </c>
      <c r="P8" s="2" t="s">
        <v>36</v>
      </c>
      <c r="S8" s="7">
        <v>4</v>
      </c>
      <c r="T8" s="2" t="s">
        <v>36</v>
      </c>
      <c r="U8" s="2">
        <v>38</v>
      </c>
      <c r="V8" s="7">
        <f t="shared" si="1"/>
        <v>0.7</v>
      </c>
      <c r="W8" s="7">
        <f t="shared" si="2"/>
        <v>0.3</v>
      </c>
      <c r="Y8" s="7">
        <v>4</v>
      </c>
      <c r="Z8" s="5">
        <v>0</v>
      </c>
      <c r="AA8" s="7">
        <f t="shared" si="3"/>
        <v>0</v>
      </c>
      <c r="AB8" s="7">
        <f t="shared" si="4"/>
        <v>0</v>
      </c>
      <c r="AD8" s="7">
        <v>4</v>
      </c>
      <c r="AE8" s="2">
        <v>0</v>
      </c>
      <c r="AF8" s="7">
        <f t="shared" si="5"/>
        <v>0</v>
      </c>
      <c r="AG8" s="7">
        <f t="shared" si="6"/>
        <v>0</v>
      </c>
    </row>
    <row r="9" spans="1:33" ht="15.6" x14ac:dyDescent="0.3">
      <c r="A9" s="2">
        <v>38</v>
      </c>
      <c r="B9" s="2">
        <v>31</v>
      </c>
      <c r="C9" s="25" t="s">
        <v>37</v>
      </c>
      <c r="D9" s="2">
        <v>122</v>
      </c>
      <c r="E9" s="2">
        <v>83</v>
      </c>
      <c r="F9" s="2">
        <v>89</v>
      </c>
      <c r="G9" s="2">
        <v>1.4750000000000001</v>
      </c>
      <c r="H9" s="2">
        <v>68.099999999999994</v>
      </c>
      <c r="I9" s="4">
        <f t="shared" si="0"/>
        <v>31.301350186727948</v>
      </c>
      <c r="J9" s="2" t="s">
        <v>31</v>
      </c>
      <c r="K9" s="2" t="s">
        <v>39</v>
      </c>
      <c r="L9" s="2" t="s">
        <v>32</v>
      </c>
      <c r="M9" s="2" t="s">
        <v>28</v>
      </c>
      <c r="N9" s="2" t="s">
        <v>31</v>
      </c>
      <c r="O9" s="2" t="s">
        <v>29</v>
      </c>
      <c r="P9" s="2" t="s">
        <v>30</v>
      </c>
      <c r="S9" s="7">
        <v>5</v>
      </c>
      <c r="T9" s="2" t="s">
        <v>36</v>
      </c>
      <c r="U9" s="2">
        <v>36</v>
      </c>
      <c r="V9" s="7">
        <f t="shared" si="1"/>
        <v>0.9</v>
      </c>
      <c r="W9" s="7">
        <f t="shared" si="2"/>
        <v>0.1</v>
      </c>
      <c r="Y9" s="7">
        <v>5</v>
      </c>
      <c r="Z9" s="5">
        <v>0</v>
      </c>
      <c r="AA9" s="7">
        <f t="shared" si="3"/>
        <v>0</v>
      </c>
      <c r="AB9" s="7">
        <f t="shared" si="4"/>
        <v>0</v>
      </c>
      <c r="AD9" s="7">
        <v>5</v>
      </c>
      <c r="AE9" s="2">
        <v>1</v>
      </c>
      <c r="AF9" s="7">
        <f t="shared" si="5"/>
        <v>1</v>
      </c>
      <c r="AG9" s="7">
        <f t="shared" si="6"/>
        <v>1</v>
      </c>
    </row>
    <row r="10" spans="1:33" ht="15.6" x14ac:dyDescent="0.3">
      <c r="A10" s="2">
        <v>71</v>
      </c>
      <c r="B10" s="2">
        <v>43</v>
      </c>
      <c r="C10" s="26" t="s">
        <v>24</v>
      </c>
      <c r="D10" s="2">
        <v>130</v>
      </c>
      <c r="E10" s="2">
        <v>77</v>
      </c>
      <c r="F10" s="2">
        <v>89</v>
      </c>
      <c r="G10" s="2">
        <v>1.56</v>
      </c>
      <c r="H10" s="2">
        <v>63.6</v>
      </c>
      <c r="I10" s="4">
        <f t="shared" si="0"/>
        <v>26.134122287968442</v>
      </c>
      <c r="J10" s="2" t="s">
        <v>31</v>
      </c>
      <c r="K10" s="2" t="s">
        <v>39</v>
      </c>
      <c r="L10" s="2" t="s">
        <v>27</v>
      </c>
      <c r="M10" s="2" t="s">
        <v>33</v>
      </c>
      <c r="N10" s="2" t="s">
        <v>31</v>
      </c>
      <c r="O10" s="2" t="s">
        <v>38</v>
      </c>
      <c r="P10" s="2" t="s">
        <v>35</v>
      </c>
      <c r="S10" s="7">
        <v>6</v>
      </c>
      <c r="T10" s="2" t="s">
        <v>30</v>
      </c>
      <c r="U10" s="2">
        <v>31</v>
      </c>
      <c r="V10" s="7">
        <f t="shared" si="1"/>
        <v>1</v>
      </c>
      <c r="W10" s="7">
        <f t="shared" si="2"/>
        <v>0</v>
      </c>
      <c r="Y10" s="7">
        <v>6</v>
      </c>
      <c r="Z10" s="2">
        <v>0</v>
      </c>
      <c r="AA10" s="7">
        <f t="shared" si="3"/>
        <v>0</v>
      </c>
      <c r="AB10" s="7">
        <f t="shared" si="4"/>
        <v>0</v>
      </c>
      <c r="AD10" s="7">
        <v>6</v>
      </c>
      <c r="AE10" s="2">
        <v>1</v>
      </c>
      <c r="AF10" s="7">
        <f t="shared" si="5"/>
        <v>1</v>
      </c>
      <c r="AG10" s="7">
        <f t="shared" si="6"/>
        <v>1</v>
      </c>
    </row>
    <row r="11" spans="1:33" ht="15.6" x14ac:dyDescent="0.3">
      <c r="A11" s="2">
        <v>74</v>
      </c>
      <c r="B11" s="2">
        <v>49</v>
      </c>
      <c r="C11" s="26" t="s">
        <v>24</v>
      </c>
      <c r="D11" s="2">
        <v>176</v>
      </c>
      <c r="E11" s="2">
        <v>114</v>
      </c>
      <c r="F11" s="2">
        <v>91</v>
      </c>
      <c r="G11" s="2">
        <v>1.536</v>
      </c>
      <c r="H11" s="2">
        <v>62.3</v>
      </c>
      <c r="I11" s="4">
        <f t="shared" si="0"/>
        <v>26.406182183159721</v>
      </c>
      <c r="J11" s="2" t="s">
        <v>25</v>
      </c>
      <c r="K11" s="2" t="s">
        <v>39</v>
      </c>
      <c r="L11" s="2" t="s">
        <v>27</v>
      </c>
      <c r="M11" s="2" t="s">
        <v>33</v>
      </c>
      <c r="N11" s="2" t="s">
        <v>25</v>
      </c>
      <c r="O11" s="2" t="s">
        <v>38</v>
      </c>
      <c r="P11" s="2" t="s">
        <v>35</v>
      </c>
      <c r="S11" s="7">
        <v>7</v>
      </c>
      <c r="T11" s="2" t="s">
        <v>35</v>
      </c>
      <c r="U11" s="2">
        <v>43</v>
      </c>
      <c r="V11" s="7">
        <f t="shared" si="1"/>
        <v>0.2</v>
      </c>
      <c r="W11" s="7">
        <f t="shared" si="2"/>
        <v>0.8</v>
      </c>
      <c r="Y11" s="7">
        <v>7</v>
      </c>
      <c r="Z11" s="2">
        <v>0</v>
      </c>
      <c r="AA11" s="7">
        <f t="shared" si="3"/>
        <v>0</v>
      </c>
      <c r="AB11" s="7">
        <f t="shared" si="4"/>
        <v>0</v>
      </c>
      <c r="AD11" s="7">
        <v>7</v>
      </c>
      <c r="AE11" s="2">
        <v>0</v>
      </c>
      <c r="AF11" s="7">
        <f t="shared" si="5"/>
        <v>0</v>
      </c>
      <c r="AG11" s="7">
        <f t="shared" si="6"/>
        <v>0</v>
      </c>
    </row>
    <row r="12" spans="1:33" ht="15.6" x14ac:dyDescent="0.3">
      <c r="A12" s="2">
        <v>62</v>
      </c>
      <c r="B12" s="2">
        <v>27</v>
      </c>
      <c r="C12" s="25" t="s">
        <v>37</v>
      </c>
      <c r="D12" s="2">
        <v>143</v>
      </c>
      <c r="E12" s="2">
        <v>107</v>
      </c>
      <c r="F12" s="2">
        <v>106</v>
      </c>
      <c r="G12" s="2">
        <v>1.44</v>
      </c>
      <c r="H12" s="2">
        <v>76.5</v>
      </c>
      <c r="I12" s="4">
        <f t="shared" si="0"/>
        <v>36.892361111111114</v>
      </c>
      <c r="J12" s="2" t="s">
        <v>25</v>
      </c>
      <c r="K12" s="2" t="s">
        <v>26</v>
      </c>
      <c r="L12" s="2" t="s">
        <v>32</v>
      </c>
      <c r="M12" s="2" t="s">
        <v>33</v>
      </c>
      <c r="N12" s="2" t="s">
        <v>31</v>
      </c>
      <c r="O12" s="2" t="s">
        <v>34</v>
      </c>
      <c r="P12" s="2" t="s">
        <v>35</v>
      </c>
      <c r="S12" s="7">
        <v>8</v>
      </c>
      <c r="T12" s="2" t="s">
        <v>35</v>
      </c>
      <c r="U12" s="2">
        <v>49</v>
      </c>
      <c r="V12" s="7">
        <f t="shared" si="1"/>
        <v>0</v>
      </c>
      <c r="W12" s="7">
        <f t="shared" si="2"/>
        <v>1</v>
      </c>
      <c r="Y12" s="7">
        <v>8</v>
      </c>
      <c r="Z12" s="2">
        <v>1</v>
      </c>
      <c r="AA12" s="7">
        <f t="shared" si="3"/>
        <v>1</v>
      </c>
      <c r="AB12" s="7">
        <f t="shared" si="4"/>
        <v>1</v>
      </c>
      <c r="AD12" s="7">
        <v>8</v>
      </c>
      <c r="AE12" s="2">
        <v>0</v>
      </c>
      <c r="AF12" s="7">
        <f t="shared" si="5"/>
        <v>0</v>
      </c>
      <c r="AG12" s="7">
        <f t="shared" si="6"/>
        <v>0</v>
      </c>
    </row>
    <row r="13" spans="1:33" ht="15.6" x14ac:dyDescent="0.3">
      <c r="A13" s="2">
        <v>54</v>
      </c>
      <c r="B13" s="2">
        <v>80</v>
      </c>
      <c r="C13" s="26" t="s">
        <v>24</v>
      </c>
      <c r="D13" s="2">
        <v>167</v>
      </c>
      <c r="E13" s="2">
        <v>89</v>
      </c>
      <c r="F13" s="2">
        <v>78</v>
      </c>
      <c r="G13" s="2">
        <v>1.55</v>
      </c>
      <c r="H13" s="2">
        <v>50.2</v>
      </c>
      <c r="I13" s="4">
        <f t="shared" si="0"/>
        <v>20.894901144640997</v>
      </c>
      <c r="J13" s="2" t="s">
        <v>31</v>
      </c>
      <c r="K13" s="2" t="s">
        <v>26</v>
      </c>
      <c r="L13" s="2" t="s">
        <v>27</v>
      </c>
      <c r="M13" s="2" t="s">
        <v>28</v>
      </c>
      <c r="N13" s="2" t="s">
        <v>31</v>
      </c>
      <c r="O13" s="2" t="s">
        <v>29</v>
      </c>
      <c r="P13" s="2" t="s">
        <v>30</v>
      </c>
      <c r="S13" s="7">
        <v>9</v>
      </c>
      <c r="T13" s="2" t="s">
        <v>35</v>
      </c>
      <c r="U13" s="2">
        <v>27</v>
      </c>
      <c r="V13" s="7">
        <f t="shared" si="1"/>
        <v>1</v>
      </c>
      <c r="W13" s="7">
        <f t="shared" si="2"/>
        <v>0</v>
      </c>
      <c r="Y13" s="7">
        <v>9</v>
      </c>
      <c r="Z13" s="2">
        <v>1</v>
      </c>
      <c r="AA13" s="7">
        <f t="shared" si="3"/>
        <v>1</v>
      </c>
      <c r="AB13" s="7">
        <f t="shared" si="4"/>
        <v>1</v>
      </c>
      <c r="AD13" s="7">
        <v>9</v>
      </c>
      <c r="AE13" s="2">
        <v>0</v>
      </c>
      <c r="AF13" s="7">
        <f t="shared" si="5"/>
        <v>0</v>
      </c>
      <c r="AG13" s="7">
        <f t="shared" si="6"/>
        <v>0</v>
      </c>
    </row>
    <row r="14" spans="1:33" ht="15.6" x14ac:dyDescent="0.3">
      <c r="A14" s="2">
        <v>41</v>
      </c>
      <c r="B14" s="2">
        <v>35</v>
      </c>
      <c r="C14" s="26" t="s">
        <v>24</v>
      </c>
      <c r="D14" s="2">
        <v>123</v>
      </c>
      <c r="E14" s="2">
        <v>86</v>
      </c>
      <c r="F14" s="2">
        <v>71</v>
      </c>
      <c r="G14" s="2">
        <v>1.615</v>
      </c>
      <c r="H14" s="2">
        <v>50.7</v>
      </c>
      <c r="I14" s="4">
        <f t="shared" si="0"/>
        <v>19.438507030643446</v>
      </c>
      <c r="J14" s="2" t="s">
        <v>25</v>
      </c>
      <c r="K14" s="2" t="s">
        <v>39</v>
      </c>
      <c r="L14" s="2" t="s">
        <v>27</v>
      </c>
      <c r="M14" s="2" t="s">
        <v>28</v>
      </c>
      <c r="N14" s="2" t="s">
        <v>25</v>
      </c>
      <c r="O14" s="2" t="s">
        <v>34</v>
      </c>
      <c r="P14" s="2" t="s">
        <v>30</v>
      </c>
      <c r="S14" s="7">
        <v>10</v>
      </c>
      <c r="T14" s="2" t="s">
        <v>30</v>
      </c>
      <c r="U14" s="2">
        <v>80</v>
      </c>
      <c r="V14" s="7">
        <f t="shared" si="1"/>
        <v>0</v>
      </c>
      <c r="W14" s="7">
        <f t="shared" si="2"/>
        <v>1</v>
      </c>
      <c r="Y14" s="7">
        <v>10</v>
      </c>
      <c r="Z14" s="2">
        <v>0</v>
      </c>
      <c r="AA14" s="7">
        <f t="shared" si="3"/>
        <v>0</v>
      </c>
      <c r="AB14" s="7">
        <f t="shared" si="4"/>
        <v>0</v>
      </c>
      <c r="AD14" s="7">
        <v>10</v>
      </c>
      <c r="AE14" s="2">
        <v>1</v>
      </c>
      <c r="AF14" s="7">
        <f t="shared" si="5"/>
        <v>1</v>
      </c>
      <c r="AG14" s="7">
        <f t="shared" si="6"/>
        <v>1</v>
      </c>
    </row>
    <row r="15" spans="1:33" ht="15.6" x14ac:dyDescent="0.3">
      <c r="A15" s="2">
        <v>42</v>
      </c>
      <c r="B15" s="2">
        <v>36</v>
      </c>
      <c r="C15" s="25" t="s">
        <v>37</v>
      </c>
      <c r="D15" s="2">
        <v>127</v>
      </c>
      <c r="E15" s="2">
        <v>98</v>
      </c>
      <c r="F15" s="2">
        <v>101</v>
      </c>
      <c r="G15" s="2">
        <v>1.6</v>
      </c>
      <c r="H15" s="2">
        <v>75.400000000000006</v>
      </c>
      <c r="I15" s="4">
        <f t="shared" si="0"/>
        <v>29.453124999999996</v>
      </c>
      <c r="J15" s="2" t="s">
        <v>31</v>
      </c>
      <c r="K15" s="2" t="s">
        <v>39</v>
      </c>
      <c r="L15" s="2" t="s">
        <v>27</v>
      </c>
      <c r="M15" s="2" t="s">
        <v>28</v>
      </c>
      <c r="N15" s="2" t="s">
        <v>31</v>
      </c>
      <c r="O15" s="2" t="s">
        <v>34</v>
      </c>
      <c r="P15" s="2" t="s">
        <v>30</v>
      </c>
      <c r="S15" s="7">
        <v>11</v>
      </c>
      <c r="T15" s="2" t="s">
        <v>30</v>
      </c>
      <c r="U15" s="2">
        <v>35</v>
      </c>
      <c r="V15" s="7">
        <f t="shared" si="1"/>
        <v>1</v>
      </c>
      <c r="W15" s="7">
        <f t="shared" si="2"/>
        <v>0</v>
      </c>
      <c r="Y15" s="7">
        <v>11</v>
      </c>
      <c r="Z15" s="2">
        <v>1</v>
      </c>
      <c r="AA15" s="7">
        <f t="shared" si="3"/>
        <v>1</v>
      </c>
      <c r="AB15" s="7">
        <f t="shared" si="4"/>
        <v>1</v>
      </c>
      <c r="AD15" s="7">
        <v>11</v>
      </c>
      <c r="AE15" s="2">
        <v>1</v>
      </c>
      <c r="AF15" s="7">
        <f t="shared" si="5"/>
        <v>1</v>
      </c>
      <c r="AG15" s="7">
        <f t="shared" si="6"/>
        <v>1</v>
      </c>
    </row>
    <row r="16" spans="1:33" x14ac:dyDescent="0.3">
      <c r="A16" s="2">
        <v>16</v>
      </c>
      <c r="B16" s="2">
        <v>66</v>
      </c>
      <c r="C16" s="2" t="s">
        <v>37</v>
      </c>
      <c r="D16" s="2">
        <v>187</v>
      </c>
      <c r="E16" s="2">
        <v>108</v>
      </c>
      <c r="F16" s="2">
        <v>88</v>
      </c>
      <c r="G16" s="2">
        <v>1.47</v>
      </c>
      <c r="H16" s="2">
        <v>43.6</v>
      </c>
      <c r="I16" s="4">
        <f t="shared" si="0"/>
        <v>20.176778194270909</v>
      </c>
      <c r="J16" s="5" t="s">
        <v>31</v>
      </c>
      <c r="K16" s="2" t="s">
        <v>26</v>
      </c>
      <c r="L16" s="2" t="s">
        <v>27</v>
      </c>
      <c r="M16" s="2" t="s">
        <v>28</v>
      </c>
      <c r="N16" s="2" t="s">
        <v>25</v>
      </c>
      <c r="O16" s="2" t="s">
        <v>38</v>
      </c>
      <c r="P16" s="2" t="s">
        <v>35</v>
      </c>
      <c r="S16" s="7">
        <v>12</v>
      </c>
      <c r="T16" s="2" t="s">
        <v>30</v>
      </c>
      <c r="U16" s="2">
        <v>36</v>
      </c>
      <c r="V16" s="7">
        <f t="shared" si="1"/>
        <v>0.9</v>
      </c>
      <c r="W16" s="7">
        <f t="shared" si="2"/>
        <v>0.1</v>
      </c>
      <c r="Y16" s="7">
        <v>12</v>
      </c>
      <c r="Z16" s="2">
        <v>0</v>
      </c>
      <c r="AA16" s="7">
        <f t="shared" si="3"/>
        <v>0</v>
      </c>
      <c r="AB16" s="7">
        <f t="shared" si="4"/>
        <v>0</v>
      </c>
      <c r="AD16" s="7">
        <v>12</v>
      </c>
      <c r="AE16" s="2">
        <v>1</v>
      </c>
      <c r="AF16" s="7">
        <f t="shared" si="5"/>
        <v>1</v>
      </c>
      <c r="AG16" s="7">
        <f t="shared" si="6"/>
        <v>1</v>
      </c>
    </row>
    <row r="17" spans="1:33" x14ac:dyDescent="0.3">
      <c r="A17" s="2">
        <v>22</v>
      </c>
      <c r="B17" s="2">
        <v>54</v>
      </c>
      <c r="C17" s="24" t="s">
        <v>24</v>
      </c>
      <c r="D17" s="2">
        <v>105</v>
      </c>
      <c r="E17" s="2">
        <v>67</v>
      </c>
      <c r="F17" s="2">
        <v>79</v>
      </c>
      <c r="G17" s="2">
        <v>1.58</v>
      </c>
      <c r="H17" s="2">
        <v>58.6</v>
      </c>
      <c r="I17" s="4">
        <f t="shared" si="0"/>
        <v>23.473802275276395</v>
      </c>
      <c r="J17" s="5" t="s">
        <v>31</v>
      </c>
      <c r="K17" s="2" t="s">
        <v>26</v>
      </c>
      <c r="L17" s="2" t="s">
        <v>27</v>
      </c>
      <c r="M17" s="2" t="s">
        <v>28</v>
      </c>
      <c r="N17" s="2" t="s">
        <v>25</v>
      </c>
      <c r="O17" s="2" t="s">
        <v>29</v>
      </c>
      <c r="P17" s="2" t="s">
        <v>36</v>
      </c>
      <c r="S17" s="7">
        <v>13</v>
      </c>
      <c r="T17" s="2" t="s">
        <v>35</v>
      </c>
      <c r="U17" s="2">
        <v>66</v>
      </c>
      <c r="V17" s="7">
        <f t="shared" si="1"/>
        <v>0</v>
      </c>
      <c r="W17" s="7">
        <f t="shared" si="2"/>
        <v>1</v>
      </c>
      <c r="Y17" s="7">
        <v>13</v>
      </c>
      <c r="Z17" s="5">
        <v>0</v>
      </c>
      <c r="AA17" s="7">
        <f t="shared" si="3"/>
        <v>0</v>
      </c>
      <c r="AB17" s="7">
        <f t="shared" si="4"/>
        <v>0</v>
      </c>
      <c r="AD17" s="7">
        <v>13</v>
      </c>
      <c r="AE17" s="2">
        <v>1</v>
      </c>
      <c r="AF17" s="7">
        <f t="shared" si="5"/>
        <v>1</v>
      </c>
      <c r="AG17" s="7">
        <f t="shared" si="6"/>
        <v>1</v>
      </c>
    </row>
    <row r="18" spans="1:33" ht="15.6" x14ac:dyDescent="0.3">
      <c r="A18" s="2">
        <v>57</v>
      </c>
      <c r="B18" s="2">
        <v>22</v>
      </c>
      <c r="C18" s="25" t="s">
        <v>37</v>
      </c>
      <c r="D18" s="2">
        <v>133</v>
      </c>
      <c r="E18" s="2">
        <v>89</v>
      </c>
      <c r="F18" s="2">
        <v>70</v>
      </c>
      <c r="G18" s="2">
        <v>1.49</v>
      </c>
      <c r="H18" s="2">
        <v>41.6</v>
      </c>
      <c r="I18" s="4">
        <f t="shared" si="0"/>
        <v>18.737894689428405</v>
      </c>
      <c r="J18" s="2" t="s">
        <v>31</v>
      </c>
      <c r="K18" s="2" t="s">
        <v>26</v>
      </c>
      <c r="L18" s="2" t="s">
        <v>27</v>
      </c>
      <c r="M18" s="2" t="s">
        <v>28</v>
      </c>
      <c r="N18" s="2" t="s">
        <v>25</v>
      </c>
      <c r="O18" s="2" t="s">
        <v>34</v>
      </c>
      <c r="P18" s="2" t="s">
        <v>36</v>
      </c>
      <c r="S18" s="7">
        <v>14</v>
      </c>
      <c r="T18" s="2" t="s">
        <v>36</v>
      </c>
      <c r="U18" s="2">
        <v>54</v>
      </c>
      <c r="V18" s="7">
        <f t="shared" si="1"/>
        <v>0</v>
      </c>
      <c r="W18" s="7">
        <f t="shared" si="2"/>
        <v>1</v>
      </c>
      <c r="Y18" s="7">
        <v>14</v>
      </c>
      <c r="Z18" s="5">
        <v>0</v>
      </c>
      <c r="AA18" s="7">
        <f t="shared" si="3"/>
        <v>0</v>
      </c>
      <c r="AB18" s="7">
        <f t="shared" si="4"/>
        <v>0</v>
      </c>
      <c r="AD18" s="7">
        <v>14</v>
      </c>
      <c r="AE18" s="2">
        <v>1</v>
      </c>
      <c r="AF18" s="7">
        <f t="shared" si="5"/>
        <v>1</v>
      </c>
      <c r="AG18" s="7">
        <f t="shared" si="6"/>
        <v>1</v>
      </c>
    </row>
    <row r="19" spans="1:33" x14ac:dyDescent="0.3">
      <c r="S19" s="7">
        <v>15</v>
      </c>
      <c r="T19" s="2" t="s">
        <v>36</v>
      </c>
      <c r="U19" s="19">
        <v>22</v>
      </c>
      <c r="V19" s="22">
        <f t="shared" si="1"/>
        <v>1</v>
      </c>
      <c r="W19" s="7">
        <f t="shared" si="2"/>
        <v>0</v>
      </c>
      <c r="Y19" s="22">
        <v>15</v>
      </c>
      <c r="Z19" s="2">
        <v>0</v>
      </c>
      <c r="AA19" s="22">
        <f t="shared" si="3"/>
        <v>0</v>
      </c>
      <c r="AB19" s="22">
        <f t="shared" si="4"/>
        <v>0</v>
      </c>
      <c r="AD19" s="22">
        <v>15</v>
      </c>
      <c r="AE19" s="19">
        <v>1</v>
      </c>
      <c r="AF19" s="22">
        <f t="shared" si="5"/>
        <v>1</v>
      </c>
      <c r="AG19" s="22">
        <f t="shared" si="6"/>
        <v>1</v>
      </c>
    </row>
    <row r="20" spans="1:33" x14ac:dyDescent="0.3">
      <c r="T20" s="9"/>
      <c r="U20" s="2" t="s">
        <v>64</v>
      </c>
      <c r="V20" s="7">
        <f>SUM(V5:V19)</f>
        <v>6.7000000000000011</v>
      </c>
      <c r="W20" s="7">
        <f>SUM(W5:W19)</f>
        <v>8.3000000000000007</v>
      </c>
      <c r="Y20" s="16"/>
      <c r="Z20" s="16"/>
      <c r="AA20" s="16">
        <f>SUM(AA5:AA19)</f>
        <v>5</v>
      </c>
      <c r="AB20" s="16">
        <f>SUM(AB5:AB19)</f>
        <v>5</v>
      </c>
      <c r="AD20" s="16"/>
      <c r="AE20" s="23"/>
      <c r="AF20" s="16"/>
      <c r="AG20" s="16"/>
    </row>
    <row r="21" spans="1:33" x14ac:dyDescent="0.3">
      <c r="T21" s="9"/>
      <c r="U21" s="20"/>
      <c r="V21" s="9"/>
      <c r="W21" s="9"/>
      <c r="Y21" s="9"/>
      <c r="Z21" s="9"/>
      <c r="AA21" s="9"/>
      <c r="AB21" s="9"/>
      <c r="AD21" s="9"/>
      <c r="AE21" s="20"/>
      <c r="AF21" s="9"/>
      <c r="AG21" s="9"/>
    </row>
    <row r="22" spans="1:33" x14ac:dyDescent="0.3">
      <c r="T22" s="9"/>
      <c r="U22" s="20"/>
      <c r="V22" s="9"/>
      <c r="W22" s="9"/>
      <c r="Y22" s="9"/>
      <c r="Z22" s="9"/>
      <c r="AA22" s="9"/>
      <c r="AB22" s="9"/>
      <c r="AD22" s="9"/>
      <c r="AE22" s="20"/>
      <c r="AF22" s="9"/>
      <c r="AG22" s="9"/>
    </row>
    <row r="23" spans="1:33" x14ac:dyDescent="0.3">
      <c r="T23" s="9"/>
      <c r="U23" s="20"/>
      <c r="V23" s="9"/>
      <c r="W23" s="9"/>
      <c r="Y23" s="9"/>
      <c r="Z23" s="9"/>
      <c r="AA23" s="9"/>
      <c r="AB23" s="9"/>
      <c r="AD23" s="9"/>
      <c r="AE23" s="20"/>
      <c r="AF23" s="9"/>
      <c r="AG23" s="9"/>
    </row>
    <row r="24" spans="1:33" x14ac:dyDescent="0.3">
      <c r="T24" s="9"/>
      <c r="U24" s="20"/>
      <c r="V24" s="9"/>
      <c r="W24" s="9"/>
      <c r="Y24" s="9"/>
      <c r="Z24" s="9"/>
      <c r="AA24" s="9"/>
      <c r="AB24" s="9"/>
      <c r="AD24" s="9"/>
      <c r="AE24" s="20"/>
      <c r="AF24" s="9"/>
      <c r="AG24" s="9"/>
    </row>
    <row r="26" spans="1:33" x14ac:dyDescent="0.3">
      <c r="B26" t="s">
        <v>68</v>
      </c>
      <c r="E26" s="181" t="s">
        <v>63</v>
      </c>
      <c r="F26" s="182"/>
      <c r="G26" s="183"/>
      <c r="H26" s="181">
        <f>-((5/15)*LOG((5/15),2))-((5/15)*LOG((5/15),2))-((5/15)*LOG((5/15),2))</f>
        <v>1.5849625007211561</v>
      </c>
      <c r="I26" s="182"/>
      <c r="J26" s="183"/>
      <c r="O26" t="s">
        <v>44</v>
      </c>
      <c r="P26" t="s">
        <v>60</v>
      </c>
      <c r="Q26" t="s">
        <v>61</v>
      </c>
    </row>
    <row r="27" spans="1:33" x14ac:dyDescent="0.3">
      <c r="B27" t="s">
        <v>55</v>
      </c>
      <c r="C27">
        <f>-((V7+V8+V9+V18+V19)/(V20)*LOG((V7+V8+V9+V18+V19)/(V20),2))-((V5+V10+V14+V15+V16)/(V20)*LOG((V5+V10+V14+V15+V16)/(V20),2))-((V6+V11+V12+V13+V17)/(V20)*LOG((V6+V11+V12+V13+V17)/(V20),2))</f>
        <v>1.497246928681327</v>
      </c>
      <c r="E27" s="181" t="s">
        <v>65</v>
      </c>
      <c r="F27" s="182"/>
      <c r="G27" s="183"/>
      <c r="H27" s="181">
        <f>(H26)-((V20/15)*C27)-((W20/15)*C28)</f>
        <v>0.14180459113520716</v>
      </c>
      <c r="I27" s="182"/>
      <c r="J27" s="183"/>
      <c r="N27" t="s">
        <v>59</v>
      </c>
      <c r="O27">
        <v>200</v>
      </c>
      <c r="P27">
        <v>230</v>
      </c>
      <c r="Q27">
        <v>270</v>
      </c>
      <c r="V27" t="s">
        <v>53</v>
      </c>
      <c r="W27" t="s">
        <v>54</v>
      </c>
    </row>
    <row r="28" spans="1:33" x14ac:dyDescent="0.3">
      <c r="B28" t="s">
        <v>43</v>
      </c>
      <c r="C28">
        <f>-((W7+W8+W9+W18+W19)/(W20)*LOG((W7+W8+W9+W18+W19)/(W20),2))-((W5+W10+W14+W15+W16)/(W20)*LOG((W5+W10+W14+W15+W16)/(W20),2))-((WW6+W11+W12+W13+W17)/(W20)*LOG((W6+W11+W12+W13+W17)/(W20),2))</f>
        <v>1.3994956893523303</v>
      </c>
      <c r="E28" s="181" t="s">
        <v>67</v>
      </c>
      <c r="F28" s="182"/>
      <c r="G28" s="183"/>
      <c r="H28" s="181">
        <f>(H26)-((V71/15)*C31)-((W71/15)*C32)</f>
        <v>2.5763377565394263E-2</v>
      </c>
      <c r="I28" s="182"/>
      <c r="J28" s="183"/>
      <c r="T28" t="s">
        <v>56</v>
      </c>
      <c r="U28" s="30" t="s">
        <v>37</v>
      </c>
      <c r="V28">
        <v>60</v>
      </c>
      <c r="W28">
        <v>80</v>
      </c>
      <c r="Z28" t="s">
        <v>26</v>
      </c>
      <c r="AA28">
        <v>1</v>
      </c>
      <c r="AB28">
        <v>0</v>
      </c>
      <c r="AE28" t="s">
        <v>25</v>
      </c>
      <c r="AF28">
        <v>1</v>
      </c>
      <c r="AG28">
        <v>0</v>
      </c>
    </row>
    <row r="29" spans="1:33" x14ac:dyDescent="0.3">
      <c r="E29" s="181" t="s">
        <v>71</v>
      </c>
      <c r="F29" s="182"/>
      <c r="G29" s="183"/>
      <c r="H29" s="181">
        <f>(H26)-((P45/15)*C35)-((Q45/15)*C36)-((R45/15)*C37)</f>
        <v>0.52290063935346276</v>
      </c>
      <c r="I29" s="182"/>
      <c r="J29" s="183"/>
      <c r="K29" t="s">
        <v>94</v>
      </c>
      <c r="M29" s="7" t="s">
        <v>66</v>
      </c>
      <c r="N29" s="7" t="s">
        <v>46</v>
      </c>
      <c r="O29" s="7" t="s">
        <v>59</v>
      </c>
      <c r="P29" s="7" t="s">
        <v>44</v>
      </c>
      <c r="Q29" s="7" t="s">
        <v>62</v>
      </c>
      <c r="R29" s="37" t="s">
        <v>61</v>
      </c>
      <c r="U29" s="29" t="s">
        <v>24</v>
      </c>
      <c r="V29">
        <v>70</v>
      </c>
      <c r="W29">
        <v>90</v>
      </c>
      <c r="Z29" t="s">
        <v>39</v>
      </c>
      <c r="AA29">
        <v>0</v>
      </c>
      <c r="AB29">
        <v>1</v>
      </c>
      <c r="AE29" t="s">
        <v>31</v>
      </c>
      <c r="AF29">
        <v>0</v>
      </c>
      <c r="AG29">
        <v>1</v>
      </c>
    </row>
    <row r="30" spans="1:33" x14ac:dyDescent="0.3">
      <c r="B30" t="s">
        <v>69</v>
      </c>
      <c r="E30" s="181" t="s">
        <v>73</v>
      </c>
      <c r="F30" s="182"/>
      <c r="G30" s="183"/>
      <c r="H30" s="181">
        <f>(H26)-((V46/15)*C40)-((W46/15)*C41)</f>
        <v>0.1513370851950977</v>
      </c>
      <c r="I30" s="182"/>
      <c r="J30" s="183"/>
      <c r="M30" s="2" t="s">
        <v>30</v>
      </c>
      <c r="N30" s="7">
        <v>1</v>
      </c>
      <c r="O30" s="7">
        <f>(D4+E4)</f>
        <v>215</v>
      </c>
      <c r="P30" s="7">
        <f>IF(O30&lt;=$O$27,1,IF(AND($O$27&lt;O30,O30&lt;$P$27),($P$27-O30)/($P$27-$O$27),IF(O30&gt;=$O$27,0)))</f>
        <v>0.5</v>
      </c>
      <c r="Q30" s="7">
        <f>IF(AND($O$27&lt;O30,O30&lt;$P$27),(O30-$O$27)/($P$27-$O$27),IF(AND($P$27&lt;=O30,O30&lt;$Q$27),($Q$27-O30)/($Q$27-$P$27), IF(OR(O30&lt;=$O$27,O30&gt;=$Q$27),0,salah)))</f>
        <v>0.5</v>
      </c>
      <c r="R30" s="7">
        <f>IF(O30&lt;=$P$27,0,IF(AND($P$27&lt;O30,O30&lt;$Q$27),(O30-$P$27)/($Q$27-$P$27),IF(O30&gt;=$Q$27,1)))</f>
        <v>0</v>
      </c>
      <c r="T30" s="7" t="s">
        <v>46</v>
      </c>
      <c r="U30" s="7" t="s">
        <v>7</v>
      </c>
      <c r="V30" s="7" t="s">
        <v>57</v>
      </c>
      <c r="W30" s="7" t="s">
        <v>58</v>
      </c>
      <c r="Y30" s="7" t="s">
        <v>46</v>
      </c>
      <c r="Z30" s="7" t="s">
        <v>48</v>
      </c>
      <c r="AA30" s="7" t="s">
        <v>26</v>
      </c>
      <c r="AB30" s="7" t="s">
        <v>39</v>
      </c>
      <c r="AD30" s="7" t="s">
        <v>46</v>
      </c>
      <c r="AE30" s="7" t="s">
        <v>15</v>
      </c>
      <c r="AF30" s="7" t="s">
        <v>25</v>
      </c>
      <c r="AG30" s="7" t="s">
        <v>31</v>
      </c>
    </row>
    <row r="31" spans="1:33" x14ac:dyDescent="0.3">
      <c r="B31" t="s">
        <v>44</v>
      </c>
      <c r="C31">
        <f>-((V58+V59+V60+V69+V70)/(V71)*LOG((V58+V59+V60+V69+V70)/(V71),2))-((V56+V61+V65+V66+V67)/(V71)*LOG((V56+V61+V65+V66+V67)/(V71),2))-((V57+V62+V63+V64+V68)/(V71)*LOG((V57+V62+V63+V64+V68)/(V71),2))</f>
        <v>1.5089502271064288</v>
      </c>
      <c r="M31" s="2" t="s">
        <v>35</v>
      </c>
      <c r="N31" s="7">
        <v>2</v>
      </c>
      <c r="O31" s="7">
        <f t="shared" ref="O31:O44" si="7">(D5+E5)</f>
        <v>308</v>
      </c>
      <c r="P31" s="7">
        <f>IF(O31&lt;=$O$27,1,IF(AND($O$27&lt;O31,O31&lt;$P$27),($P$27-O31)/($P$27-$O$27),IF(O31&gt;=$O$27,0)))</f>
        <v>0</v>
      </c>
      <c r="Q31" s="7">
        <f>IF(AND($O$27&lt;O31,O31&lt;$P$27),(O31-$O$27)/($P$27-$O$27),IF(AND($P$27&lt;=O31,O31&lt;$Q$27),($Q$27-O31)/($Q$27-$P$27), IF(OR(O31&lt;=$O$27,O31&gt;=$Q$27),0,salah)))</f>
        <v>0</v>
      </c>
      <c r="R31" s="7">
        <f t="shared" ref="R31:R44" si="8">IF(O31&lt;=$P$27,0,IF(AND($P$27&lt;O31,O31&lt;$Q$27),(O31-$P$27)/($Q$27-$P$27),IF(O31&gt;=$Q$27,1)))</f>
        <v>1</v>
      </c>
      <c r="T31" s="7">
        <v>1</v>
      </c>
      <c r="U31" s="24">
        <v>78</v>
      </c>
      <c r="V31" s="32">
        <f>IF(U31&lt;=$V$29,1,IF(AND($V$29&lt;U31,U31&lt;$W$29),($W$29-U31)/($W$29-$V$29),IF(U31&gt;=$W$29,0)))</f>
        <v>0.6</v>
      </c>
      <c r="W31" s="32">
        <f>IF(U31&lt;=$V$29,0,IF(AND($V$29&lt;U31,U31&lt;$W$29),(U31-$V$29)/($W$29-$V$29),IF(U31&gt;=$W$29,1)))</f>
        <v>0.4</v>
      </c>
      <c r="Y31" s="7">
        <v>1</v>
      </c>
      <c r="Z31" s="2">
        <v>1</v>
      </c>
      <c r="AA31" s="7">
        <f>($AB$28-Z31)/($AB$28-$AA$28)</f>
        <v>1</v>
      </c>
      <c r="AB31" s="7">
        <f>(Z31-$AA$29)/($AB$29-$AA$29)</f>
        <v>1</v>
      </c>
      <c r="AD31" s="7">
        <v>1</v>
      </c>
      <c r="AE31" s="2">
        <v>1</v>
      </c>
      <c r="AF31" s="7">
        <f>($AG$28-AE31)/($AG$28-$AF$28)</f>
        <v>1</v>
      </c>
      <c r="AG31" s="7">
        <f>(AE31-$AF$29)/($AG$29-$AF$29)</f>
        <v>1</v>
      </c>
    </row>
    <row r="32" spans="1:33" x14ac:dyDescent="0.3">
      <c r="B32" t="s">
        <v>70</v>
      </c>
      <c r="C32">
        <f>-((W58+W59+W60+W69+W70)/(W71)*LOG((W58+W59+W60+W69+W70)/(W71),2))-((W56+W61+W65+W66+W67)/(W71)*LOG((W56+W61+W65+W66+W67)/(W71),2))-((W57+W62+W63+W64+W68)/(W71)*LOG((W57+W62+W63+W64+W68)/(W71),2))</f>
        <v>1.5766027412960781</v>
      </c>
      <c r="M32" s="2" t="s">
        <v>36</v>
      </c>
      <c r="N32" s="7">
        <v>3</v>
      </c>
      <c r="O32" s="7">
        <f t="shared" si="7"/>
        <v>209</v>
      </c>
      <c r="P32" s="7">
        <f t="shared" ref="P32:P44" si="9">IF(O32&lt;=$O$27,1,IF(AND($O$27&lt;O32,O32&lt;$P$27),($P$27-O32)/($P$27-$O$27),IF(O32&gt;=$O$27,0)))</f>
        <v>0.7</v>
      </c>
      <c r="Q32" s="7">
        <f>IF(AND($O$27&lt;O32,O32&lt;$P$27),(O32-$O$27)/($P$27-$O$27),IF(AND($P$27&lt;=O32,O32&lt;$Q$27),($Q$27-O32)/($Q$27-$P$27), IF(OR(O32&lt;=$O$27,O32&gt;=$Q$27),0,salah)))</f>
        <v>0.3</v>
      </c>
      <c r="R32" s="7">
        <f t="shared" si="8"/>
        <v>0</v>
      </c>
      <c r="T32" s="7">
        <v>2</v>
      </c>
      <c r="U32" s="24">
        <v>98</v>
      </c>
      <c r="V32" s="32">
        <f>IF(U32&lt;=$V$29,1,IF(AND($V$29&lt;U32,U32&lt;$W$29),($W$29-U32)/($W$29-$V$29),IF(U32&gt;=$W$29,0)))</f>
        <v>0</v>
      </c>
      <c r="W32" s="32">
        <f>IF(U32&lt;=$V$29,0,IF(AND($V$29&lt;U32,U32&lt;$W$29),(U32-$V$29)/($W$29-$V$29),IF(U32&gt;=$W$29,1)))</f>
        <v>1</v>
      </c>
      <c r="Y32" s="7">
        <v>2</v>
      </c>
      <c r="Z32" s="2">
        <v>1</v>
      </c>
      <c r="AA32" s="7">
        <f t="shared" ref="AA32:AA45" si="10">($AB$28-Z32)/($AB$28-$AA$28)</f>
        <v>1</v>
      </c>
      <c r="AB32" s="7">
        <f t="shared" ref="AB32:AB45" si="11">(Z32-$AA$29)/($AB$29-$AA$29)</f>
        <v>1</v>
      </c>
      <c r="AD32" s="7">
        <v>2</v>
      </c>
      <c r="AE32" s="2">
        <v>1</v>
      </c>
      <c r="AF32" s="7">
        <f t="shared" ref="AF32:AF45" si="12">($AG$28-AE32)/($AG$28-$AF$28)</f>
        <v>1</v>
      </c>
      <c r="AG32" s="7">
        <f t="shared" ref="AG32:AG45" si="13">(AE32-$AF$29)/($AG$29-$AF$29)</f>
        <v>1</v>
      </c>
    </row>
    <row r="33" spans="2:33" x14ac:dyDescent="0.3">
      <c r="M33" s="2" t="s">
        <v>36</v>
      </c>
      <c r="N33" s="7">
        <v>4</v>
      </c>
      <c r="O33" s="7">
        <f t="shared" si="7"/>
        <v>203</v>
      </c>
      <c r="P33" s="7">
        <f t="shared" si="9"/>
        <v>0.9</v>
      </c>
      <c r="Q33" s="7">
        <f>IF(AND($O$27&lt;O33,O33&lt;$P$27),(O33-$O$27)/($P$27-$O$27),IF(AND($P$27&lt;=O33,O33&lt;$Q$27),($Q$27-O33)/($Q$27-$P$27), IF(OR(O33&lt;=$O$27,O33&gt;=$Q$27),0,salah)))</f>
        <v>0.1</v>
      </c>
      <c r="R33" s="7">
        <f t="shared" si="8"/>
        <v>0</v>
      </c>
      <c r="T33" s="7">
        <v>3</v>
      </c>
      <c r="U33" s="24">
        <v>98</v>
      </c>
      <c r="V33" s="32">
        <f>IF(U33&lt;=$V$29,1,IF(AND($V$29&lt;U33,U33&lt;$W$29),($W$29-U33)/($W$29-$V$29),IF(U33&gt;=$W$29,0)))</f>
        <v>0</v>
      </c>
      <c r="W33" s="32">
        <f>IF(U33&lt;=$V$29,0,IF(AND($V$29&lt;U33,U33&lt;$W$29),(U33-$V$29)/($W$29-$V$29),IF(U33&gt;=$W$29,1)))</f>
        <v>1</v>
      </c>
      <c r="Y33" s="7">
        <v>3</v>
      </c>
      <c r="Z33" s="2">
        <v>1</v>
      </c>
      <c r="AA33" s="7">
        <f t="shared" si="10"/>
        <v>1</v>
      </c>
      <c r="AB33" s="7">
        <f t="shared" si="11"/>
        <v>1</v>
      </c>
      <c r="AD33" s="7">
        <v>3</v>
      </c>
      <c r="AE33" s="2">
        <v>1</v>
      </c>
      <c r="AF33" s="7">
        <f t="shared" si="12"/>
        <v>1</v>
      </c>
      <c r="AG33" s="7">
        <f t="shared" si="13"/>
        <v>1</v>
      </c>
    </row>
    <row r="34" spans="2:33" x14ac:dyDescent="0.3">
      <c r="B34" t="s">
        <v>72</v>
      </c>
      <c r="M34" s="2" t="s">
        <v>36</v>
      </c>
      <c r="N34" s="7">
        <v>5</v>
      </c>
      <c r="O34" s="7">
        <f t="shared" si="7"/>
        <v>198</v>
      </c>
      <c r="P34" s="7">
        <f t="shared" si="9"/>
        <v>1</v>
      </c>
      <c r="Q34" s="7">
        <f>IF(AND($O$27&lt;O34,O34&lt;$P$27),(O34-$O$27)/($P$27-$O$27),IF(AND($P$27&lt;=O34,O34&lt;$Q$27),($Q$27-O34)/($Q$27-$P$27), IF(OR(O34&lt;=$O$27,O34&gt;=$Q$27),0,salah)))</f>
        <v>0</v>
      </c>
      <c r="R34" s="7">
        <f t="shared" si="8"/>
        <v>0</v>
      </c>
      <c r="T34" s="7">
        <v>4</v>
      </c>
      <c r="U34" s="27">
        <v>99</v>
      </c>
      <c r="V34" s="31">
        <f>IF(U34&lt;=$V$28,1,IF(AND($V$28&lt;U34,U34&lt;$W$28),($W$28-U34)/($W$28-$V$28),IF(U34&gt;=$W$28,0)))</f>
        <v>0</v>
      </c>
      <c r="W34" s="31">
        <f>IF(U34&lt;=$V$28,0,IF(AND($V$28&lt;U34,U34&lt;$W$28),(U34-$V$28)/($W$28-$V$28),IF(U34&gt;=$W$28,1)))</f>
        <v>1</v>
      </c>
      <c r="Y34" s="7">
        <v>4</v>
      </c>
      <c r="Z34" s="2">
        <v>0</v>
      </c>
      <c r="AA34" s="7">
        <f t="shared" si="10"/>
        <v>0</v>
      </c>
      <c r="AB34" s="7">
        <f t="shared" si="11"/>
        <v>0</v>
      </c>
      <c r="AD34" s="7">
        <v>4</v>
      </c>
      <c r="AE34" s="2">
        <v>1</v>
      </c>
      <c r="AF34" s="7">
        <f t="shared" si="12"/>
        <v>1</v>
      </c>
      <c r="AG34" s="7">
        <f t="shared" si="13"/>
        <v>1</v>
      </c>
    </row>
    <row r="35" spans="2:33" x14ac:dyDescent="0.3">
      <c r="B35" t="s">
        <v>44</v>
      </c>
      <c r="C35">
        <f>-((P32+P33+P34+P43+P44)/(P45)*LOG((P32+P33+P34+P43+P44)/(P45),2))-((P30+P35+P39+P40+P41)/(P45)*LOG((P30+P35+P39+P40+P41)/(P45),2))-((P31+P36+P37+P38+P42)/(P45)*LOG((P31+P36+P37+P38+P42)/(P45),2))</f>
        <v>1.3453448199846287</v>
      </c>
      <c r="M35" s="2" t="s">
        <v>30</v>
      </c>
      <c r="N35" s="7">
        <v>6</v>
      </c>
      <c r="O35" s="7">
        <f t="shared" si="7"/>
        <v>205</v>
      </c>
      <c r="P35" s="7">
        <f t="shared" si="9"/>
        <v>0.83333333333333337</v>
      </c>
      <c r="Q35" s="7">
        <f>IF(AND($O$27&lt;O35,O35&lt;$P$27),(O35-$O$27)/($P$27-$O$27),IF(AND($P$27&lt;=O35,O35&lt;$Q$27),($Q$27-O35)/($Q$27-$P$27), IF(OR(O35&lt;=$O$27,O35&gt;=$Q$27),0,salah)))</f>
        <v>0.16666666666666666</v>
      </c>
      <c r="R35" s="7">
        <f t="shared" si="8"/>
        <v>0</v>
      </c>
      <c r="T35" s="7">
        <v>5</v>
      </c>
      <c r="U35" s="27">
        <v>88</v>
      </c>
      <c r="V35" s="31">
        <f>IF(U35&lt;=$V$28,1,IF(AND($V$28&lt;U35,U35&lt;$W$28),($W$28-U35)/($W$28-$V$28),IF(U35&gt;=$W$28,0)))</f>
        <v>0</v>
      </c>
      <c r="W35" s="31">
        <f>IF(U35&lt;=$V$28,0,IF(AND($V$28&lt;U35,U35&lt;$W$28),(U35-$V$28)/($W$28-$V$28),IF(U35&gt;=$W$28,1)))</f>
        <v>1</v>
      </c>
      <c r="Y35" s="7">
        <v>5</v>
      </c>
      <c r="Z35" s="2">
        <v>0</v>
      </c>
      <c r="AA35" s="7">
        <f t="shared" si="10"/>
        <v>0</v>
      </c>
      <c r="AB35" s="7">
        <f t="shared" si="11"/>
        <v>0</v>
      </c>
      <c r="AD35" s="7">
        <v>5</v>
      </c>
      <c r="AE35" s="2">
        <v>1</v>
      </c>
      <c r="AF35" s="7">
        <f t="shared" si="12"/>
        <v>1</v>
      </c>
      <c r="AG35" s="7">
        <f t="shared" si="13"/>
        <v>1</v>
      </c>
    </row>
    <row r="36" spans="2:33" x14ac:dyDescent="0.3">
      <c r="B36" t="s">
        <v>62</v>
      </c>
      <c r="C36">
        <f>-((Q33+Q34+Q35+Q44+Q45)/(Q45)*LOG((Q33+Q34+Q35+Q44+Q45)/(Q45),2))-((Q31+Q36+Q40+Q41+Q42)/(Q45)*LOG((Q31+Q36+Q40+Q41+Q42)/(Q45),2))-((Q32+Q37+Q38+Q39+Q43)/(Q45)*LOG((Q32+Q37+Q38+Q39+Q43)/(Q45),2))</f>
        <v>0.6452240886925138</v>
      </c>
      <c r="M36" s="2" t="s">
        <v>35</v>
      </c>
      <c r="N36" s="7">
        <v>7</v>
      </c>
      <c r="O36" s="7">
        <f t="shared" si="7"/>
        <v>207</v>
      </c>
      <c r="P36" s="7">
        <f t="shared" si="9"/>
        <v>0.76666666666666672</v>
      </c>
      <c r="Q36" s="7">
        <f>IF(AND($O$27&lt;O36,O36&lt;$P$27),(O36-$O$27)/($P$27-$O$27),IF(AND($P$27&lt;=O36,O36&lt;$Q$27),($Q$27-O36)/($Q$27-$P$27), IF(OR(O36&lt;=$O$27,O36&gt;=$Q$27),0,salah)))</f>
        <v>0.23333333333333334</v>
      </c>
      <c r="R36" s="7">
        <f t="shared" si="8"/>
        <v>0</v>
      </c>
      <c r="T36" s="7">
        <v>6</v>
      </c>
      <c r="U36" s="27">
        <v>89</v>
      </c>
      <c r="V36" s="31">
        <f>IF(U36&lt;=$V$28,1,IF(AND($V$28&lt;U36,U36&lt;$W$28),($W$28-U36)/($W$28-$V$28),IF(U36&gt;=$W$28,0)))</f>
        <v>0</v>
      </c>
      <c r="W36" s="31">
        <f>IF(U36&lt;=$V$28,0,IF(AND($V$28&lt;U36,U36&lt;$W$28),(U36-$V$28)/($W$28-$V$28),IF(U36&gt;=$W$28,1)))</f>
        <v>1</v>
      </c>
      <c r="Y36" s="7">
        <v>6</v>
      </c>
      <c r="Z36" s="2">
        <v>0</v>
      </c>
      <c r="AA36" s="7">
        <f t="shared" si="10"/>
        <v>0</v>
      </c>
      <c r="AB36" s="7">
        <f t="shared" si="11"/>
        <v>0</v>
      </c>
      <c r="AD36" s="7">
        <v>6</v>
      </c>
      <c r="AE36" s="2">
        <v>0</v>
      </c>
      <c r="AF36" s="7">
        <f t="shared" si="12"/>
        <v>0</v>
      </c>
      <c r="AG36" s="7">
        <f t="shared" si="13"/>
        <v>0</v>
      </c>
    </row>
    <row r="37" spans="2:33" x14ac:dyDescent="0.3">
      <c r="B37" t="s">
        <v>61</v>
      </c>
      <c r="C37">
        <f>-((R33+R34+R35+R44+R45)/(R45)*LOG((R33+R34+R35+R44+R45)/(R45),2))-((R31+R36+R40+R41+R42)/(R45)*LOG((R31+R36+R40+R41+R42)/(R45),2))-((R32+R37+R38+R39+R43)/(R45)*LOG((R32+R37+R38+R39+R43)/(R45),2))</f>
        <v>0.99905740426638634</v>
      </c>
      <c r="M37" s="2" t="s">
        <v>35</v>
      </c>
      <c r="N37" s="7">
        <v>8</v>
      </c>
      <c r="O37" s="7">
        <f t="shared" si="7"/>
        <v>290</v>
      </c>
      <c r="P37" s="7">
        <f t="shared" si="9"/>
        <v>0</v>
      </c>
      <c r="Q37" s="7">
        <f>IF(AND($O$27&lt;O37,O37&lt;$P$27),(O37-$O$27)/($P$27-$O$27),IF(AND($P$27&lt;=O37,O37&lt;$Q$27),($Q$27-O37)/($Q$27-$P$27), IF(OR(O37&lt;=$O$27,O37&gt;=$Q$27),0,salah)))</f>
        <v>0</v>
      </c>
      <c r="R37" s="7">
        <f t="shared" si="8"/>
        <v>1</v>
      </c>
      <c r="T37" s="7">
        <v>7</v>
      </c>
      <c r="U37" s="24">
        <v>89</v>
      </c>
      <c r="V37" s="32">
        <f>IF(U37&lt;=$V$29,1,IF(AND($V$29&lt;U37,U37&lt;$W$29),($W$29-U37)/($W$29-$V$29),IF(U37&gt;=$W$29,0)))</f>
        <v>0.05</v>
      </c>
      <c r="W37" s="32">
        <f>IF(U37&lt;=$V$29,0,IF(AND($V$29&lt;U37,U37&lt;$W$29),(U37-$V$29)/($W$29-$V$29),IF(U37&gt;=$W$29,1)))</f>
        <v>0.95</v>
      </c>
      <c r="Y37" s="7">
        <v>7</v>
      </c>
      <c r="Z37" s="2">
        <v>0</v>
      </c>
      <c r="AA37" s="7">
        <f t="shared" si="10"/>
        <v>0</v>
      </c>
      <c r="AB37" s="7">
        <f t="shared" si="11"/>
        <v>0</v>
      </c>
      <c r="AD37" s="7">
        <v>7</v>
      </c>
      <c r="AE37" s="2">
        <v>0</v>
      </c>
      <c r="AF37" s="7">
        <f t="shared" si="12"/>
        <v>0</v>
      </c>
      <c r="AG37" s="7">
        <f t="shared" si="13"/>
        <v>0</v>
      </c>
    </row>
    <row r="38" spans="2:33" x14ac:dyDescent="0.3">
      <c r="M38" s="2" t="s">
        <v>35</v>
      </c>
      <c r="N38" s="7">
        <v>9</v>
      </c>
      <c r="O38" s="7">
        <f t="shared" si="7"/>
        <v>250</v>
      </c>
      <c r="P38" s="7">
        <f t="shared" si="9"/>
        <v>0</v>
      </c>
      <c r="Q38" s="7">
        <f>IF(AND($O$27&lt;O38,O38&lt;$P$27),(O38-$O$27)/($P$27-$O$27),IF(AND($P$27&lt;=O38,O38&lt;$Q$27),($Q$27-O38)/($Q$27-$P$27), IF(OR(O38&lt;=$O$27,O38&gt;=$Q$27),0,salah)))</f>
        <v>0.5</v>
      </c>
      <c r="R38" s="7">
        <f t="shared" si="8"/>
        <v>0.5</v>
      </c>
      <c r="T38" s="7">
        <v>8</v>
      </c>
      <c r="U38" s="24">
        <v>91</v>
      </c>
      <c r="V38" s="32">
        <f>IF(U38&lt;=$V$29,1,IF(AND($V$29&lt;U38,U38&lt;$W$29),($W$29-U38)/($W$29-$V$29),IF(U38&gt;=$W$29,0)))</f>
        <v>0</v>
      </c>
      <c r="W38" s="32">
        <f>IF(U38&lt;=$V$29,0,IF(AND($V$29&lt;U38,U38&lt;$W$29),(U38-$V$29)/($W$29-$V$29),IF(U38&gt;=$W$29,1)))</f>
        <v>1</v>
      </c>
      <c r="Y38" s="7">
        <v>8</v>
      </c>
      <c r="Z38" s="2">
        <v>0</v>
      </c>
      <c r="AA38" s="7">
        <f t="shared" si="10"/>
        <v>0</v>
      </c>
      <c r="AB38" s="7">
        <f t="shared" si="11"/>
        <v>0</v>
      </c>
      <c r="AD38" s="7">
        <v>8</v>
      </c>
      <c r="AE38" s="2">
        <v>1</v>
      </c>
      <c r="AF38" s="7">
        <f t="shared" si="12"/>
        <v>1</v>
      </c>
      <c r="AG38" s="7">
        <f t="shared" si="13"/>
        <v>1</v>
      </c>
    </row>
    <row r="39" spans="2:33" x14ac:dyDescent="0.3">
      <c r="B39" t="s">
        <v>74</v>
      </c>
      <c r="M39" s="2" t="s">
        <v>30</v>
      </c>
      <c r="N39" s="7">
        <v>10</v>
      </c>
      <c r="O39" s="7">
        <f t="shared" si="7"/>
        <v>256</v>
      </c>
      <c r="P39" s="7">
        <f t="shared" si="9"/>
        <v>0</v>
      </c>
      <c r="Q39" s="7">
        <f>IF(AND($O$27&lt;O39,O39&lt;$P$27),(O39-$O$27)/($P$27-$O$27),IF(AND($P$27&lt;=O39,O39&lt;$Q$27),($Q$27-O39)/($Q$27-$P$27), IF(OR(O39&lt;=$O$27,O39&gt;=$Q$27),0,salah)))</f>
        <v>0.35</v>
      </c>
      <c r="R39" s="7">
        <f t="shared" si="8"/>
        <v>0.65</v>
      </c>
      <c r="T39" s="7">
        <v>9</v>
      </c>
      <c r="U39" s="27">
        <v>106</v>
      </c>
      <c r="V39" s="31">
        <f>IF(U39&lt;=$V$28,1,IF(AND($V$28&lt;U39,U39&lt;$W$28),($W$28-U39)/($W$28-$V$28),IF(U39&gt;=$W$28,0)))</f>
        <v>0</v>
      </c>
      <c r="W39" s="31">
        <f>IF(U39&lt;=$V$28,0,IF(AND($V$28&lt;U39,U39&lt;$W$28),(U39-$V$28)/($W$28-$V$28),IF(U39&gt;=$W$28,1)))</f>
        <v>1</v>
      </c>
      <c r="Y39" s="7">
        <v>9</v>
      </c>
      <c r="Z39" s="2">
        <v>1</v>
      </c>
      <c r="AA39" s="7">
        <f t="shared" si="10"/>
        <v>1</v>
      </c>
      <c r="AB39" s="7">
        <f t="shared" si="11"/>
        <v>1</v>
      </c>
      <c r="AD39" s="7">
        <v>9</v>
      </c>
      <c r="AE39" s="2">
        <v>0</v>
      </c>
      <c r="AF39" s="7">
        <f t="shared" si="12"/>
        <v>0</v>
      </c>
      <c r="AG39" s="7">
        <f t="shared" si="13"/>
        <v>0</v>
      </c>
    </row>
    <row r="40" spans="2:33" x14ac:dyDescent="0.3">
      <c r="B40" t="s">
        <v>57</v>
      </c>
      <c r="C40">
        <f>-((V33+V34+V35+V44+V45)/(V46)*LOG((V33+V34+V35+V44+V45)/(V46),2))-((V31+V36+V40+V41+V42)/(V46)*LOG((V31+V36+V40+V41+V42)/(V46),2))-((V32+V37+V38+V39+V43)/(V46)*LOG((V32+V37+V38+V39+V43)/(V46),2))</f>
        <v>1.0136285771739286</v>
      </c>
      <c r="M40" s="2" t="s">
        <v>30</v>
      </c>
      <c r="N40" s="7">
        <v>11</v>
      </c>
      <c r="O40" s="7">
        <f t="shared" si="7"/>
        <v>209</v>
      </c>
      <c r="P40" s="7">
        <f t="shared" si="9"/>
        <v>0.7</v>
      </c>
      <c r="Q40" s="7">
        <f>IF(AND($O$27&lt;O40,O40&lt;$P$27),(O40-$O$27)/($P$27-$O$27),IF(AND($P$27&lt;=O40,O40&lt;$Q$27),($Q$27-O40)/($Q$27-$P$27), IF(OR(O40&lt;=$O$27,O40&gt;=$Q$27),0,salah)))</f>
        <v>0.3</v>
      </c>
      <c r="R40" s="7">
        <f t="shared" si="8"/>
        <v>0</v>
      </c>
      <c r="T40" s="7">
        <v>10</v>
      </c>
      <c r="U40" s="24">
        <v>78</v>
      </c>
      <c r="V40" s="32">
        <f>IF(U40&lt;=$V$29,1,IF(AND($V$29&lt;U40,U40&lt;$W$29),($W$29-U40)/($W$29-$V$29),IF(U40&gt;=$W$29,0)))</f>
        <v>0.6</v>
      </c>
      <c r="W40" s="32">
        <f>IF(U40&lt;=$V$29,0,IF(AND($V$29&lt;U40,U40&lt;$W$29),(U40-$V$29)/($W$29-$V$29),IF(U40&gt;=$W$29,1)))</f>
        <v>0.4</v>
      </c>
      <c r="Y40" s="7">
        <v>10</v>
      </c>
      <c r="Z40" s="2">
        <v>1</v>
      </c>
      <c r="AA40" s="7">
        <f t="shared" si="10"/>
        <v>1</v>
      </c>
      <c r="AB40" s="7">
        <f t="shared" si="11"/>
        <v>1</v>
      </c>
      <c r="AD40" s="7">
        <v>10</v>
      </c>
      <c r="AE40" s="2">
        <v>0</v>
      </c>
      <c r="AF40" s="7">
        <f t="shared" si="12"/>
        <v>0</v>
      </c>
      <c r="AG40" s="7">
        <f t="shared" si="13"/>
        <v>0</v>
      </c>
    </row>
    <row r="41" spans="2:33" x14ac:dyDescent="0.3">
      <c r="B41" t="s">
        <v>58</v>
      </c>
      <c r="C41">
        <f>-((W33+W34+W35+W44+W45)/(W46)*LOG((W33+W34+W35+W44+W45)/(W46),2))-((W31+W36+W40+W41+W42)/(W46)*LOG((W31+W36+W40+W41+W42)/(W46),2))-((W32+W37+W38+W39+W43)/(W46)*LOG((W32+W37+W38+W39+W43)/(W46),2))</f>
        <v>1.5497947537936687</v>
      </c>
      <c r="M41" s="2" t="s">
        <v>30</v>
      </c>
      <c r="N41" s="7">
        <v>12</v>
      </c>
      <c r="O41" s="7">
        <f t="shared" si="7"/>
        <v>225</v>
      </c>
      <c r="P41" s="7">
        <f t="shared" si="9"/>
        <v>0.16666666666666666</v>
      </c>
      <c r="Q41" s="7">
        <f>IF(AND($O$27&lt;O41,O41&lt;$P$27),(O41-$O$27)/($P$27-$O$27),IF(AND($P$27&lt;=O41,O41&lt;$Q$27),($Q$27-O41)/($Q$27-$P$27), IF(OR(O41&lt;=$O$27,O41&gt;=$Q$27),0,salah)))</f>
        <v>0.83333333333333337</v>
      </c>
      <c r="R41" s="7">
        <f t="shared" si="8"/>
        <v>0</v>
      </c>
      <c r="T41" s="7">
        <v>11</v>
      </c>
      <c r="U41" s="24">
        <v>71</v>
      </c>
      <c r="V41" s="32">
        <f>IF(U41&lt;=$V$29,1,IF(AND($V$29&lt;U41,U41&lt;$W$29),($W$29-U41)/($W$29-$V$29),IF(U41&gt;=$W$29,0)))</f>
        <v>0.95</v>
      </c>
      <c r="W41" s="32">
        <f>IF(U41&lt;=$V$29,0,IF(AND($V$29&lt;U41,U41&lt;$W$29),(U41-$V$29)/($W$29-$V$29),IF(U41&gt;=$W$29,1)))</f>
        <v>0.05</v>
      </c>
      <c r="Y41" s="7">
        <v>11</v>
      </c>
      <c r="Z41" s="2">
        <v>0</v>
      </c>
      <c r="AA41" s="7">
        <f t="shared" si="10"/>
        <v>0</v>
      </c>
      <c r="AB41" s="7">
        <f t="shared" si="11"/>
        <v>0</v>
      </c>
      <c r="AD41" s="7">
        <v>11</v>
      </c>
      <c r="AE41" s="2">
        <v>1</v>
      </c>
      <c r="AF41" s="7">
        <f t="shared" si="12"/>
        <v>1</v>
      </c>
      <c r="AG41" s="7">
        <f t="shared" si="13"/>
        <v>1</v>
      </c>
    </row>
    <row r="42" spans="2:33" x14ac:dyDescent="0.3">
      <c r="M42" s="2" t="s">
        <v>35</v>
      </c>
      <c r="N42" s="7">
        <v>13</v>
      </c>
      <c r="O42" s="7">
        <f t="shared" si="7"/>
        <v>295</v>
      </c>
      <c r="P42" s="7">
        <f t="shared" si="9"/>
        <v>0</v>
      </c>
      <c r="Q42" s="7">
        <f>IF(AND($O$27&lt;O42,O42&lt;$P$27),(O42-$O$27)/($P$27-$O$27),IF(AND($P$27&lt;=O42,O42&lt;$Q$27),($Q$27-O42)/($Q$27-$P$27), IF(OR(O42&lt;=$O$27,O42&gt;=$Q$27),0,salah)))</f>
        <v>0</v>
      </c>
      <c r="R42" s="7">
        <f t="shared" si="8"/>
        <v>1</v>
      </c>
      <c r="T42" s="7">
        <v>12</v>
      </c>
      <c r="U42" s="27">
        <v>101</v>
      </c>
      <c r="V42" s="31">
        <f>IF(U42&lt;=$V$28,1,IF(AND($V$28&lt;U42,U42&lt;$W$28),($W$28-U42)/($W$28-$V$28),IF(U42&gt;=$W$28,0)))</f>
        <v>0</v>
      </c>
      <c r="W42" s="31">
        <f>IF(U42&lt;=$V$28,0,IF(AND($V$28&lt;U42,U42&lt;$W$28),(U42-$V$28)/($W$28-$V$28),IF(U42&gt;=$W$28,1)))</f>
        <v>1</v>
      </c>
      <c r="Y42" s="7">
        <v>12</v>
      </c>
      <c r="Z42" s="2">
        <v>0</v>
      </c>
      <c r="AA42" s="7">
        <f t="shared" si="10"/>
        <v>0</v>
      </c>
      <c r="AB42" s="7">
        <f t="shared" si="11"/>
        <v>0</v>
      </c>
      <c r="AD42" s="7">
        <v>12</v>
      </c>
      <c r="AE42" s="2">
        <v>0</v>
      </c>
      <c r="AF42" s="7">
        <f t="shared" si="12"/>
        <v>0</v>
      </c>
      <c r="AG42" s="7">
        <f t="shared" si="13"/>
        <v>0</v>
      </c>
    </row>
    <row r="43" spans="2:33" x14ac:dyDescent="0.3">
      <c r="M43" s="2" t="s">
        <v>36</v>
      </c>
      <c r="N43" s="7">
        <v>14</v>
      </c>
      <c r="O43" s="7">
        <f t="shared" si="7"/>
        <v>172</v>
      </c>
      <c r="P43" s="7">
        <f t="shared" si="9"/>
        <v>1</v>
      </c>
      <c r="Q43" s="7">
        <f>IF(AND($O$27&lt;O43,O43&lt;$P$27),(O43-$O$27)/($P$27-$O$27),IF(AND($P$27&lt;=O43,O43&lt;$Q$27),($Q$27-O43)/($Q$27-$P$27), IF(OR(O43&lt;=$O$27,O43&gt;=$Q$27),0,salah)))</f>
        <v>0</v>
      </c>
      <c r="R43" s="7">
        <f t="shared" si="8"/>
        <v>0</v>
      </c>
      <c r="T43" s="7">
        <v>13</v>
      </c>
      <c r="U43" s="27">
        <v>88</v>
      </c>
      <c r="V43" s="31">
        <f>IF(U43&lt;=$V$28,1,IF(AND($V$28&lt;U43,U43&lt;$W$28),($W$28-U43)/($W$28-$V$28),IF(U43&gt;=$W$28,0)))</f>
        <v>0</v>
      </c>
      <c r="W43" s="31">
        <f>IF(U43&lt;=$V$28,0,IF(AND($V$28&lt;U43,U43&lt;$W$28),(U43-$V$28)/($W$28-$V$28),IF(U43&gt;=$W$28,1)))</f>
        <v>1</v>
      </c>
      <c r="Y43" s="7">
        <v>13</v>
      </c>
      <c r="Z43" s="2">
        <v>1</v>
      </c>
      <c r="AA43" s="7">
        <f t="shared" si="10"/>
        <v>1</v>
      </c>
      <c r="AB43" s="7">
        <f t="shared" si="11"/>
        <v>1</v>
      </c>
      <c r="AD43" s="7">
        <v>13</v>
      </c>
      <c r="AE43" s="2">
        <v>1</v>
      </c>
      <c r="AF43" s="7">
        <f t="shared" si="12"/>
        <v>1</v>
      </c>
      <c r="AG43" s="7">
        <f t="shared" si="13"/>
        <v>1</v>
      </c>
    </row>
    <row r="44" spans="2:33" x14ac:dyDescent="0.3">
      <c r="M44" s="2" t="s">
        <v>36</v>
      </c>
      <c r="N44" s="7">
        <v>15</v>
      </c>
      <c r="O44" s="7">
        <f t="shared" si="7"/>
        <v>222</v>
      </c>
      <c r="P44" s="7">
        <f t="shared" si="9"/>
        <v>0.26666666666666666</v>
      </c>
      <c r="Q44" s="7">
        <f>IF(AND($O$27&lt;O44,O44&lt;$P$27),(O44-$O$27)/($P$27-$O$27),IF(AND($P$27&lt;=O44,O44&lt;$Q$27),($Q$27-O44)/($Q$27-$P$27), IF(OR(O44&lt;=$O$27,O44&gt;=$Q$27),0,salah)))</f>
        <v>0.73333333333333328</v>
      </c>
      <c r="R44" s="7">
        <f t="shared" si="8"/>
        <v>0</v>
      </c>
      <c r="T44" s="7">
        <v>14</v>
      </c>
      <c r="U44" s="24">
        <v>79</v>
      </c>
      <c r="V44" s="32">
        <f>IF(U44&lt;=$V$29,1,IF(AND($V$29&lt;U44,U44&lt;$W$29),($W$29-U44)/($W$29-$V$29),IF(U44&gt;=$W$29,0)))</f>
        <v>0.55000000000000004</v>
      </c>
      <c r="W44" s="32">
        <f>IF(U44&lt;=$V$29,0,IF(AND($V$29&lt;U44,U44&lt;$W$29),(U44-$V$29)/($W$29-$V$29),IF(U44&gt;=$W$29,1)))</f>
        <v>0.45</v>
      </c>
      <c r="Y44" s="7">
        <v>14</v>
      </c>
      <c r="Z44" s="2">
        <v>1</v>
      </c>
      <c r="AA44" s="7">
        <f t="shared" si="10"/>
        <v>1</v>
      </c>
      <c r="AB44" s="7">
        <f t="shared" si="11"/>
        <v>1</v>
      </c>
      <c r="AD44" s="7">
        <v>14</v>
      </c>
      <c r="AE44" s="2">
        <v>1</v>
      </c>
      <c r="AF44" s="7">
        <f t="shared" si="12"/>
        <v>1</v>
      </c>
      <c r="AG44" s="7">
        <f t="shared" si="13"/>
        <v>1</v>
      </c>
    </row>
    <row r="45" spans="2:33" x14ac:dyDescent="0.3">
      <c r="O45" s="7" t="s">
        <v>64</v>
      </c>
      <c r="P45" s="37">
        <f>SUM(P30:P44)</f>
        <v>6.8333333333333339</v>
      </c>
      <c r="Q45" s="37">
        <f>SUM(Q30:Q44)</f>
        <v>4.0166666666666666</v>
      </c>
      <c r="R45" s="39">
        <f>SUM(R30:R44)</f>
        <v>4.1500000000000004</v>
      </c>
      <c r="T45" s="22">
        <v>15</v>
      </c>
      <c r="U45" s="28">
        <v>70</v>
      </c>
      <c r="V45" s="33">
        <f>IF(U45&lt;=$V$28,1,IF(AND($V$28&lt;U45,U45&lt;$W$28),($W$28-U45)/($W$28-$V$28),IF(U45&gt;=$W$28,0)))</f>
        <v>0.5</v>
      </c>
      <c r="W45" s="33">
        <f>IF(U45&lt;=$V$28,0,IF(AND($V$28&lt;U45,U45&lt;$W$28),(U45-$V$28)/($W$28-$V$28),IF(U45&gt;=$W$28,1)))</f>
        <v>0.5</v>
      </c>
      <c r="Y45" s="22">
        <v>15</v>
      </c>
      <c r="Z45" s="19">
        <v>1</v>
      </c>
      <c r="AA45" s="22">
        <f t="shared" si="10"/>
        <v>1</v>
      </c>
      <c r="AB45" s="22">
        <f t="shared" si="11"/>
        <v>1</v>
      </c>
      <c r="AD45" s="22">
        <v>15</v>
      </c>
      <c r="AE45" s="19">
        <v>1</v>
      </c>
      <c r="AF45" s="22">
        <f t="shared" si="12"/>
        <v>1</v>
      </c>
      <c r="AG45" s="22">
        <f t="shared" si="13"/>
        <v>1</v>
      </c>
    </row>
    <row r="46" spans="2:33" x14ac:dyDescent="0.3">
      <c r="T46" s="16"/>
      <c r="U46" s="2" t="s">
        <v>64</v>
      </c>
      <c r="V46" s="7">
        <f>SUM(V31:V45)</f>
        <v>3.25</v>
      </c>
      <c r="W46" s="7">
        <f>SUM(W31:W45)</f>
        <v>11.750000000000002</v>
      </c>
      <c r="Y46" s="16"/>
      <c r="Z46" s="23"/>
      <c r="AA46" s="16"/>
      <c r="AB46" s="16"/>
      <c r="AD46" s="16"/>
      <c r="AE46" s="23"/>
      <c r="AF46" s="16"/>
      <c r="AG46" s="16"/>
    </row>
    <row r="47" spans="2:33" x14ac:dyDescent="0.3">
      <c r="T47" s="9"/>
      <c r="U47" s="20"/>
      <c r="V47" s="9"/>
      <c r="W47" s="9"/>
      <c r="Y47" s="9"/>
      <c r="Z47" s="20"/>
      <c r="AA47" s="9"/>
      <c r="AB47" s="9"/>
      <c r="AD47" s="9"/>
      <c r="AE47" s="20"/>
      <c r="AF47" s="9"/>
      <c r="AG47" s="9"/>
    </row>
    <row r="48" spans="2:33" x14ac:dyDescent="0.3">
      <c r="T48" s="9"/>
      <c r="U48" s="20"/>
      <c r="V48" s="9"/>
      <c r="W48" s="9"/>
      <c r="Y48" s="9"/>
      <c r="Z48" s="20"/>
      <c r="AA48" s="9"/>
      <c r="AB48" s="9"/>
      <c r="AD48" s="9"/>
      <c r="AE48" s="20"/>
      <c r="AF48" s="9"/>
      <c r="AG48" s="9"/>
    </row>
    <row r="49" spans="1:35" x14ac:dyDescent="0.3">
      <c r="T49" s="9"/>
      <c r="U49" s="20"/>
      <c r="V49" s="9"/>
      <c r="W49" s="9"/>
      <c r="Y49" s="9"/>
      <c r="Z49" s="20"/>
      <c r="AA49" s="9"/>
      <c r="AB49" s="9"/>
      <c r="AD49" s="9"/>
      <c r="AE49" s="20"/>
      <c r="AF49" s="9"/>
      <c r="AG49" s="9"/>
    </row>
    <row r="50" spans="1:35" x14ac:dyDescent="0.3">
      <c r="T50" s="9"/>
      <c r="U50" s="20"/>
      <c r="V50" s="9"/>
      <c r="W50" s="9"/>
      <c r="Y50" s="9"/>
      <c r="Z50" s="20"/>
      <c r="AA50" s="9"/>
      <c r="AB50" s="9"/>
      <c r="AD50" s="9"/>
      <c r="AE50" s="20"/>
      <c r="AF50" s="9"/>
      <c r="AG50" s="9"/>
    </row>
    <row r="51" spans="1:35" x14ac:dyDescent="0.3">
      <c r="B51" t="s">
        <v>80</v>
      </c>
      <c r="G51" t="s">
        <v>86</v>
      </c>
      <c r="J51" t="s">
        <v>87</v>
      </c>
    </row>
    <row r="52" spans="1:35" x14ac:dyDescent="0.3">
      <c r="M52" t="s">
        <v>131</v>
      </c>
    </row>
    <row r="53" spans="1:35" x14ac:dyDescent="0.3">
      <c r="T53" s="9"/>
      <c r="U53" s="9" t="s">
        <v>10</v>
      </c>
      <c r="V53" s="9" t="s">
        <v>44</v>
      </c>
      <c r="W53" s="9" t="s">
        <v>47</v>
      </c>
      <c r="Z53" s="20" t="s">
        <v>27</v>
      </c>
      <c r="AA53">
        <v>1</v>
      </c>
      <c r="AB53">
        <v>0</v>
      </c>
      <c r="AF53" s="2" t="s">
        <v>34</v>
      </c>
      <c r="AG53" s="2" t="s">
        <v>29</v>
      </c>
      <c r="AH53" s="2" t="s">
        <v>38</v>
      </c>
    </row>
    <row r="54" spans="1:35" x14ac:dyDescent="0.3">
      <c r="A54" s="48" t="s">
        <v>77</v>
      </c>
      <c r="B54" s="40" t="s">
        <v>78</v>
      </c>
      <c r="C54" s="40" t="s">
        <v>79</v>
      </c>
      <c r="E54" s="40" t="s">
        <v>77</v>
      </c>
      <c r="F54" s="40" t="s">
        <v>78</v>
      </c>
      <c r="G54" s="40" t="s">
        <v>79</v>
      </c>
      <c r="I54" s="40" t="s">
        <v>77</v>
      </c>
      <c r="J54" s="40" t="s">
        <v>78</v>
      </c>
      <c r="K54" s="40" t="s">
        <v>79</v>
      </c>
      <c r="M54" s="46" t="s">
        <v>98</v>
      </c>
      <c r="N54" s="47"/>
      <c r="T54" s="9"/>
      <c r="U54" s="9"/>
      <c r="V54" s="9">
        <v>18.5</v>
      </c>
      <c r="W54" s="9">
        <v>25</v>
      </c>
      <c r="Z54" s="20" t="s">
        <v>32</v>
      </c>
      <c r="AA54">
        <v>0</v>
      </c>
      <c r="AB54">
        <v>1</v>
      </c>
      <c r="AE54" t="s">
        <v>75</v>
      </c>
    </row>
    <row r="55" spans="1:35" x14ac:dyDescent="0.3">
      <c r="A55" s="40">
        <v>1</v>
      </c>
      <c r="B55" s="40">
        <v>0.5</v>
      </c>
      <c r="C55" s="40">
        <v>2</v>
      </c>
      <c r="E55" s="40">
        <v>1</v>
      </c>
      <c r="F55" s="40">
        <v>0.5</v>
      </c>
      <c r="G55" s="45">
        <v>2</v>
      </c>
      <c r="I55" s="7">
        <v>2</v>
      </c>
      <c r="J55" s="7">
        <v>1</v>
      </c>
      <c r="K55" s="37">
        <v>3</v>
      </c>
      <c r="M55" t="s">
        <v>81</v>
      </c>
      <c r="O55" t="s">
        <v>85</v>
      </c>
      <c r="S55" s="7" t="s">
        <v>66</v>
      </c>
      <c r="T55" s="7" t="s">
        <v>46</v>
      </c>
      <c r="U55" s="7" t="s">
        <v>10</v>
      </c>
      <c r="V55" s="7" t="s">
        <v>44</v>
      </c>
      <c r="W55" s="7" t="s">
        <v>47</v>
      </c>
      <c r="Y55" s="7" t="s">
        <v>46</v>
      </c>
      <c r="Z55" s="7" t="s">
        <v>13</v>
      </c>
      <c r="AA55" s="2" t="s">
        <v>27</v>
      </c>
      <c r="AB55" s="2" t="s">
        <v>32</v>
      </c>
      <c r="AD55" s="7" t="s">
        <v>46</v>
      </c>
      <c r="AE55" s="7" t="s">
        <v>66</v>
      </c>
      <c r="AF55" s="2" t="s">
        <v>75</v>
      </c>
      <c r="AG55" s="2" t="s">
        <v>34</v>
      </c>
      <c r="AH55" s="2" t="s">
        <v>29</v>
      </c>
      <c r="AI55" s="2" t="s">
        <v>38</v>
      </c>
    </row>
    <row r="56" spans="1:35" x14ac:dyDescent="0.3">
      <c r="A56" s="40">
        <v>3</v>
      </c>
      <c r="B56" s="40">
        <v>0.7</v>
      </c>
      <c r="C56" s="40">
        <v>1</v>
      </c>
      <c r="E56" s="40">
        <v>3</v>
      </c>
      <c r="F56" s="40">
        <v>0.3</v>
      </c>
      <c r="G56" s="45">
        <v>1</v>
      </c>
      <c r="I56" s="7">
        <v>8</v>
      </c>
      <c r="J56" s="7">
        <v>1</v>
      </c>
      <c r="K56" s="37">
        <v>3</v>
      </c>
      <c r="M56" t="s">
        <v>82</v>
      </c>
      <c r="N56">
        <f>SUM(B56,B57,B58,B63,B64)</f>
        <v>3.8666666666666667</v>
      </c>
      <c r="O56">
        <f>((N56)/(N56+N57+N58))*(100)</f>
        <v>56.585365853658544</v>
      </c>
      <c r="S56" s="2" t="s">
        <v>30</v>
      </c>
      <c r="T56" s="7">
        <v>1</v>
      </c>
      <c r="U56" s="4">
        <f>H4/(G4*G4)</f>
        <v>23.598931085099178</v>
      </c>
      <c r="V56" s="7">
        <f>IF(U56&lt;=$V$54,1,IF(AND($V$54&lt;U56,U56&lt;$W$54),($W$54-U56)/($W$54-$V$54),IF(U56&gt;=$W$54,0)))</f>
        <v>0.21554906383089573</v>
      </c>
      <c r="W56" s="7">
        <f>IF(U56&lt;=$V$54,0,IF(AND($V$54&lt;U56,U56&lt;$W$54),(U56-$V$54)/($W$54-$V$54),IF(U56&gt;=$W$54,1)))</f>
        <v>0.78445093616910433</v>
      </c>
      <c r="Y56" s="7">
        <v>1</v>
      </c>
      <c r="Z56" s="2">
        <v>1</v>
      </c>
      <c r="AA56" s="7">
        <f>($AB$53-Z56)/($AB$53-$AA$53)</f>
        <v>1</v>
      </c>
      <c r="AB56" s="7">
        <f>(Z56-$AA$54)/($AB$54-$AA$54)</f>
        <v>1</v>
      </c>
      <c r="AD56" s="7">
        <v>1</v>
      </c>
      <c r="AE56" s="2" t="s">
        <v>30</v>
      </c>
      <c r="AF56" s="2" t="s">
        <v>29</v>
      </c>
      <c r="AG56" s="7"/>
      <c r="AH56" s="7"/>
      <c r="AI56" s="7"/>
    </row>
    <row r="57" spans="1:35" x14ac:dyDescent="0.3">
      <c r="A57" s="40">
        <v>4</v>
      </c>
      <c r="B57" s="40">
        <v>0.9</v>
      </c>
      <c r="C57" s="40">
        <v>1</v>
      </c>
      <c r="E57" s="40">
        <v>4</v>
      </c>
      <c r="F57" s="40">
        <v>0.1</v>
      </c>
      <c r="G57" s="45">
        <v>1</v>
      </c>
      <c r="I57" s="7">
        <v>9</v>
      </c>
      <c r="J57" s="7">
        <v>0.5</v>
      </c>
      <c r="K57" s="37">
        <v>3</v>
      </c>
      <c r="M57" t="s">
        <v>83</v>
      </c>
      <c r="N57">
        <f>SUM(B55,B59,B61,B62)</f>
        <v>2.1999999999999997</v>
      </c>
      <c r="O57">
        <f>((N57)/(N56+N57+N58))*(100)</f>
        <v>32.195121951219505</v>
      </c>
      <c r="S57" s="2" t="s">
        <v>35</v>
      </c>
      <c r="T57" s="7">
        <v>2</v>
      </c>
      <c r="U57" s="4">
        <f t="shared" ref="U57:U70" si="14">H5/(G5*G5)</f>
        <v>27.174526704053598</v>
      </c>
      <c r="V57" s="7">
        <f t="shared" ref="V57:V70" si="15">IF(U57&lt;=$V$54,1,IF(AND($V$54&lt;U57,U57&lt;$W$54),($W$54-U57)/($W$54-$V$54),IF(U57&gt;=$W$54,0)))</f>
        <v>0</v>
      </c>
      <c r="W57" s="7">
        <f t="shared" ref="W57:W70" si="16">IF(U57&lt;=$V$54,0,IF(AND($V$54&lt;U57,U57&lt;$W$54),(U57-$V$54)/($W$54-$V$54),IF(U57&gt;=$W$54,1)))</f>
        <v>1</v>
      </c>
      <c r="Y57" s="7">
        <v>2</v>
      </c>
      <c r="Z57" s="2">
        <v>0</v>
      </c>
      <c r="AA57" s="7">
        <f t="shared" ref="AA57:AA70" si="17">($AB$53-Z57)/($AB$53-$AA$53)</f>
        <v>0</v>
      </c>
      <c r="AB57" s="7">
        <f t="shared" ref="AB57:AB70" si="18">(Z57-$AA$54)/($AB$54-$AA$54)</f>
        <v>0</v>
      </c>
      <c r="AD57" s="7">
        <v>2</v>
      </c>
      <c r="AE57" s="2" t="s">
        <v>35</v>
      </c>
      <c r="AF57" s="2" t="s">
        <v>34</v>
      </c>
      <c r="AG57" s="7"/>
      <c r="AH57" s="7"/>
      <c r="AI57" s="7"/>
    </row>
    <row r="58" spans="1:35" x14ac:dyDescent="0.3">
      <c r="A58" s="45">
        <v>5</v>
      </c>
      <c r="B58" s="40">
        <v>1</v>
      </c>
      <c r="C58" s="40">
        <v>1</v>
      </c>
      <c r="E58" s="40">
        <v>6</v>
      </c>
      <c r="F58" s="40">
        <v>0.16666666666666666</v>
      </c>
      <c r="G58" s="45">
        <v>2</v>
      </c>
      <c r="I58" s="7">
        <v>10</v>
      </c>
      <c r="J58" s="7">
        <v>0.65</v>
      </c>
      <c r="K58" s="37">
        <v>2</v>
      </c>
      <c r="M58" t="s">
        <v>84</v>
      </c>
      <c r="N58">
        <f>SUM(B60)</f>
        <v>0.76666666666666672</v>
      </c>
      <c r="O58">
        <f>((N58)/(N56+N57+N58))*(100)</f>
        <v>11.219512195121952</v>
      </c>
      <c r="S58" s="2" t="s">
        <v>36</v>
      </c>
      <c r="T58" s="7">
        <v>3</v>
      </c>
      <c r="U58" s="4">
        <f t="shared" si="14"/>
        <v>26.840928029472394</v>
      </c>
      <c r="V58" s="7">
        <f t="shared" si="15"/>
        <v>0</v>
      </c>
      <c r="W58" s="7">
        <f t="shared" si="16"/>
        <v>1</v>
      </c>
      <c r="Y58" s="7">
        <v>3</v>
      </c>
      <c r="Z58" s="2">
        <v>1</v>
      </c>
      <c r="AA58" s="7">
        <f t="shared" si="17"/>
        <v>1</v>
      </c>
      <c r="AB58" s="7">
        <f t="shared" si="18"/>
        <v>1</v>
      </c>
      <c r="AD58" s="7">
        <v>3</v>
      </c>
      <c r="AE58" s="2" t="s">
        <v>36</v>
      </c>
      <c r="AF58" s="2" t="s">
        <v>34</v>
      </c>
      <c r="AG58" s="7"/>
      <c r="AH58" s="7"/>
      <c r="AI58" s="7"/>
    </row>
    <row r="59" spans="1:35" x14ac:dyDescent="0.3">
      <c r="A59" s="45">
        <v>6</v>
      </c>
      <c r="B59" s="40">
        <v>0.83333333333333337</v>
      </c>
      <c r="C59" s="40">
        <v>2</v>
      </c>
      <c r="E59" s="40">
        <v>7</v>
      </c>
      <c r="F59" s="40">
        <v>0.23333333333333334</v>
      </c>
      <c r="G59" s="45">
        <v>3</v>
      </c>
      <c r="I59" s="7">
        <v>13</v>
      </c>
      <c r="J59" s="7">
        <v>1</v>
      </c>
      <c r="K59" s="37">
        <v>3</v>
      </c>
      <c r="S59" s="2" t="s">
        <v>36</v>
      </c>
      <c r="T59" s="7">
        <v>4</v>
      </c>
      <c r="U59" s="4">
        <f t="shared" si="14"/>
        <v>32.456398197138938</v>
      </c>
      <c r="V59" s="7">
        <f t="shared" si="15"/>
        <v>0</v>
      </c>
      <c r="W59" s="7">
        <f t="shared" si="16"/>
        <v>1</v>
      </c>
      <c r="Y59" s="7">
        <v>4</v>
      </c>
      <c r="Z59" s="2">
        <v>0</v>
      </c>
      <c r="AA59" s="7">
        <f t="shared" si="17"/>
        <v>0</v>
      </c>
      <c r="AB59" s="7">
        <f t="shared" si="18"/>
        <v>0</v>
      </c>
      <c r="AD59" s="7">
        <v>4</v>
      </c>
      <c r="AE59" s="2" t="s">
        <v>36</v>
      </c>
      <c r="AF59" s="2" t="s">
        <v>34</v>
      </c>
      <c r="AG59" s="7"/>
      <c r="AH59" s="7"/>
      <c r="AI59" s="7"/>
    </row>
    <row r="60" spans="1:35" x14ac:dyDescent="0.3">
      <c r="A60" s="45">
        <v>7</v>
      </c>
      <c r="B60" s="40">
        <v>0.76666666666666672</v>
      </c>
      <c r="C60" s="40">
        <v>3</v>
      </c>
      <c r="E60" s="40">
        <v>9</v>
      </c>
      <c r="F60" s="40">
        <v>0.5</v>
      </c>
      <c r="G60" s="45">
        <v>3</v>
      </c>
      <c r="M60" t="s">
        <v>99</v>
      </c>
      <c r="S60" s="2" t="s">
        <v>36</v>
      </c>
      <c r="T60" s="7">
        <v>5</v>
      </c>
      <c r="U60" s="4">
        <f t="shared" si="14"/>
        <v>23.59729780446613</v>
      </c>
      <c r="V60" s="7">
        <f t="shared" si="15"/>
        <v>0.21580033777444149</v>
      </c>
      <c r="W60" s="7">
        <f t="shared" si="16"/>
        <v>0.78419966222555848</v>
      </c>
      <c r="Y60" s="7">
        <v>5</v>
      </c>
      <c r="Z60" s="2">
        <v>1</v>
      </c>
      <c r="AA60" s="7">
        <f t="shared" si="17"/>
        <v>1</v>
      </c>
      <c r="AB60" s="7">
        <f t="shared" si="18"/>
        <v>1</v>
      </c>
      <c r="AD60" s="7">
        <v>5</v>
      </c>
      <c r="AE60" s="2" t="s">
        <v>36</v>
      </c>
      <c r="AF60" s="2" t="s">
        <v>34</v>
      </c>
      <c r="AG60" s="7"/>
      <c r="AH60" s="7"/>
      <c r="AI60" s="7"/>
    </row>
    <row r="61" spans="1:35" x14ac:dyDescent="0.3">
      <c r="A61" s="45">
        <v>11</v>
      </c>
      <c r="B61" s="40">
        <v>0.7</v>
      </c>
      <c r="C61" s="40">
        <v>2</v>
      </c>
      <c r="E61" s="40">
        <v>10</v>
      </c>
      <c r="F61" s="40">
        <v>0.35</v>
      </c>
      <c r="G61" s="45">
        <v>2</v>
      </c>
      <c r="M61" t="s">
        <v>81</v>
      </c>
      <c r="O61" t="s">
        <v>85</v>
      </c>
      <c r="S61" s="2" t="s">
        <v>30</v>
      </c>
      <c r="T61" s="7">
        <v>6</v>
      </c>
      <c r="U61" s="4">
        <f t="shared" si="14"/>
        <v>31.301350186727948</v>
      </c>
      <c r="V61" s="7">
        <f t="shared" si="15"/>
        <v>0</v>
      </c>
      <c r="W61" s="7">
        <f t="shared" si="16"/>
        <v>1</v>
      </c>
      <c r="Y61" s="7">
        <v>6</v>
      </c>
      <c r="Z61" s="2">
        <v>0</v>
      </c>
      <c r="AA61" s="7">
        <f t="shared" si="17"/>
        <v>0</v>
      </c>
      <c r="AB61" s="7">
        <f t="shared" si="18"/>
        <v>0</v>
      </c>
      <c r="AD61" s="7">
        <v>6</v>
      </c>
      <c r="AE61" s="2" t="s">
        <v>30</v>
      </c>
      <c r="AF61" s="2" t="s">
        <v>29</v>
      </c>
      <c r="AG61" s="7"/>
      <c r="AH61" s="7"/>
      <c r="AI61" s="7"/>
    </row>
    <row r="62" spans="1:35" x14ac:dyDescent="0.3">
      <c r="A62" s="45">
        <v>12</v>
      </c>
      <c r="B62" s="40">
        <v>0.16666666666666666</v>
      </c>
      <c r="C62" s="40">
        <v>2</v>
      </c>
      <c r="E62" s="40">
        <v>11</v>
      </c>
      <c r="F62" s="40">
        <v>0.3</v>
      </c>
      <c r="G62" s="45">
        <v>2</v>
      </c>
      <c r="M62" t="s">
        <v>82</v>
      </c>
      <c r="N62">
        <f>SUM(F56,F57,F64)</f>
        <v>1.1333333333333333</v>
      </c>
      <c r="O62">
        <f>((N62)/($N$62+$N$63+$N$64))*(100)</f>
        <v>28.215767634854771</v>
      </c>
      <c r="S62" s="2" t="s">
        <v>35</v>
      </c>
      <c r="T62" s="7">
        <v>7</v>
      </c>
      <c r="U62" s="4">
        <f t="shared" si="14"/>
        <v>26.134122287968442</v>
      </c>
      <c r="V62" s="7">
        <f t="shared" si="15"/>
        <v>0</v>
      </c>
      <c r="W62" s="7">
        <f t="shared" si="16"/>
        <v>1</v>
      </c>
      <c r="Y62" s="7">
        <v>7</v>
      </c>
      <c r="Z62" s="2">
        <v>1</v>
      </c>
      <c r="AA62" s="7">
        <f t="shared" si="17"/>
        <v>1</v>
      </c>
      <c r="AB62" s="7">
        <f t="shared" si="18"/>
        <v>1</v>
      </c>
      <c r="AD62" s="7">
        <v>7</v>
      </c>
      <c r="AE62" s="2" t="s">
        <v>35</v>
      </c>
      <c r="AF62" s="2" t="s">
        <v>38</v>
      </c>
      <c r="AG62" s="7"/>
      <c r="AH62" s="7"/>
      <c r="AI62" s="7"/>
    </row>
    <row r="63" spans="1:35" x14ac:dyDescent="0.3">
      <c r="A63" s="45">
        <v>14</v>
      </c>
      <c r="B63" s="40">
        <v>1</v>
      </c>
      <c r="C63" s="40">
        <v>1</v>
      </c>
      <c r="E63" s="40">
        <v>12</v>
      </c>
      <c r="F63" s="40">
        <v>0.83333333333333337</v>
      </c>
      <c r="G63" s="45">
        <v>2</v>
      </c>
      <c r="M63" t="s">
        <v>83</v>
      </c>
      <c r="N63">
        <f>SUM(F58,F55,F61,F62,F63)</f>
        <v>2.15</v>
      </c>
      <c r="O63">
        <f>((N63)/($N$62+$N$63+$N$64))*(100)</f>
        <v>53.526970954356848</v>
      </c>
      <c r="S63" s="2" t="s">
        <v>35</v>
      </c>
      <c r="T63" s="7">
        <v>8</v>
      </c>
      <c r="U63" s="4">
        <f t="shared" si="14"/>
        <v>26.406182183159721</v>
      </c>
      <c r="V63" s="7">
        <f t="shared" si="15"/>
        <v>0</v>
      </c>
      <c r="W63" s="7">
        <f t="shared" si="16"/>
        <v>1</v>
      </c>
      <c r="Y63" s="7">
        <v>8</v>
      </c>
      <c r="Z63" s="2">
        <v>1</v>
      </c>
      <c r="AA63" s="7">
        <f t="shared" si="17"/>
        <v>1</v>
      </c>
      <c r="AB63" s="7">
        <f t="shared" si="18"/>
        <v>1</v>
      </c>
      <c r="AD63" s="7">
        <v>8</v>
      </c>
      <c r="AE63" s="2" t="s">
        <v>35</v>
      </c>
      <c r="AF63" s="2" t="s">
        <v>38</v>
      </c>
      <c r="AG63" s="7"/>
      <c r="AH63" s="7"/>
      <c r="AI63" s="7"/>
    </row>
    <row r="64" spans="1:35" x14ac:dyDescent="0.3">
      <c r="A64" s="45">
        <v>15</v>
      </c>
      <c r="B64" s="40">
        <v>0.26666666666666666</v>
      </c>
      <c r="C64" s="40">
        <v>1</v>
      </c>
      <c r="E64" s="40">
        <v>15</v>
      </c>
      <c r="F64" s="40">
        <v>0.73333333333333328</v>
      </c>
      <c r="G64" s="45">
        <v>1</v>
      </c>
      <c r="M64" t="s">
        <v>84</v>
      </c>
      <c r="N64">
        <f>SUM(F59,F60)</f>
        <v>0.73333333333333339</v>
      </c>
      <c r="O64">
        <f>((N64)/($N$62+$N$63+$N$64))*(100)</f>
        <v>18.257261410788384</v>
      </c>
      <c r="S64" s="2" t="s">
        <v>35</v>
      </c>
      <c r="T64" s="7">
        <v>9</v>
      </c>
      <c r="U64" s="4">
        <f t="shared" si="14"/>
        <v>36.892361111111114</v>
      </c>
      <c r="V64" s="7">
        <f t="shared" si="15"/>
        <v>0</v>
      </c>
      <c r="W64" s="7">
        <f t="shared" si="16"/>
        <v>1</v>
      </c>
      <c r="Y64" s="7">
        <v>9</v>
      </c>
      <c r="Z64" s="2">
        <v>0</v>
      </c>
      <c r="AA64" s="7">
        <f t="shared" si="17"/>
        <v>0</v>
      </c>
      <c r="AB64" s="7">
        <f t="shared" si="18"/>
        <v>0</v>
      </c>
      <c r="AD64" s="7">
        <v>9</v>
      </c>
      <c r="AE64" s="2" t="s">
        <v>35</v>
      </c>
      <c r="AF64" s="2" t="s">
        <v>34</v>
      </c>
      <c r="AG64" s="7"/>
      <c r="AH64" s="7"/>
      <c r="AI64" s="7"/>
    </row>
    <row r="65" spans="2:35" x14ac:dyDescent="0.3">
      <c r="S65" s="2" t="s">
        <v>30</v>
      </c>
      <c r="T65" s="7">
        <v>10</v>
      </c>
      <c r="U65" s="4">
        <f t="shared" si="14"/>
        <v>20.894901144640997</v>
      </c>
      <c r="V65" s="7">
        <f t="shared" si="15"/>
        <v>0.63155367005523122</v>
      </c>
      <c r="W65" s="7">
        <f t="shared" si="16"/>
        <v>0.36844632994476878</v>
      </c>
      <c r="Y65" s="7">
        <v>10</v>
      </c>
      <c r="Z65" s="2">
        <v>1</v>
      </c>
      <c r="AA65" s="7">
        <f t="shared" si="17"/>
        <v>1</v>
      </c>
      <c r="AB65" s="7">
        <f t="shared" si="18"/>
        <v>1</v>
      </c>
      <c r="AD65" s="7">
        <v>10</v>
      </c>
      <c r="AE65" s="2" t="s">
        <v>30</v>
      </c>
      <c r="AF65" s="2" t="s">
        <v>29</v>
      </c>
      <c r="AG65" s="7"/>
      <c r="AH65" s="7"/>
      <c r="AI65" s="7"/>
    </row>
    <row r="66" spans="2:35" x14ac:dyDescent="0.3">
      <c r="E66" t="s">
        <v>88</v>
      </c>
      <c r="M66" t="s">
        <v>100</v>
      </c>
      <c r="S66" s="2" t="s">
        <v>30</v>
      </c>
      <c r="T66" s="7">
        <v>11</v>
      </c>
      <c r="U66" s="4">
        <f t="shared" si="14"/>
        <v>19.438507030643446</v>
      </c>
      <c r="V66" s="7">
        <f t="shared" si="15"/>
        <v>0.85561430297793128</v>
      </c>
      <c r="W66" s="7">
        <f t="shared" si="16"/>
        <v>0.14438569702206869</v>
      </c>
      <c r="Y66" s="7">
        <v>11</v>
      </c>
      <c r="Z66" s="2">
        <v>1</v>
      </c>
      <c r="AA66" s="7">
        <f t="shared" si="17"/>
        <v>1</v>
      </c>
      <c r="AB66" s="7">
        <f t="shared" si="18"/>
        <v>1</v>
      </c>
      <c r="AD66" s="7">
        <v>11</v>
      </c>
      <c r="AE66" s="2" t="s">
        <v>30</v>
      </c>
      <c r="AF66" s="2" t="s">
        <v>34</v>
      </c>
      <c r="AG66" s="7"/>
      <c r="AH66" s="7"/>
      <c r="AI66" s="7"/>
    </row>
    <row r="67" spans="2:35" x14ac:dyDescent="0.3">
      <c r="M67" t="s">
        <v>81</v>
      </c>
      <c r="O67" t="s">
        <v>85</v>
      </c>
      <c r="S67" s="2" t="s">
        <v>30</v>
      </c>
      <c r="T67" s="7">
        <v>12</v>
      </c>
      <c r="U67" s="4">
        <f t="shared" si="14"/>
        <v>29.453124999999996</v>
      </c>
      <c r="V67" s="7">
        <f t="shared" si="15"/>
        <v>0</v>
      </c>
      <c r="W67" s="7">
        <f t="shared" si="16"/>
        <v>1</v>
      </c>
      <c r="Y67" s="7">
        <v>12</v>
      </c>
      <c r="Z67" s="2">
        <v>1</v>
      </c>
      <c r="AA67" s="7">
        <f t="shared" si="17"/>
        <v>1</v>
      </c>
      <c r="AB67" s="7">
        <f t="shared" si="18"/>
        <v>1</v>
      </c>
      <c r="AD67" s="7">
        <v>12</v>
      </c>
      <c r="AE67" s="2" t="s">
        <v>30</v>
      </c>
      <c r="AF67" s="2" t="s">
        <v>34</v>
      </c>
      <c r="AG67" s="7"/>
      <c r="AH67" s="7"/>
      <c r="AI67" s="7"/>
    </row>
    <row r="68" spans="2:35" x14ac:dyDescent="0.3">
      <c r="M68" t="s">
        <v>82</v>
      </c>
      <c r="N68">
        <v>0</v>
      </c>
      <c r="O68">
        <f>((N68)/($N$68+$N$69+$N$70))*(100)</f>
        <v>0</v>
      </c>
      <c r="S68" s="2" t="s">
        <v>35</v>
      </c>
      <c r="T68" s="7">
        <v>13</v>
      </c>
      <c r="U68" s="4">
        <f t="shared" si="14"/>
        <v>20.176778194270909</v>
      </c>
      <c r="V68" s="7">
        <f t="shared" si="15"/>
        <v>0.74203412395832169</v>
      </c>
      <c r="W68" s="7">
        <f t="shared" si="16"/>
        <v>0.25796587604167837</v>
      </c>
      <c r="Y68" s="7">
        <v>13</v>
      </c>
      <c r="Z68" s="2">
        <v>1</v>
      </c>
      <c r="AA68" s="7">
        <f t="shared" si="17"/>
        <v>1</v>
      </c>
      <c r="AB68" s="7">
        <f t="shared" si="18"/>
        <v>1</v>
      </c>
      <c r="AD68" s="7">
        <v>13</v>
      </c>
      <c r="AE68" s="2" t="s">
        <v>35</v>
      </c>
      <c r="AF68" s="2" t="s">
        <v>38</v>
      </c>
      <c r="AG68" s="7"/>
      <c r="AH68" s="7"/>
      <c r="AI68" s="7"/>
    </row>
    <row r="69" spans="2:35" x14ac:dyDescent="0.3">
      <c r="M69" t="s">
        <v>83</v>
      </c>
      <c r="N69">
        <f>SUM(J58)</f>
        <v>0.65</v>
      </c>
      <c r="O69">
        <f>((N69)/($N$68+$N$69+$N$70))*(100)</f>
        <v>15.66265060240964</v>
      </c>
      <c r="S69" s="2" t="s">
        <v>36</v>
      </c>
      <c r="T69" s="7">
        <v>14</v>
      </c>
      <c r="U69" s="4">
        <f t="shared" si="14"/>
        <v>23.473802275276395</v>
      </c>
      <c r="V69" s="7">
        <f t="shared" si="15"/>
        <v>0.23479964995747776</v>
      </c>
      <c r="W69" s="7">
        <f t="shared" si="16"/>
        <v>0.76520035004252229</v>
      </c>
      <c r="Y69" s="7">
        <v>14</v>
      </c>
      <c r="Z69" s="2">
        <v>1</v>
      </c>
      <c r="AA69" s="7">
        <f t="shared" si="17"/>
        <v>1</v>
      </c>
      <c r="AB69" s="7">
        <f t="shared" si="18"/>
        <v>1</v>
      </c>
      <c r="AD69" s="7">
        <v>14</v>
      </c>
      <c r="AE69" s="2" t="s">
        <v>36</v>
      </c>
      <c r="AF69" s="2" t="s">
        <v>29</v>
      </c>
      <c r="AG69" s="7"/>
      <c r="AH69" s="7"/>
      <c r="AI69" s="7"/>
    </row>
    <row r="70" spans="2:35" x14ac:dyDescent="0.3">
      <c r="M70" t="s">
        <v>84</v>
      </c>
      <c r="N70">
        <f>SUM(J55,J56,J57,J59)</f>
        <v>3.5</v>
      </c>
      <c r="O70">
        <f>((N70)/($N$68+$N$69+$N$70))*(100)</f>
        <v>84.337349397590359</v>
      </c>
      <c r="P70" t="s">
        <v>90</v>
      </c>
      <c r="S70" s="2" t="s">
        <v>36</v>
      </c>
      <c r="T70" s="22">
        <v>15</v>
      </c>
      <c r="U70" s="34">
        <f t="shared" si="14"/>
        <v>18.737894689428405</v>
      </c>
      <c r="V70" s="7">
        <f t="shared" si="15"/>
        <v>0.96340081701101465</v>
      </c>
      <c r="W70" s="7">
        <f t="shared" si="16"/>
        <v>3.659918298898536E-2</v>
      </c>
      <c r="Y70" s="22">
        <v>15</v>
      </c>
      <c r="Z70" s="19">
        <v>1</v>
      </c>
      <c r="AA70" s="22">
        <f t="shared" si="17"/>
        <v>1</v>
      </c>
      <c r="AB70" s="22">
        <f t="shared" si="18"/>
        <v>1</v>
      </c>
      <c r="AD70" s="7">
        <v>15</v>
      </c>
      <c r="AE70" s="2" t="s">
        <v>36</v>
      </c>
      <c r="AF70" s="2" t="s">
        <v>34</v>
      </c>
      <c r="AG70" s="7"/>
      <c r="AH70" s="7"/>
      <c r="AI70" s="7"/>
    </row>
    <row r="71" spans="2:35" x14ac:dyDescent="0.3">
      <c r="T71" s="16"/>
      <c r="U71" s="4" t="s">
        <v>64</v>
      </c>
      <c r="V71" s="7">
        <f>SUM(V56:V70)</f>
        <v>3.8587519655653137</v>
      </c>
      <c r="W71" s="7">
        <f>SUM(W56:W70)</f>
        <v>11.141248034434687</v>
      </c>
      <c r="Y71" s="16"/>
      <c r="Z71" s="23"/>
      <c r="AA71" s="16"/>
      <c r="AB71" s="16"/>
      <c r="AD71" s="42"/>
      <c r="AE71" s="21"/>
    </row>
    <row r="72" spans="2:35" x14ac:dyDescent="0.3">
      <c r="M72" s="22" t="s">
        <v>89</v>
      </c>
      <c r="N72" s="22"/>
      <c r="T72" s="9"/>
      <c r="U72" s="35"/>
      <c r="V72" s="9"/>
      <c r="W72" s="9"/>
      <c r="Y72" s="9"/>
      <c r="Z72" s="20"/>
      <c r="AA72" s="9"/>
      <c r="AB72" s="9"/>
    </row>
    <row r="73" spans="2:35" x14ac:dyDescent="0.3">
      <c r="L73" s="48" t="s">
        <v>46</v>
      </c>
      <c r="M73" s="37" t="s">
        <v>4</v>
      </c>
      <c r="N73" s="40" t="s">
        <v>92</v>
      </c>
      <c r="O73" s="37" t="s">
        <v>93</v>
      </c>
      <c r="P73" s="40" t="s">
        <v>79</v>
      </c>
      <c r="T73" s="9"/>
      <c r="U73" s="35"/>
      <c r="V73" s="9"/>
      <c r="W73" s="9"/>
      <c r="Y73" s="9"/>
      <c r="Z73" s="20"/>
      <c r="AA73" s="9"/>
      <c r="AB73" s="9"/>
    </row>
    <row r="74" spans="2:35" x14ac:dyDescent="0.3">
      <c r="L74" s="40">
        <v>1</v>
      </c>
      <c r="M74" s="2">
        <v>52</v>
      </c>
      <c r="N74" s="7">
        <v>0</v>
      </c>
      <c r="O74" s="7">
        <v>1</v>
      </c>
      <c r="P74" s="40">
        <v>2</v>
      </c>
      <c r="Q74" t="s">
        <v>68</v>
      </c>
      <c r="T74" s="181" t="s">
        <v>91</v>
      </c>
      <c r="U74" s="183"/>
      <c r="V74" s="7">
        <f>-((5/10)*LOG((5/10),2))-((4/10)*LOG((4/10),2))-((1/10)*LOG((1/10),2))</f>
        <v>1.3609640474436813</v>
      </c>
      <c r="Z74" s="20"/>
      <c r="AA74" s="9"/>
      <c r="AB74" s="9"/>
    </row>
    <row r="75" spans="2:35" x14ac:dyDescent="0.3">
      <c r="B75" t="s">
        <v>80</v>
      </c>
      <c r="E75" t="s">
        <v>97</v>
      </c>
      <c r="H75" t="s">
        <v>87</v>
      </c>
      <c r="L75" s="40">
        <v>3</v>
      </c>
      <c r="M75" s="2">
        <v>56</v>
      </c>
      <c r="N75" s="7">
        <v>0</v>
      </c>
      <c r="O75" s="7">
        <v>1</v>
      </c>
      <c r="P75" s="40">
        <v>1</v>
      </c>
      <c r="Q75" t="s">
        <v>55</v>
      </c>
      <c r="R75">
        <f>-((N75+N76+N77+N82+N83)/(N84)*LOG((N75+N76+N77+N82+N83)/(N84),2))-((N74+N78+N80+N81)/(N84)*LOG((N74+N78+N80+N81)/(N84),2))-((N79)/(N84)*LOG((N79)/(N84),2))</f>
        <v>1.1821377066144261</v>
      </c>
      <c r="T75" s="181" t="s">
        <v>65</v>
      </c>
      <c r="U75" s="183"/>
      <c r="V75" s="7">
        <f>(V74)-((N84)/(10)*R75)-((O84)/(10)*R76)</f>
        <v>7.4780188374736212E-2</v>
      </c>
      <c r="Z75" s="20"/>
      <c r="AA75" s="9"/>
      <c r="AB75" s="9"/>
    </row>
    <row r="76" spans="2:35" x14ac:dyDescent="0.3">
      <c r="L76" s="40">
        <v>4</v>
      </c>
      <c r="M76" s="2">
        <v>38</v>
      </c>
      <c r="N76" s="7">
        <v>0.7</v>
      </c>
      <c r="O76" s="7">
        <v>0.3</v>
      </c>
      <c r="P76" s="40">
        <v>1</v>
      </c>
      <c r="Q76" t="s">
        <v>43</v>
      </c>
      <c r="R76">
        <f>-((O75+O76+O77+O82+O83)/(O84)*LOG((O75+O76+O77+O82+O83)/(O84),2))-((O74+O78+O80+O81)/(O84)*LOG((O74+O78+O80+O81)/(O84),2))-((O79)/(O84)*LOG((O79)/(O84),2))</f>
        <v>1.4241055030202836</v>
      </c>
      <c r="T76" s="181" t="s">
        <v>67</v>
      </c>
      <c r="U76" s="183"/>
      <c r="V76" s="7">
        <f>(V74)-((N97)/(10)*R88)-((O97)/(10)*R89)</f>
        <v>4.3988412316771086E-2</v>
      </c>
    </row>
    <row r="77" spans="2:35" x14ac:dyDescent="0.3">
      <c r="L77" s="45">
        <v>5</v>
      </c>
      <c r="M77" s="2">
        <v>36</v>
      </c>
      <c r="N77" s="7">
        <v>0.9</v>
      </c>
      <c r="O77" s="7">
        <v>0.1</v>
      </c>
      <c r="P77" s="40">
        <v>1</v>
      </c>
      <c r="T77" s="181" t="s">
        <v>73</v>
      </c>
      <c r="U77" s="183"/>
      <c r="V77" s="7">
        <f>(V74)-((V97/10)*Z88)-((W97/10)*Z89)</f>
        <v>7.8189734419578993E-2</v>
      </c>
      <c r="W77" t="s">
        <v>95</v>
      </c>
    </row>
    <row r="78" spans="2:35" x14ac:dyDescent="0.3">
      <c r="L78" s="45">
        <v>6</v>
      </c>
      <c r="M78" s="2">
        <v>31</v>
      </c>
      <c r="N78" s="7">
        <v>1</v>
      </c>
      <c r="O78" s="7">
        <v>0</v>
      </c>
      <c r="P78" s="40">
        <v>2</v>
      </c>
    </row>
    <row r="79" spans="2:35" x14ac:dyDescent="0.3">
      <c r="L79" s="45">
        <v>7</v>
      </c>
      <c r="M79" s="2">
        <v>43</v>
      </c>
      <c r="N79" s="7">
        <v>0.2</v>
      </c>
      <c r="O79" s="7">
        <v>0.8</v>
      </c>
      <c r="P79" s="40">
        <v>3</v>
      </c>
    </row>
    <row r="80" spans="2:35" x14ac:dyDescent="0.3">
      <c r="L80" s="45">
        <v>11</v>
      </c>
      <c r="M80" s="2">
        <v>35</v>
      </c>
      <c r="N80" s="7">
        <v>1</v>
      </c>
      <c r="O80" s="7">
        <v>0</v>
      </c>
      <c r="P80" s="40">
        <v>2</v>
      </c>
    </row>
    <row r="81" spans="1:26" x14ac:dyDescent="0.3">
      <c r="L81" s="45">
        <v>12</v>
      </c>
      <c r="M81" s="2">
        <v>36</v>
      </c>
      <c r="N81" s="7">
        <v>0.9</v>
      </c>
      <c r="O81" s="7">
        <v>0.1</v>
      </c>
      <c r="P81" s="40">
        <v>2</v>
      </c>
    </row>
    <row r="82" spans="1:26" x14ac:dyDescent="0.3">
      <c r="L82" s="45">
        <v>14</v>
      </c>
      <c r="M82" s="2">
        <v>54</v>
      </c>
      <c r="N82" s="7">
        <v>0</v>
      </c>
      <c r="O82" s="7">
        <v>1</v>
      </c>
      <c r="P82" s="40">
        <v>1</v>
      </c>
    </row>
    <row r="83" spans="1:26" x14ac:dyDescent="0.3">
      <c r="L83" s="45">
        <v>15</v>
      </c>
      <c r="M83" s="2">
        <v>22</v>
      </c>
      <c r="N83" s="7">
        <v>1</v>
      </c>
      <c r="O83" s="7">
        <v>0</v>
      </c>
      <c r="P83" s="40">
        <v>1</v>
      </c>
    </row>
    <row r="84" spans="1:26" x14ac:dyDescent="0.3">
      <c r="M84" s="7" t="s">
        <v>64</v>
      </c>
      <c r="N84" s="7">
        <f>SUM(N74:N83)</f>
        <v>5.7</v>
      </c>
      <c r="O84" s="7">
        <f>SUM(O74:O83)</f>
        <v>4.3000000000000007</v>
      </c>
    </row>
    <row r="85" spans="1:26" x14ac:dyDescent="0.3">
      <c r="U85" s="22" t="s">
        <v>89</v>
      </c>
      <c r="V85" s="22"/>
    </row>
    <row r="86" spans="1:26" x14ac:dyDescent="0.3">
      <c r="L86" s="48" t="s">
        <v>46</v>
      </c>
      <c r="M86" s="7" t="s">
        <v>10</v>
      </c>
      <c r="N86" s="7" t="s">
        <v>44</v>
      </c>
      <c r="O86" s="7" t="s">
        <v>47</v>
      </c>
      <c r="P86" s="40" t="s">
        <v>79</v>
      </c>
      <c r="T86" s="48" t="s">
        <v>46</v>
      </c>
      <c r="U86" s="7" t="s">
        <v>7</v>
      </c>
      <c r="V86" s="7" t="s">
        <v>57</v>
      </c>
      <c r="W86" s="7" t="s">
        <v>58</v>
      </c>
      <c r="X86" s="40" t="s">
        <v>79</v>
      </c>
    </row>
    <row r="87" spans="1:26" x14ac:dyDescent="0.3">
      <c r="L87" s="40">
        <v>1</v>
      </c>
      <c r="M87" s="4">
        <f>H4/(G4*G4)</f>
        <v>23.598931085099178</v>
      </c>
      <c r="N87" s="7">
        <f>IF(M87&lt;=$V$54,1,IF(AND($V$54&lt;M87,M87&lt;$W$54),($W$54-M87)/($W$54-$V$54),IF(M87&gt;=$W$54,0)))</f>
        <v>0.21554906383089573</v>
      </c>
      <c r="O87" s="7">
        <f>IF(M87&lt;=$V$54,0,IF(AND($V$54&lt;M87,M87&lt;$W$54),(M87-$V$54)/($W$54-$V$54),IF(M87&gt;=$W$54,1)))</f>
        <v>0.78445093616910433</v>
      </c>
      <c r="P87" s="40">
        <v>2</v>
      </c>
      <c r="Q87" t="s">
        <v>69</v>
      </c>
      <c r="T87" s="40">
        <v>1</v>
      </c>
      <c r="U87" s="24">
        <v>78</v>
      </c>
      <c r="V87" s="32">
        <v>0.6</v>
      </c>
      <c r="W87" s="32">
        <v>0.4</v>
      </c>
      <c r="X87" s="40">
        <v>2</v>
      </c>
      <c r="Y87" t="s">
        <v>74</v>
      </c>
    </row>
    <row r="88" spans="1:26" x14ac:dyDescent="0.3">
      <c r="L88" s="40">
        <v>3</v>
      </c>
      <c r="M88" s="4">
        <f>H6/(G6*G6)</f>
        <v>26.840928029472394</v>
      </c>
      <c r="N88" s="7">
        <f t="shared" ref="N88:N96" si="19">IF(M88&lt;=$V$54,1,IF(AND($V$54&lt;M88,M88&lt;$W$54),($W$54-M88)/($W$54-$V$54),IF(M88&gt;=$W$54,0)))</f>
        <v>0</v>
      </c>
      <c r="O88" s="7">
        <f t="shared" ref="O88:O96" si="20">IF(M88&lt;=$V$54,0,IF(AND($V$54&lt;M88,M88&lt;$W$54),(M88-$V$54)/($W$54-$V$54),IF(M88&gt;=$W$54,1)))</f>
        <v>1</v>
      </c>
      <c r="P88" s="40">
        <v>1</v>
      </c>
      <c r="Q88" t="s">
        <v>55</v>
      </c>
      <c r="R88">
        <f>-((N88+N89+N90+N95+N96)/(N97)*LOG((N88+N89+N90+N95+N96)/(N97),2))-((N87+N91+N93+N94)/(N97)*LOG((N87+N91+N93+N94)/(N97),2))-(0)</f>
        <v>0.98622800795878485</v>
      </c>
      <c r="T88" s="40">
        <v>3</v>
      </c>
      <c r="U88" s="24">
        <v>98</v>
      </c>
      <c r="V88" s="32">
        <v>0</v>
      </c>
      <c r="W88" s="32">
        <v>1</v>
      </c>
      <c r="X88" s="40">
        <v>1</v>
      </c>
      <c r="Y88" t="s">
        <v>55</v>
      </c>
      <c r="Z88">
        <f>-((V88+V89+V90+V95+V96)/(V97)*LOG((V88+V89+V90+V95+V96)/(V97),2))-((V87+V91+V93+V94)/(V97)*LOG((V87+V91+V93+V94)/(V97),2))-(0)</f>
        <v>0.98175683277243908</v>
      </c>
    </row>
    <row r="89" spans="1:26" x14ac:dyDescent="0.3">
      <c r="L89" s="40">
        <v>4</v>
      </c>
      <c r="M89" s="4">
        <f>H7/(G7*G7)</f>
        <v>32.456398197138938</v>
      </c>
      <c r="N89" s="7">
        <f t="shared" si="19"/>
        <v>0</v>
      </c>
      <c r="O89" s="7">
        <f t="shared" si="20"/>
        <v>1</v>
      </c>
      <c r="P89" s="40">
        <v>1</v>
      </c>
      <c r="Q89" t="s">
        <v>43</v>
      </c>
      <c r="R89">
        <f>-((O88+O89+O90+O95+O96)/(O97)*LOG((O88+O89+O90+O95+O96)/(O97),2))-((O87+O91+O93+O94)/(O97)*LOG((O87+O91+O93+O94)/(O97),2))-((O92)/(O97)*LOG((O92)/(O97),2))</f>
        <v>1.4263542259076103</v>
      </c>
      <c r="T89" s="40">
        <v>4</v>
      </c>
      <c r="U89" s="27">
        <v>99</v>
      </c>
      <c r="V89" s="31">
        <v>0</v>
      </c>
      <c r="W89" s="31">
        <v>1</v>
      </c>
      <c r="X89" s="40">
        <v>1</v>
      </c>
      <c r="Y89" t="s">
        <v>43</v>
      </c>
      <c r="Z89">
        <f>-((W88+W89+W90+W95+W96)/(W97)*LOG((W88+W89+W90+W95+W96)/(W97),2))-((W87+W91+W93+W94)/(W97)*LOG((W87+W91+W93+W94)/(W97),2))-((W92)/(W97)*LOG((W92)/(W97),2))</f>
        <v>1.3913044249515722</v>
      </c>
    </row>
    <row r="90" spans="1:26" x14ac:dyDescent="0.3">
      <c r="L90" s="45">
        <v>5</v>
      </c>
      <c r="M90" s="4">
        <f>H8/(G8*G8)</f>
        <v>23.59729780446613</v>
      </c>
      <c r="N90" s="7">
        <f>IF(M90&lt;=$V$54,1,IF(AND($V$54&lt;M90,M90&lt;$W$54),($W$54-M90)/($W$54-$V$54),IF(M90&gt;=$W$54,0)))</f>
        <v>0.21580033777444149</v>
      </c>
      <c r="O90" s="7">
        <f t="shared" si="20"/>
        <v>0.78419966222555848</v>
      </c>
      <c r="P90" s="40">
        <v>1</v>
      </c>
      <c r="T90" s="45">
        <v>5</v>
      </c>
      <c r="U90" s="27">
        <v>88</v>
      </c>
      <c r="V90" s="31">
        <v>0</v>
      </c>
      <c r="W90" s="31">
        <v>1</v>
      </c>
      <c r="X90" s="40">
        <v>1</v>
      </c>
    </row>
    <row r="91" spans="1:26" x14ac:dyDescent="0.3">
      <c r="B91" t="s">
        <v>103</v>
      </c>
      <c r="F91" t="s">
        <v>104</v>
      </c>
      <c r="L91" s="45">
        <v>6</v>
      </c>
      <c r="M91" s="4">
        <f>H9/(G9*G9)</f>
        <v>31.301350186727948</v>
      </c>
      <c r="N91" s="7">
        <f t="shared" si="19"/>
        <v>0</v>
      </c>
      <c r="O91" s="7">
        <f t="shared" si="20"/>
        <v>1</v>
      </c>
      <c r="P91" s="40">
        <v>2</v>
      </c>
      <c r="T91" s="45">
        <v>6</v>
      </c>
      <c r="U91" s="27">
        <v>89</v>
      </c>
      <c r="V91" s="31">
        <v>0</v>
      </c>
      <c r="W91" s="31">
        <v>1</v>
      </c>
      <c r="X91" s="40">
        <v>2</v>
      </c>
    </row>
    <row r="92" spans="1:26" x14ac:dyDescent="0.3">
      <c r="L92" s="45">
        <v>7</v>
      </c>
      <c r="M92" s="4">
        <f>H10/(G10*G10)</f>
        <v>26.134122287968442</v>
      </c>
      <c r="N92" s="7">
        <f t="shared" si="19"/>
        <v>0</v>
      </c>
      <c r="O92" s="7">
        <f t="shared" si="20"/>
        <v>1</v>
      </c>
      <c r="P92" s="40">
        <v>3</v>
      </c>
      <c r="T92" s="45">
        <v>7</v>
      </c>
      <c r="U92" s="24">
        <v>89</v>
      </c>
      <c r="V92" s="32">
        <v>0.05</v>
      </c>
      <c r="W92" s="32">
        <v>0.95</v>
      </c>
      <c r="X92" s="40">
        <v>3</v>
      </c>
    </row>
    <row r="93" spans="1:26" x14ac:dyDescent="0.3">
      <c r="L93" s="45">
        <v>11</v>
      </c>
      <c r="M93" s="4">
        <f>H14/(G14*G14)</f>
        <v>19.438507030643446</v>
      </c>
      <c r="N93" s="7">
        <f t="shared" si="19"/>
        <v>0.85561430297793128</v>
      </c>
      <c r="O93" s="7">
        <f t="shared" si="20"/>
        <v>0.14438569702206869</v>
      </c>
      <c r="P93" s="40">
        <v>2</v>
      </c>
      <c r="T93" s="45">
        <v>11</v>
      </c>
      <c r="U93" s="24">
        <v>71</v>
      </c>
      <c r="V93" s="32">
        <v>0.95</v>
      </c>
      <c r="W93" s="32">
        <v>0.05</v>
      </c>
      <c r="X93" s="40">
        <v>2</v>
      </c>
    </row>
    <row r="94" spans="1:26" x14ac:dyDescent="0.3">
      <c r="L94" s="45">
        <v>12</v>
      </c>
      <c r="M94" s="4">
        <f>H15/(G15*G15)</f>
        <v>29.453124999999996</v>
      </c>
      <c r="N94" s="7">
        <f t="shared" si="19"/>
        <v>0</v>
      </c>
      <c r="O94" s="7">
        <f t="shared" si="20"/>
        <v>1</v>
      </c>
      <c r="P94" s="40">
        <v>2</v>
      </c>
      <c r="T94" s="45">
        <v>12</v>
      </c>
      <c r="U94" s="27">
        <v>101</v>
      </c>
      <c r="V94" s="31">
        <v>0</v>
      </c>
      <c r="W94" s="31">
        <v>1</v>
      </c>
      <c r="X94" s="40">
        <v>2</v>
      </c>
    </row>
    <row r="95" spans="1:26" x14ac:dyDescent="0.3">
      <c r="A95" s="7" t="s">
        <v>46</v>
      </c>
      <c r="B95" s="7" t="s">
        <v>96</v>
      </c>
      <c r="C95" s="7" t="s">
        <v>79</v>
      </c>
      <c r="E95" s="7" t="s">
        <v>46</v>
      </c>
      <c r="F95" s="7" t="s">
        <v>96</v>
      </c>
      <c r="G95" s="7" t="s">
        <v>79</v>
      </c>
      <c r="L95" s="45">
        <v>14</v>
      </c>
      <c r="M95" s="4">
        <f>H17/(G17*G17)</f>
        <v>23.473802275276395</v>
      </c>
      <c r="N95" s="7">
        <f t="shared" si="19"/>
        <v>0.23479964995747776</v>
      </c>
      <c r="O95" s="7">
        <f t="shared" si="20"/>
        <v>0.76520035004252229</v>
      </c>
      <c r="P95" s="40">
        <v>1</v>
      </c>
      <c r="T95" s="45">
        <v>14</v>
      </c>
      <c r="U95" s="24">
        <v>79</v>
      </c>
      <c r="V95" s="32">
        <v>0.55000000000000004</v>
      </c>
      <c r="W95" s="32">
        <v>0.45</v>
      </c>
      <c r="X95" s="40">
        <v>1</v>
      </c>
    </row>
    <row r="96" spans="1:26" x14ac:dyDescent="0.3">
      <c r="A96" s="40">
        <v>1</v>
      </c>
      <c r="B96" s="32">
        <v>0.6</v>
      </c>
      <c r="C96" s="40">
        <v>2</v>
      </c>
      <c r="E96" s="40">
        <v>1</v>
      </c>
      <c r="F96" s="32">
        <v>0.4</v>
      </c>
      <c r="G96" s="40">
        <v>2</v>
      </c>
      <c r="L96" s="45">
        <v>15</v>
      </c>
      <c r="M96" s="34">
        <f>H18/(G18*G18)</f>
        <v>18.737894689428405</v>
      </c>
      <c r="N96" s="7">
        <f t="shared" si="19"/>
        <v>0.96340081701101465</v>
      </c>
      <c r="O96" s="7">
        <f t="shared" si="20"/>
        <v>3.659918298898536E-2</v>
      </c>
      <c r="P96" s="40">
        <v>1</v>
      </c>
      <c r="T96" s="45">
        <v>15</v>
      </c>
      <c r="U96" s="28">
        <v>70</v>
      </c>
      <c r="V96" s="33">
        <v>0.5</v>
      </c>
      <c r="W96" s="33">
        <v>0.5</v>
      </c>
      <c r="X96" s="40">
        <v>1</v>
      </c>
    </row>
    <row r="97" spans="1:24" x14ac:dyDescent="0.3">
      <c r="A97" s="45">
        <v>7</v>
      </c>
      <c r="B97" s="32">
        <v>0.05</v>
      </c>
      <c r="C97" s="40">
        <v>3</v>
      </c>
      <c r="E97" s="40">
        <v>3</v>
      </c>
      <c r="F97" s="32">
        <v>1</v>
      </c>
      <c r="G97" s="40">
        <v>1</v>
      </c>
      <c r="M97" s="36"/>
      <c r="N97" s="37">
        <f>SUM(N87:N96)</f>
        <v>2.4851641715517609</v>
      </c>
      <c r="O97" s="37">
        <f>SUM(O87:O96)</f>
        <v>7.5148358284482395</v>
      </c>
      <c r="V97">
        <f>SUM(V87:V96)</f>
        <v>2.6500000000000004</v>
      </c>
      <c r="W97">
        <f>SUM(W87:W96)</f>
        <v>7.3500000000000005</v>
      </c>
    </row>
    <row r="98" spans="1:24" x14ac:dyDescent="0.3">
      <c r="A98" s="45">
        <v>11</v>
      </c>
      <c r="B98" s="32">
        <v>0.95</v>
      </c>
      <c r="C98" s="40">
        <v>2</v>
      </c>
      <c r="E98" s="40">
        <v>4</v>
      </c>
      <c r="F98" s="31">
        <v>1</v>
      </c>
      <c r="G98" s="40">
        <v>1</v>
      </c>
      <c r="M98" s="35"/>
    </row>
    <row r="99" spans="1:24" x14ac:dyDescent="0.3">
      <c r="A99" s="45">
        <v>14</v>
      </c>
      <c r="B99" s="32">
        <v>0.55000000000000004</v>
      </c>
      <c r="C99" s="40">
        <v>1</v>
      </c>
      <c r="E99" s="45">
        <v>5</v>
      </c>
      <c r="F99" s="31">
        <v>1</v>
      </c>
      <c r="G99" s="40">
        <v>1</v>
      </c>
      <c r="M99" s="35"/>
    </row>
    <row r="100" spans="1:24" x14ac:dyDescent="0.3">
      <c r="A100" s="45">
        <v>15</v>
      </c>
      <c r="B100" s="31">
        <v>0.5</v>
      </c>
      <c r="C100" s="40">
        <v>1</v>
      </c>
      <c r="E100" s="45">
        <v>6</v>
      </c>
      <c r="F100" s="31">
        <v>1</v>
      </c>
      <c r="G100" s="40">
        <v>2</v>
      </c>
      <c r="L100" s="46" t="s">
        <v>101</v>
      </c>
      <c r="M100" s="47"/>
      <c r="P100" s="46" t="s">
        <v>102</v>
      </c>
      <c r="Q100" s="47"/>
    </row>
    <row r="101" spans="1:24" x14ac:dyDescent="0.3">
      <c r="E101" s="45">
        <v>7</v>
      </c>
      <c r="F101" s="32">
        <v>0.95</v>
      </c>
      <c r="G101" s="40">
        <v>3</v>
      </c>
      <c r="L101" t="s">
        <v>81</v>
      </c>
      <c r="N101" t="s">
        <v>85</v>
      </c>
      <c r="P101" t="s">
        <v>81</v>
      </c>
      <c r="R101" t="s">
        <v>85</v>
      </c>
    </row>
    <row r="102" spans="1:24" x14ac:dyDescent="0.3">
      <c r="E102" s="45">
        <v>11</v>
      </c>
      <c r="F102" s="32">
        <v>0.05</v>
      </c>
      <c r="G102" s="40">
        <v>2</v>
      </c>
      <c r="L102" t="s">
        <v>82</v>
      </c>
      <c r="M102">
        <f>SUM(B99,B100)</f>
        <v>1.05</v>
      </c>
      <c r="N102">
        <f>((M102)/(M102+M103+M104))*(100)</f>
        <v>18.750000000000004</v>
      </c>
      <c r="P102" t="s">
        <v>82</v>
      </c>
      <c r="Q102">
        <f>SUM(F97,F98,F99,F104,F105)</f>
        <v>3.95</v>
      </c>
      <c r="R102">
        <f>((Q102)/(Q102+Q103+Q104))*(100)</f>
        <v>53.741496598639451</v>
      </c>
    </row>
    <row r="103" spans="1:24" x14ac:dyDescent="0.3">
      <c r="E103" s="45">
        <v>12</v>
      </c>
      <c r="F103" s="31">
        <v>1</v>
      </c>
      <c r="G103" s="40">
        <v>2</v>
      </c>
      <c r="L103" t="s">
        <v>83</v>
      </c>
      <c r="M103">
        <f>SUM(B96,B98)</f>
        <v>1.5499999999999998</v>
      </c>
      <c r="N103">
        <f>((M103)/(M102+M103+M104))*(100)</f>
        <v>27.678571428571423</v>
      </c>
      <c r="P103" t="s">
        <v>83</v>
      </c>
      <c r="Q103">
        <f>SUM(F96,F100,F102,F103)</f>
        <v>2.4500000000000002</v>
      </c>
      <c r="R103">
        <f>((Q103)/(Q102+Q103+Q104))*(100)</f>
        <v>33.333333333333329</v>
      </c>
    </row>
    <row r="104" spans="1:24" x14ac:dyDescent="0.3">
      <c r="E104" s="45">
        <v>14</v>
      </c>
      <c r="F104" s="32">
        <v>0.45</v>
      </c>
      <c r="G104" s="40">
        <v>1</v>
      </c>
      <c r="L104" t="s">
        <v>84</v>
      </c>
      <c r="M104">
        <f>SUM(C97)</f>
        <v>3</v>
      </c>
      <c r="N104">
        <f>((M104)/(M102+M103+M104))*(100)</f>
        <v>53.571428571428569</v>
      </c>
      <c r="P104" t="s">
        <v>84</v>
      </c>
      <c r="Q104">
        <f>SUM(F101)</f>
        <v>0.95</v>
      </c>
      <c r="R104">
        <f>((Q104)/(Q102+Q103+Q104))*(100)</f>
        <v>12.925170068027208</v>
      </c>
    </row>
    <row r="105" spans="1:24" x14ac:dyDescent="0.3">
      <c r="E105" s="45">
        <v>15</v>
      </c>
      <c r="F105" s="33">
        <v>0.5</v>
      </c>
      <c r="G105" s="40">
        <v>1</v>
      </c>
    </row>
    <row r="107" spans="1:24" x14ac:dyDescent="0.3">
      <c r="D107" s="9" t="s">
        <v>105</v>
      </c>
      <c r="E107" s="9"/>
      <c r="M107" s="22" t="s">
        <v>106</v>
      </c>
      <c r="N107" s="22"/>
    </row>
    <row r="108" spans="1:24" x14ac:dyDescent="0.3">
      <c r="L108" s="7" t="s">
        <v>46</v>
      </c>
      <c r="M108" s="7" t="s">
        <v>42</v>
      </c>
      <c r="N108" s="7" t="s">
        <v>55</v>
      </c>
      <c r="O108" s="7" t="s">
        <v>43</v>
      </c>
      <c r="P108" s="7" t="s">
        <v>79</v>
      </c>
      <c r="S108" s="38"/>
      <c r="T108" s="38"/>
      <c r="U108" s="189" t="s">
        <v>107</v>
      </c>
      <c r="V108" s="189"/>
      <c r="W108" s="7">
        <f>-((2/5)*LOG((2/5),2))-((2/5)*LOG((2/5),2))-((1/5)*LOG((1/5),2))</f>
        <v>1.5219280948873621</v>
      </c>
    </row>
    <row r="109" spans="1:24" x14ac:dyDescent="0.3">
      <c r="L109" s="40">
        <v>1</v>
      </c>
      <c r="M109" s="2">
        <v>52</v>
      </c>
      <c r="N109" s="7">
        <v>0</v>
      </c>
      <c r="O109" s="7">
        <v>1</v>
      </c>
      <c r="P109" s="40">
        <v>2</v>
      </c>
      <c r="Q109" t="s">
        <v>68</v>
      </c>
      <c r="U109" s="189" t="s">
        <v>65</v>
      </c>
      <c r="V109" s="189"/>
      <c r="W109" s="7">
        <f>(W108)-((N114)/(5)*R110)-((O114)/(5)*R111)</f>
        <v>4.5201902244582981E-2</v>
      </c>
    </row>
    <row r="110" spans="1:24" x14ac:dyDescent="0.3">
      <c r="L110" s="45">
        <v>7</v>
      </c>
      <c r="M110" s="2">
        <v>43</v>
      </c>
      <c r="N110" s="7">
        <v>0.2</v>
      </c>
      <c r="O110" s="7">
        <v>0.8</v>
      </c>
      <c r="P110" s="40">
        <v>3</v>
      </c>
      <c r="Q110" t="s">
        <v>55</v>
      </c>
      <c r="R110">
        <f>-((N112+N113)/(N114)*LOG((N112+N113)/(N114),2))-((N109+N111)/(N114)*LOG((N109+N111)/(N114),2))-((N110)/(N114)*LOG((N110)/(N114),2))</f>
        <v>1.3485878960124225</v>
      </c>
      <c r="U110" s="215" t="s">
        <v>67</v>
      </c>
      <c r="V110" s="215"/>
      <c r="W110" s="22">
        <f>(W108)-((N122)/(5)*R118)-((O122)/(5)*R119)</f>
        <v>0.20672462043992235</v>
      </c>
      <c r="X110" t="s">
        <v>108</v>
      </c>
    </row>
    <row r="111" spans="1:24" x14ac:dyDescent="0.3">
      <c r="L111" s="45">
        <v>11</v>
      </c>
      <c r="M111" s="2">
        <v>35</v>
      </c>
      <c r="N111" s="7">
        <v>1</v>
      </c>
      <c r="O111" s="7">
        <v>0</v>
      </c>
      <c r="P111" s="40">
        <v>2</v>
      </c>
      <c r="Q111" t="s">
        <v>43</v>
      </c>
      <c r="R111">
        <f>-((O112+O113)/(O114)*LOG((O112+O113)/(O114),2))-((O109+O111)/(O114)*LOG((O109+O111)/(O114),2))-((O110)/(O114)*LOG((O110)/(O114),2))</f>
        <v>1.5774062828523452</v>
      </c>
      <c r="U111" s="214"/>
      <c r="V111" s="214"/>
      <c r="W111" s="16"/>
    </row>
    <row r="112" spans="1:24" x14ac:dyDescent="0.3">
      <c r="L112" s="45">
        <v>14</v>
      </c>
      <c r="M112" s="2">
        <v>54</v>
      </c>
      <c r="N112" s="7">
        <v>0</v>
      </c>
      <c r="O112" s="7">
        <v>1</v>
      </c>
      <c r="P112" s="40">
        <v>1</v>
      </c>
    </row>
    <row r="113" spans="1:18" x14ac:dyDescent="0.3">
      <c r="L113" s="45">
        <v>15</v>
      </c>
      <c r="M113" s="2">
        <v>22</v>
      </c>
      <c r="N113" s="7">
        <v>1</v>
      </c>
      <c r="O113" s="7">
        <v>0</v>
      </c>
      <c r="P113" s="40">
        <v>1</v>
      </c>
    </row>
    <row r="114" spans="1:18" x14ac:dyDescent="0.3">
      <c r="C114" t="s">
        <v>80</v>
      </c>
      <c r="N114" s="7">
        <f>SUM(N109:N113)</f>
        <v>2.2000000000000002</v>
      </c>
      <c r="O114" s="7">
        <f>SUM(O109:O113)</f>
        <v>2.8</v>
      </c>
    </row>
    <row r="115" spans="1:18" x14ac:dyDescent="0.3">
      <c r="F115" t="s">
        <v>97</v>
      </c>
      <c r="I115" t="s">
        <v>87</v>
      </c>
    </row>
    <row r="116" spans="1:18" x14ac:dyDescent="0.3">
      <c r="L116" s="7" t="s">
        <v>46</v>
      </c>
      <c r="M116" s="7" t="s">
        <v>10</v>
      </c>
      <c r="N116" s="7" t="s">
        <v>44</v>
      </c>
      <c r="O116" s="7" t="s">
        <v>47</v>
      </c>
      <c r="P116" s="7" t="s">
        <v>79</v>
      </c>
    </row>
    <row r="117" spans="1:18" x14ac:dyDescent="0.3">
      <c r="L117" s="40">
        <v>1</v>
      </c>
      <c r="M117" s="4">
        <v>23.598931085099178</v>
      </c>
      <c r="N117" s="7">
        <v>0.21554906383089573</v>
      </c>
      <c r="O117" s="7">
        <v>0.78445093616910433</v>
      </c>
      <c r="P117" s="40">
        <v>2</v>
      </c>
      <c r="Q117" t="s">
        <v>68</v>
      </c>
    </row>
    <row r="118" spans="1:18" x14ac:dyDescent="0.3">
      <c r="L118" s="45">
        <v>7</v>
      </c>
      <c r="M118" s="4">
        <v>26.134122287968442</v>
      </c>
      <c r="N118" s="7">
        <v>0</v>
      </c>
      <c r="O118" s="7">
        <v>1</v>
      </c>
      <c r="P118" s="40">
        <v>3</v>
      </c>
      <c r="Q118" t="s">
        <v>55</v>
      </c>
      <c r="R118">
        <f>-((N120+N121)/(N122)*LOG((N120+N121)/(N122),2))-((N117+N119)/(N122)*LOG((N117+N119)/(N122),2))-(0)</f>
        <v>0.99773835479667272</v>
      </c>
    </row>
    <row r="119" spans="1:18" x14ac:dyDescent="0.3">
      <c r="L119" s="45">
        <v>11</v>
      </c>
      <c r="M119" s="4">
        <v>19.438507030643446</v>
      </c>
      <c r="N119" s="7">
        <v>0.85561430297793128</v>
      </c>
      <c r="O119" s="7">
        <v>0.14438569702206869</v>
      </c>
      <c r="P119" s="40">
        <v>2</v>
      </c>
      <c r="Q119" t="s">
        <v>43</v>
      </c>
      <c r="R119">
        <f>-((O120+O121)/(O122)*LOG((O120+O121)/(O122),2))-((O117+O119)/(O122)*LOG((O117+O119)/(O122),2))-((O118)/(O122)*LOG((O118)/(O122),2))</f>
        <v>1.5790408431650151</v>
      </c>
    </row>
    <row r="120" spans="1:18" x14ac:dyDescent="0.3">
      <c r="L120" s="45">
        <v>14</v>
      </c>
      <c r="M120" s="4">
        <v>23.473802275276395</v>
      </c>
      <c r="N120" s="7">
        <v>0.23479964995747776</v>
      </c>
      <c r="O120" s="7">
        <v>0.76520035004252229</v>
      </c>
      <c r="P120" s="40">
        <v>1</v>
      </c>
    </row>
    <row r="121" spans="1:18" x14ac:dyDescent="0.3">
      <c r="L121" s="45">
        <v>15</v>
      </c>
      <c r="M121" s="4">
        <v>18.737894689428405</v>
      </c>
      <c r="N121" s="7">
        <v>0.96340081701101465</v>
      </c>
      <c r="O121" s="7">
        <v>3.659918298898536E-2</v>
      </c>
      <c r="P121" s="40">
        <v>1</v>
      </c>
    </row>
    <row r="122" spans="1:18" x14ac:dyDescent="0.3">
      <c r="N122" s="7">
        <f>SUM(N117:N121)</f>
        <v>2.2693638337773194</v>
      </c>
      <c r="O122" s="7">
        <f>SUM(O117:O121)</f>
        <v>2.730636166222681</v>
      </c>
    </row>
    <row r="124" spans="1:18" x14ac:dyDescent="0.3">
      <c r="A124" t="s">
        <v>103</v>
      </c>
      <c r="D124" t="s">
        <v>104</v>
      </c>
      <c r="L124" s="44"/>
      <c r="M124" s="44"/>
      <c r="N124" s="44"/>
      <c r="O124" s="44"/>
      <c r="P124" s="49"/>
      <c r="Q124" s="44"/>
      <c r="R124" s="44"/>
    </row>
    <row r="125" spans="1:18" x14ac:dyDescent="0.3">
      <c r="L125" s="49"/>
      <c r="M125" s="41"/>
      <c r="N125" s="44"/>
      <c r="O125" s="44"/>
      <c r="P125" s="49"/>
      <c r="Q125" s="44"/>
      <c r="R125" s="44"/>
    </row>
    <row r="126" spans="1:18" x14ac:dyDescent="0.3">
      <c r="L126" s="49"/>
      <c r="M126" s="41"/>
      <c r="N126" s="44"/>
      <c r="O126" s="44"/>
      <c r="P126" s="49"/>
      <c r="Q126" s="44"/>
      <c r="R126" s="44"/>
    </row>
    <row r="127" spans="1:18" x14ac:dyDescent="0.3">
      <c r="L127" s="46" t="s">
        <v>98</v>
      </c>
      <c r="M127" s="47"/>
      <c r="O127" s="44"/>
      <c r="P127" s="46" t="s">
        <v>109</v>
      </c>
      <c r="Q127" s="47"/>
    </row>
    <row r="128" spans="1:18" x14ac:dyDescent="0.3">
      <c r="L128" t="s">
        <v>81</v>
      </c>
      <c r="N128" t="s">
        <v>85</v>
      </c>
      <c r="O128" s="44"/>
      <c r="P128" t="s">
        <v>81</v>
      </c>
      <c r="R128" t="s">
        <v>85</v>
      </c>
    </row>
    <row r="129" spans="1:22" x14ac:dyDescent="0.3">
      <c r="L129" t="s">
        <v>82</v>
      </c>
      <c r="M129">
        <f>SUM(B141,B142)</f>
        <v>1.1982004669684925</v>
      </c>
      <c r="N129">
        <f>((M129)/(M129+M130+M131))*(100)</f>
        <v>52.798958418849352</v>
      </c>
      <c r="O129" s="44"/>
      <c r="P129" t="s">
        <v>82</v>
      </c>
      <c r="Q129">
        <f>SUM(G142,G143)</f>
        <v>0.80179953303150764</v>
      </c>
      <c r="R129">
        <f>((Q129)/(Q129+Q130+Q131))*(100)</f>
        <v>29.363103841865751</v>
      </c>
    </row>
    <row r="130" spans="1:22" x14ac:dyDescent="0.3">
      <c r="L130" t="s">
        <v>83</v>
      </c>
      <c r="M130">
        <f>SUM(B139,B140)</f>
        <v>1.071163366808827</v>
      </c>
      <c r="N130">
        <f>((M130)/(M129+M130+M131))*(100)</f>
        <v>47.201041581150641</v>
      </c>
      <c r="O130" s="44"/>
      <c r="P130" t="s">
        <v>83</v>
      </c>
      <c r="Q130">
        <f>SUM(G139,G141)</f>
        <v>0.92883663319117304</v>
      </c>
      <c r="R130">
        <f>((Q130)/(Q129+Q130+Q131))*(100)</f>
        <v>34.015393360736269</v>
      </c>
    </row>
    <row r="131" spans="1:22" x14ac:dyDescent="0.3">
      <c r="L131" t="s">
        <v>84</v>
      </c>
      <c r="M131">
        <v>0</v>
      </c>
      <c r="N131">
        <f>((M131)/(M129+M130+M131))*(100)</f>
        <v>0</v>
      </c>
      <c r="P131" t="s">
        <v>84</v>
      </c>
      <c r="Q131">
        <f>SUM(G140)</f>
        <v>1</v>
      </c>
      <c r="R131">
        <f>((Q131)/(Q129+Q130+Q131))*(100)</f>
        <v>36.62150279739798</v>
      </c>
    </row>
    <row r="134" spans="1:22" x14ac:dyDescent="0.3">
      <c r="A134" t="s">
        <v>44</v>
      </c>
      <c r="E134" t="s">
        <v>47</v>
      </c>
      <c r="M134" s="22" t="s">
        <v>110</v>
      </c>
      <c r="N134" s="22"/>
      <c r="T134" s="189" t="s">
        <v>107</v>
      </c>
      <c r="U134" s="189"/>
      <c r="V134" s="7">
        <f>-((2/4)*LOG((2/4),2))-((2/4)*LOG((2/4),2))-(0)</f>
        <v>1</v>
      </c>
    </row>
    <row r="135" spans="1:22" x14ac:dyDescent="0.3">
      <c r="L135" s="7" t="s">
        <v>46</v>
      </c>
      <c r="M135" s="7" t="s">
        <v>42</v>
      </c>
      <c r="N135" s="7" t="s">
        <v>55</v>
      </c>
      <c r="O135" s="7" t="s">
        <v>43</v>
      </c>
      <c r="P135" s="7" t="s">
        <v>79</v>
      </c>
      <c r="T135" s="189" t="s">
        <v>65</v>
      </c>
      <c r="U135" s="189"/>
      <c r="V135">
        <f>(V134)-((N140)/(4)*R137)-((O140)/(4)*R138)</f>
        <v>0</v>
      </c>
    </row>
    <row r="136" spans="1:22" x14ac:dyDescent="0.3">
      <c r="L136" s="40">
        <v>1</v>
      </c>
      <c r="M136" s="2">
        <v>52</v>
      </c>
      <c r="N136" s="7">
        <f>IF(M136&lt;=$V$2,1,IF(AND($V$2&lt;M136,M136&lt;$W$2),($W$2-M136)/($W$2-$V$2),IF(M136&gt;=$W$2,0)))</f>
        <v>0</v>
      </c>
      <c r="O136" s="7">
        <f>IF(M136&lt;=$V$2,0,IF(AND($V$2&lt;M136,M136&lt;$W$2),(M136-$V$2)/($W$2-$V$2),IF(M136&gt;=$W$2,1)))</f>
        <v>1</v>
      </c>
      <c r="P136" s="40">
        <v>2</v>
      </c>
      <c r="Q136" t="s">
        <v>68</v>
      </c>
    </row>
    <row r="137" spans="1:22" x14ac:dyDescent="0.3">
      <c r="L137" s="45">
        <v>11</v>
      </c>
      <c r="M137" s="2">
        <v>35</v>
      </c>
      <c r="N137" s="7">
        <f>IF(M137&lt;=$V$2,1,IF(AND($V$2&lt;M137,M137&lt;$W$2),($W$2-M137)/($W$2-$V$2),IF(M137&gt;=$W$2,0)))</f>
        <v>1</v>
      </c>
      <c r="O137" s="7">
        <f>IF(M137&lt;=$V$2,0,IF(AND($V$2&lt;M137,M137&lt;$W$2),(M137-$V$2)/($W$2-$V$2),IF(M137&gt;=$W$2,1)))</f>
        <v>0</v>
      </c>
      <c r="P137" s="40">
        <v>2</v>
      </c>
      <c r="Q137" t="s">
        <v>55</v>
      </c>
      <c r="R137">
        <f>-((N138+N139)/(N140)*LOG((N138+N139)/(N140),2))-((N136+N137)/(N140)*LOG((N136+N137)/(N140),2))-(0)</f>
        <v>1</v>
      </c>
    </row>
    <row r="138" spans="1:22" x14ac:dyDescent="0.3">
      <c r="A138" s="7" t="s">
        <v>46</v>
      </c>
      <c r="B138" s="7" t="s">
        <v>44</v>
      </c>
      <c r="C138" s="7" t="s">
        <v>79</v>
      </c>
      <c r="F138" s="7" t="s">
        <v>46</v>
      </c>
      <c r="G138" s="7" t="s">
        <v>47</v>
      </c>
      <c r="H138" s="7" t="s">
        <v>79</v>
      </c>
      <c r="L138" s="45">
        <v>14</v>
      </c>
      <c r="M138" s="2">
        <v>54</v>
      </c>
      <c r="N138" s="7">
        <f>IF(M138&lt;=$V$2,1,IF(AND($V$2&lt;M138,M138&lt;$W$2),($W$2-M138)/($W$2-$V$2),IF(M138&gt;=$W$2,0)))</f>
        <v>0</v>
      </c>
      <c r="O138" s="7">
        <f>IF(M138&lt;=$V$2,0,IF(AND($V$2&lt;M138,M138&lt;$W$2),(M138-$V$2)/($W$2-$V$2),IF(M138&gt;=$W$2,1)))</f>
        <v>1</v>
      </c>
      <c r="P138" s="40">
        <v>1</v>
      </c>
      <c r="Q138" t="s">
        <v>43</v>
      </c>
      <c r="R138">
        <f>-((O138+O139)/(O140)*LOG((O138+O139)/(O140),2))-((O136+O137)/(O140)*LOG((O136+O137)/(O140),2))-(0)</f>
        <v>1</v>
      </c>
    </row>
    <row r="139" spans="1:22" x14ac:dyDescent="0.3">
      <c r="A139" s="40">
        <v>1</v>
      </c>
      <c r="B139" s="7">
        <v>0.21554906383089573</v>
      </c>
      <c r="C139" s="40">
        <v>2</v>
      </c>
      <c r="F139" s="40">
        <v>1</v>
      </c>
      <c r="G139" s="7">
        <v>0.78445093616910433</v>
      </c>
      <c r="H139" s="40">
        <v>2</v>
      </c>
      <c r="L139" s="45">
        <v>15</v>
      </c>
      <c r="M139" s="2">
        <v>22</v>
      </c>
      <c r="N139" s="7">
        <f>IF(M139&lt;=$V$2,1,IF(AND($V$2&lt;M139,M139&lt;$W$2),($W$2-M139)/($W$2-$V$2),IF(M139&gt;=$W$2,0)))</f>
        <v>1</v>
      </c>
      <c r="O139" s="7">
        <f>IF(M139&lt;=$V$2,0,IF(AND($V$2&lt;M139,M139&lt;$W$2),(M139-$V$2)/($W$2-$V$2),IF(M139&gt;=$W$2,1)))</f>
        <v>0</v>
      </c>
      <c r="P139" s="40">
        <v>1</v>
      </c>
    </row>
    <row r="140" spans="1:22" x14ac:dyDescent="0.3">
      <c r="A140" s="45">
        <v>11</v>
      </c>
      <c r="B140" s="7">
        <v>0.85561430297793128</v>
      </c>
      <c r="C140" s="40">
        <v>2</v>
      </c>
      <c r="F140" s="45">
        <v>7</v>
      </c>
      <c r="G140" s="7">
        <v>1</v>
      </c>
      <c r="H140" s="40">
        <v>3</v>
      </c>
      <c r="N140" s="37">
        <f>SUM(N136:N139)</f>
        <v>2</v>
      </c>
      <c r="O140" s="37">
        <f>SUM(O136:O139)</f>
        <v>2</v>
      </c>
    </row>
    <row r="141" spans="1:22" x14ac:dyDescent="0.3">
      <c r="A141" s="45">
        <v>14</v>
      </c>
      <c r="B141" s="7">
        <v>0.23479964995747776</v>
      </c>
      <c r="C141" s="40">
        <v>1</v>
      </c>
      <c r="F141" s="45">
        <v>11</v>
      </c>
      <c r="G141" s="7">
        <v>0.14438569702206869</v>
      </c>
      <c r="H141" s="40">
        <v>2</v>
      </c>
    </row>
    <row r="142" spans="1:22" x14ac:dyDescent="0.3">
      <c r="A142" s="45">
        <v>15</v>
      </c>
      <c r="B142" s="7">
        <v>0.96340081701101465</v>
      </c>
      <c r="C142" s="40">
        <v>1</v>
      </c>
      <c r="F142" s="45">
        <v>14</v>
      </c>
      <c r="G142" s="7">
        <v>0.76520035004252229</v>
      </c>
      <c r="H142" s="40">
        <v>1</v>
      </c>
    </row>
    <row r="143" spans="1:22" x14ac:dyDescent="0.3">
      <c r="F143" s="45">
        <v>15</v>
      </c>
      <c r="G143" s="7">
        <v>3.659918298898536E-2</v>
      </c>
      <c r="H143" s="40">
        <v>1</v>
      </c>
      <c r="L143" s="46" t="s">
        <v>111</v>
      </c>
      <c r="M143" s="47"/>
      <c r="P143" s="46" t="s">
        <v>112</v>
      </c>
      <c r="Q143" s="47"/>
    </row>
    <row r="144" spans="1:22" x14ac:dyDescent="0.3">
      <c r="L144" t="s">
        <v>81</v>
      </c>
      <c r="N144" t="s">
        <v>85</v>
      </c>
      <c r="P144" t="s">
        <v>81</v>
      </c>
      <c r="R144" t="s">
        <v>85</v>
      </c>
    </row>
    <row r="145" spans="3:18" x14ac:dyDescent="0.3">
      <c r="D145" s="9" t="s">
        <v>113</v>
      </c>
      <c r="L145" t="s">
        <v>82</v>
      </c>
      <c r="M145">
        <f>SUM(N138,N139)</f>
        <v>1</v>
      </c>
      <c r="N145">
        <f>((M145)/(M145+M146+M147))*(100)</f>
        <v>50</v>
      </c>
      <c r="P145" t="s">
        <v>82</v>
      </c>
      <c r="Q145">
        <f>SUM(O138,O139)</f>
        <v>1</v>
      </c>
      <c r="R145">
        <f>((Q145)/(Q145+Q146+Q147))*(100)</f>
        <v>50</v>
      </c>
    </row>
    <row r="146" spans="3:18" x14ac:dyDescent="0.3">
      <c r="L146" t="s">
        <v>83</v>
      </c>
      <c r="M146">
        <f>SUM(N136,N137)</f>
        <v>1</v>
      </c>
      <c r="N146">
        <f>((M146)/(M145+M146+M147))*(100)</f>
        <v>50</v>
      </c>
      <c r="P146" t="s">
        <v>83</v>
      </c>
      <c r="Q146">
        <f>SUM(O136,O137)</f>
        <v>1</v>
      </c>
      <c r="R146">
        <f>((Q146)/(Q145+Q146+Q147))*(100)</f>
        <v>50</v>
      </c>
    </row>
    <row r="147" spans="3:18" x14ac:dyDescent="0.3">
      <c r="L147" t="s">
        <v>84</v>
      </c>
      <c r="M147">
        <v>0</v>
      </c>
      <c r="N147">
        <f>((M147)/(M145+M146+M147))*(100)</f>
        <v>0</v>
      </c>
      <c r="P147" t="s">
        <v>84</v>
      </c>
      <c r="Q147">
        <v>0</v>
      </c>
      <c r="R147">
        <f>((Q147)/(Q145+Q146+Q147))*(100)</f>
        <v>0</v>
      </c>
    </row>
    <row r="151" spans="3:18" x14ac:dyDescent="0.3">
      <c r="C151" t="s">
        <v>80</v>
      </c>
      <c r="H151" t="s">
        <v>61</v>
      </c>
      <c r="L151" s="22" t="s">
        <v>117</v>
      </c>
      <c r="M151" s="22"/>
    </row>
    <row r="152" spans="3:18" x14ac:dyDescent="0.3">
      <c r="E152" t="s">
        <v>118</v>
      </c>
      <c r="L152" s="7" t="s">
        <v>46</v>
      </c>
      <c r="M152" s="7" t="s">
        <v>4</v>
      </c>
      <c r="N152" s="7" t="s">
        <v>55</v>
      </c>
      <c r="O152" s="7" t="s">
        <v>43</v>
      </c>
      <c r="P152" s="7" t="s">
        <v>79</v>
      </c>
    </row>
    <row r="153" spans="3:18" x14ac:dyDescent="0.3">
      <c r="L153" s="40">
        <v>1</v>
      </c>
      <c r="M153" s="2">
        <v>52</v>
      </c>
      <c r="N153" s="7">
        <v>0</v>
      </c>
      <c r="O153" s="7">
        <v>1</v>
      </c>
      <c r="P153" s="40">
        <v>2</v>
      </c>
    </row>
    <row r="154" spans="3:18" x14ac:dyDescent="0.3">
      <c r="L154" s="45">
        <v>7</v>
      </c>
      <c r="M154" s="2">
        <v>43</v>
      </c>
      <c r="N154" s="7">
        <v>0.2</v>
      </c>
      <c r="O154" s="7">
        <v>0.8</v>
      </c>
      <c r="P154" s="40">
        <v>3</v>
      </c>
    </row>
    <row r="155" spans="3:18" x14ac:dyDescent="0.3">
      <c r="L155" s="45">
        <v>11</v>
      </c>
      <c r="M155" s="2">
        <v>35</v>
      </c>
      <c r="N155" s="7">
        <v>1</v>
      </c>
      <c r="O155" s="7">
        <v>0</v>
      </c>
      <c r="P155" s="40">
        <v>2</v>
      </c>
    </row>
    <row r="156" spans="3:18" x14ac:dyDescent="0.3">
      <c r="L156" s="45">
        <v>14</v>
      </c>
      <c r="M156" s="2">
        <v>54</v>
      </c>
      <c r="N156" s="7">
        <v>0</v>
      </c>
      <c r="O156" s="7">
        <v>1</v>
      </c>
      <c r="P156" s="40">
        <v>1</v>
      </c>
    </row>
    <row r="157" spans="3:18" x14ac:dyDescent="0.3">
      <c r="L157" s="45">
        <v>15</v>
      </c>
      <c r="M157" s="2">
        <v>22</v>
      </c>
      <c r="N157" s="7">
        <v>1</v>
      </c>
      <c r="O157" s="7">
        <v>0</v>
      </c>
      <c r="P157" s="40">
        <v>1</v>
      </c>
    </row>
    <row r="158" spans="3:18" x14ac:dyDescent="0.3">
      <c r="N158">
        <f>SUM(N153:N157)</f>
        <v>2.2000000000000002</v>
      </c>
      <c r="O158">
        <f>SUM(O153:O157)</f>
        <v>2.8</v>
      </c>
    </row>
    <row r="160" spans="3:18" x14ac:dyDescent="0.3">
      <c r="L160" s="46" t="s">
        <v>111</v>
      </c>
      <c r="M160" s="47"/>
      <c r="P160" s="46" t="s">
        <v>112</v>
      </c>
      <c r="Q160" s="47"/>
    </row>
    <row r="161" spans="1:18" x14ac:dyDescent="0.3">
      <c r="A161" t="s">
        <v>103</v>
      </c>
      <c r="D161" t="s">
        <v>104</v>
      </c>
      <c r="L161" t="s">
        <v>81</v>
      </c>
      <c r="N161" t="s">
        <v>85</v>
      </c>
      <c r="P161" t="s">
        <v>81</v>
      </c>
      <c r="R161" t="s">
        <v>85</v>
      </c>
    </row>
    <row r="162" spans="1:18" x14ac:dyDescent="0.3">
      <c r="L162" t="s">
        <v>82</v>
      </c>
      <c r="M162">
        <f>SUM(O156,O157)</f>
        <v>1</v>
      </c>
      <c r="N162">
        <f>((M162)/(M162+M163+M164))*(100)</f>
        <v>45.454545454545453</v>
      </c>
      <c r="P162" t="s">
        <v>82</v>
      </c>
      <c r="Q162">
        <f>SUM(O156,O157)</f>
        <v>1</v>
      </c>
      <c r="R162">
        <f>((Q162)/(Q162+Q163+Q164))*(100)</f>
        <v>35.714285714285715</v>
      </c>
    </row>
    <row r="163" spans="1:18" x14ac:dyDescent="0.3">
      <c r="L163" t="s">
        <v>83</v>
      </c>
      <c r="M163">
        <f>SUM(N153,N155)</f>
        <v>1</v>
      </c>
      <c r="N163">
        <f>((M163)/(M162+M163+M164))*(100)</f>
        <v>45.454545454545453</v>
      </c>
      <c r="P163" t="s">
        <v>83</v>
      </c>
      <c r="Q163">
        <f>SUM(O153,O155)</f>
        <v>1</v>
      </c>
      <c r="R163">
        <f>((Q163)/(Q162+Q163+Q164))*(100)</f>
        <v>35.714285714285715</v>
      </c>
    </row>
    <row r="164" spans="1:18" x14ac:dyDescent="0.3">
      <c r="L164" t="s">
        <v>84</v>
      </c>
      <c r="M164">
        <f>SUM(N154)</f>
        <v>0.2</v>
      </c>
      <c r="N164">
        <f>((M164)/(M162+M163+M164))*(100)</f>
        <v>9.0909090909090917</v>
      </c>
      <c r="P164" t="s">
        <v>84</v>
      </c>
      <c r="Q164">
        <f>SUM(O154)</f>
        <v>0.8</v>
      </c>
      <c r="R164">
        <f>((Q164)/(Q162+Q163+Q164))*(100)</f>
        <v>28.571428571428577</v>
      </c>
    </row>
    <row r="172" spans="1:18" x14ac:dyDescent="0.3">
      <c r="A172" t="s">
        <v>86</v>
      </c>
      <c r="E172" t="s">
        <v>114</v>
      </c>
    </row>
    <row r="181" spans="1:15" x14ac:dyDescent="0.3">
      <c r="E181" t="s">
        <v>115</v>
      </c>
      <c r="H181" t="s">
        <v>116</v>
      </c>
    </row>
    <row r="182" spans="1:15" x14ac:dyDescent="0.3">
      <c r="A182" t="s">
        <v>115</v>
      </c>
      <c r="D182" t="s">
        <v>116</v>
      </c>
    </row>
    <row r="186" spans="1:15" x14ac:dyDescent="0.3">
      <c r="F186" s="7" t="s">
        <v>46</v>
      </c>
      <c r="G186" s="7" t="s">
        <v>4</v>
      </c>
      <c r="H186" s="7" t="s">
        <v>55</v>
      </c>
      <c r="I186" s="7" t="s">
        <v>79</v>
      </c>
      <c r="L186" s="7" t="s">
        <v>46</v>
      </c>
      <c r="M186" s="7" t="s">
        <v>4</v>
      </c>
      <c r="N186" s="7" t="s">
        <v>55</v>
      </c>
      <c r="O186" s="7" t="s">
        <v>79</v>
      </c>
    </row>
    <row r="187" spans="1:15" x14ac:dyDescent="0.3">
      <c r="F187" s="45">
        <v>7</v>
      </c>
      <c r="G187" s="2">
        <v>43</v>
      </c>
      <c r="H187" s="7">
        <v>0.2</v>
      </c>
      <c r="I187" s="40">
        <v>3</v>
      </c>
      <c r="L187" s="40">
        <v>1</v>
      </c>
      <c r="M187" s="2">
        <v>52</v>
      </c>
      <c r="N187" s="7">
        <v>1</v>
      </c>
      <c r="O187" s="40">
        <v>2</v>
      </c>
    </row>
    <row r="188" spans="1:15" x14ac:dyDescent="0.3">
      <c r="F188" s="45">
        <v>11</v>
      </c>
      <c r="G188" s="2">
        <v>35</v>
      </c>
      <c r="H188" s="7">
        <v>1</v>
      </c>
      <c r="I188" s="40">
        <v>2</v>
      </c>
      <c r="L188" s="45">
        <v>7</v>
      </c>
      <c r="M188" s="2">
        <v>43</v>
      </c>
      <c r="N188" s="7">
        <v>0.8</v>
      </c>
      <c r="O188" s="40">
        <v>3</v>
      </c>
    </row>
    <row r="189" spans="1:15" x14ac:dyDescent="0.3">
      <c r="F189" s="45">
        <v>15</v>
      </c>
      <c r="G189" s="2">
        <v>22</v>
      </c>
      <c r="H189" s="7">
        <v>1</v>
      </c>
      <c r="I189" s="40">
        <v>1</v>
      </c>
      <c r="L189" s="45">
        <v>14</v>
      </c>
      <c r="M189" s="2">
        <v>54</v>
      </c>
      <c r="N189" s="7">
        <v>1</v>
      </c>
      <c r="O189" s="40">
        <v>1</v>
      </c>
    </row>
    <row r="191" spans="1:15" x14ac:dyDescent="0.3">
      <c r="E191" s="9" t="s">
        <v>119</v>
      </c>
    </row>
    <row r="202" spans="2:8" x14ac:dyDescent="0.3">
      <c r="B202" t="s">
        <v>86</v>
      </c>
      <c r="E202" t="s">
        <v>120</v>
      </c>
      <c r="H202" t="s">
        <v>121</v>
      </c>
    </row>
    <row r="211" spans="1:24" x14ac:dyDescent="0.3">
      <c r="A211" t="s">
        <v>103</v>
      </c>
      <c r="D211" t="s">
        <v>104</v>
      </c>
    </row>
    <row r="216" spans="1:24" x14ac:dyDescent="0.3">
      <c r="M216" s="22" t="s">
        <v>122</v>
      </c>
      <c r="N216" s="22"/>
    </row>
    <row r="217" spans="1:24" x14ac:dyDescent="0.3">
      <c r="L217" s="7" t="s">
        <v>46</v>
      </c>
      <c r="M217" s="7" t="s">
        <v>10</v>
      </c>
      <c r="N217" s="7" t="s">
        <v>44</v>
      </c>
      <c r="O217" s="7" t="s">
        <v>47</v>
      </c>
      <c r="P217" s="7" t="s">
        <v>79</v>
      </c>
      <c r="U217" s="189" t="s">
        <v>107</v>
      </c>
      <c r="V217" s="189"/>
      <c r="W217" s="7">
        <f>-((5/10)*LOG((5/10),2))-((4/10)*LOG((4/10),2))-((1/10)*LOG((1/10),2))</f>
        <v>1.3609640474436813</v>
      </c>
    </row>
    <row r="218" spans="1:24" x14ac:dyDescent="0.3">
      <c r="L218" s="40">
        <v>1</v>
      </c>
      <c r="M218" s="7">
        <f>H4/(G4*G4)</f>
        <v>23.598931085099178</v>
      </c>
      <c r="N218" s="7">
        <f>IF(U56&lt;=$V$54,1,IF(AND($V$54&lt;U56,U56&lt;$W$54),($W$54-U56)/($W$54-$V$54),IF(U56&gt;=$W$54,0)))</f>
        <v>0.21554906383089573</v>
      </c>
      <c r="O218" s="7">
        <v>0.78445093616910433</v>
      </c>
      <c r="P218" s="40">
        <v>2</v>
      </c>
      <c r="Q218" t="s">
        <v>69</v>
      </c>
      <c r="U218" s="189" t="s">
        <v>65</v>
      </c>
      <c r="V218" s="189"/>
      <c r="W218" s="7">
        <f>(W217)-((N242)/(10)*R233)-((O242)/(10)*R234)</f>
        <v>7.4780188374736212E-2</v>
      </c>
      <c r="X218" t="s">
        <v>123</v>
      </c>
    </row>
    <row r="219" spans="1:24" x14ac:dyDescent="0.3">
      <c r="L219" s="40">
        <v>3</v>
      </c>
      <c r="M219" s="7">
        <f>H6/(G6*G6)</f>
        <v>26.840928029472394</v>
      </c>
      <c r="N219" s="7">
        <v>0</v>
      </c>
      <c r="O219" s="7">
        <v>1</v>
      </c>
      <c r="P219" s="40">
        <v>1</v>
      </c>
      <c r="Q219" t="s">
        <v>55</v>
      </c>
      <c r="R219">
        <f>-((N219+N220+N221+N226+N227)/(N228)*LOG((N219+N220+N221+N226+N227)/(N228),2))-((N218+N222+N224+N225)/(N228)*LOG((N218+N222+N224+N225)/(N228),2))-(0)</f>
        <v>0.98622800795878485</v>
      </c>
      <c r="U219" s="189" t="s">
        <v>67</v>
      </c>
      <c r="V219" s="189"/>
      <c r="W219" s="7">
        <f>(W217)-((N228)/(10)*R219)-((O228)/(10)*R220)</f>
        <v>4.3988412316771086E-2</v>
      </c>
    </row>
    <row r="220" spans="1:24" x14ac:dyDescent="0.3">
      <c r="F220" t="s">
        <v>55</v>
      </c>
      <c r="I220" t="s">
        <v>43</v>
      </c>
      <c r="L220" s="40">
        <v>4</v>
      </c>
      <c r="M220" s="7">
        <f>H7/(G7*G7)</f>
        <v>32.456398197138938</v>
      </c>
      <c r="N220" s="7">
        <v>0</v>
      </c>
      <c r="O220" s="7">
        <v>1</v>
      </c>
      <c r="P220" s="40">
        <v>1</v>
      </c>
      <c r="Q220" t="s">
        <v>43</v>
      </c>
      <c r="R220">
        <f>-((O219+O220+O221+O226+O227)/(O228)*LOG((O219+O220+O221+O226+O227)/(O228),2))-((O218+O222+O224+O225)/(O228)*LOG((O218+O222+O224+O225)/(O228),2))-((O223)/(O228)*LOG((O223)/(O228),2))</f>
        <v>1.4263542259076103</v>
      </c>
    </row>
    <row r="221" spans="1:24" x14ac:dyDescent="0.3">
      <c r="L221" s="45">
        <v>5</v>
      </c>
      <c r="M221" s="7">
        <f>H8/(G8*G8)</f>
        <v>23.59729780446613</v>
      </c>
      <c r="N221" s="7">
        <v>0.21580033777444149</v>
      </c>
      <c r="O221" s="7">
        <v>0.78419966222555848</v>
      </c>
      <c r="P221" s="40">
        <v>1</v>
      </c>
    </row>
    <row r="222" spans="1:24" ht="15" thickBot="1" x14ac:dyDescent="0.35">
      <c r="A222" t="s">
        <v>86</v>
      </c>
      <c r="C222" t="s">
        <v>70</v>
      </c>
      <c r="L222" s="45">
        <v>6</v>
      </c>
      <c r="M222" s="7">
        <f>H9/(G9*G9)</f>
        <v>31.301350186727948</v>
      </c>
      <c r="N222" s="7">
        <v>0</v>
      </c>
      <c r="O222" s="7">
        <v>1</v>
      </c>
      <c r="P222" s="40">
        <v>2</v>
      </c>
    </row>
    <row r="223" spans="1:24" ht="15.6" thickTop="1" thickBot="1" x14ac:dyDescent="0.35">
      <c r="E223" s="7" t="s">
        <v>46</v>
      </c>
      <c r="F223" s="7" t="s">
        <v>92</v>
      </c>
      <c r="G223" s="7" t="s">
        <v>79</v>
      </c>
      <c r="I223" s="65" t="s">
        <v>46</v>
      </c>
      <c r="J223" s="65" t="s">
        <v>93</v>
      </c>
      <c r="K223" s="65" t="s">
        <v>79</v>
      </c>
      <c r="L223" s="52">
        <v>7</v>
      </c>
      <c r="M223" s="7">
        <f>H10/(G10*G10)</f>
        <v>26.134122287968442</v>
      </c>
      <c r="N223" s="7">
        <v>0</v>
      </c>
      <c r="O223" s="7">
        <v>1</v>
      </c>
      <c r="P223" s="40">
        <v>3</v>
      </c>
    </row>
    <row r="224" spans="1:24" ht="15.6" thickTop="1" thickBot="1" x14ac:dyDescent="0.35">
      <c r="E224" s="40">
        <v>4</v>
      </c>
      <c r="F224" s="7">
        <v>0.7</v>
      </c>
      <c r="G224" s="40">
        <v>1</v>
      </c>
      <c r="I224" s="55">
        <v>1</v>
      </c>
      <c r="J224" s="54">
        <v>1</v>
      </c>
      <c r="K224" s="53">
        <v>2</v>
      </c>
      <c r="L224" s="51">
        <v>11</v>
      </c>
      <c r="M224" s="7">
        <f>H14/(G14*G14)</f>
        <v>19.438507030643446</v>
      </c>
      <c r="N224" s="7">
        <v>0.85561430297793128</v>
      </c>
      <c r="O224" s="7">
        <v>0.14438569702206869</v>
      </c>
      <c r="P224" s="40">
        <v>2</v>
      </c>
    </row>
    <row r="225" spans="1:24" ht="15.6" thickTop="1" thickBot="1" x14ac:dyDescent="0.35">
      <c r="E225" s="45">
        <v>5</v>
      </c>
      <c r="F225" s="7">
        <v>0.9</v>
      </c>
      <c r="G225" s="40">
        <v>1</v>
      </c>
      <c r="I225" s="56">
        <v>3</v>
      </c>
      <c r="J225" s="57">
        <v>1</v>
      </c>
      <c r="K225" s="58">
        <v>1</v>
      </c>
      <c r="L225" s="52">
        <v>12</v>
      </c>
      <c r="M225" s="7">
        <f>H15/(G15*G15)</f>
        <v>29.453124999999996</v>
      </c>
      <c r="N225" s="7">
        <v>0</v>
      </c>
      <c r="O225" s="7">
        <v>1</v>
      </c>
      <c r="P225" s="40">
        <v>2</v>
      </c>
    </row>
    <row r="226" spans="1:24" ht="15.6" thickTop="1" thickBot="1" x14ac:dyDescent="0.35">
      <c r="E226" s="45">
        <v>6</v>
      </c>
      <c r="F226" s="7">
        <v>1</v>
      </c>
      <c r="G226" s="40">
        <v>2</v>
      </c>
      <c r="I226" s="59">
        <v>4</v>
      </c>
      <c r="J226" s="11">
        <v>0.3</v>
      </c>
      <c r="K226" s="60">
        <v>1</v>
      </c>
      <c r="L226" s="52">
        <v>14</v>
      </c>
      <c r="M226" s="7">
        <f>H17/(G17*G17)</f>
        <v>23.473802275276395</v>
      </c>
      <c r="N226" s="7">
        <v>0.23479964995747776</v>
      </c>
      <c r="O226" s="7">
        <v>0.76520035004252229</v>
      </c>
      <c r="P226" s="40">
        <v>1</v>
      </c>
    </row>
    <row r="227" spans="1:24" ht="15.6" thickTop="1" thickBot="1" x14ac:dyDescent="0.35">
      <c r="E227" s="45">
        <v>7</v>
      </c>
      <c r="F227" s="7">
        <v>0.2</v>
      </c>
      <c r="G227" s="40">
        <v>3</v>
      </c>
      <c r="I227" s="61">
        <v>5</v>
      </c>
      <c r="J227" s="57">
        <v>0.1</v>
      </c>
      <c r="K227" s="58">
        <v>1</v>
      </c>
      <c r="L227" s="52">
        <v>15</v>
      </c>
      <c r="M227" s="7">
        <f>H18/(G18*G18)</f>
        <v>18.737894689428405</v>
      </c>
      <c r="N227" s="7">
        <v>0.96340081701101465</v>
      </c>
      <c r="O227" s="7">
        <v>3.659918298898536E-2</v>
      </c>
      <c r="P227" s="40">
        <v>1</v>
      </c>
    </row>
    <row r="228" spans="1:24" ht="15.6" thickTop="1" thickBot="1" x14ac:dyDescent="0.35">
      <c r="E228" s="45">
        <v>11</v>
      </c>
      <c r="F228" s="7">
        <v>1</v>
      </c>
      <c r="G228" s="40">
        <v>2</v>
      </c>
      <c r="I228" s="61">
        <v>7</v>
      </c>
      <c r="J228" s="57">
        <v>0.8</v>
      </c>
      <c r="K228" s="58">
        <v>3</v>
      </c>
      <c r="N228" s="7">
        <f>SUM(N218:N227)</f>
        <v>2.4851641715517609</v>
      </c>
      <c r="O228" s="7">
        <f>SUM(O218:O227)</f>
        <v>7.5148358284482395</v>
      </c>
    </row>
    <row r="229" spans="1:24" ht="15.6" thickTop="1" thickBot="1" x14ac:dyDescent="0.35">
      <c r="E229" s="45">
        <v>12</v>
      </c>
      <c r="F229" s="7">
        <v>0.9</v>
      </c>
      <c r="G229" s="40">
        <v>2</v>
      </c>
      <c r="I229" s="61">
        <v>12</v>
      </c>
      <c r="J229" s="57">
        <v>0.1</v>
      </c>
      <c r="K229" s="58">
        <v>2</v>
      </c>
    </row>
    <row r="230" spans="1:24" ht="15.6" thickTop="1" thickBot="1" x14ac:dyDescent="0.35">
      <c r="E230" s="45">
        <v>15</v>
      </c>
      <c r="F230" s="7">
        <v>1</v>
      </c>
      <c r="G230" s="40">
        <v>1</v>
      </c>
      <c r="I230" s="62">
        <v>14</v>
      </c>
      <c r="J230" s="63">
        <v>1</v>
      </c>
      <c r="K230" s="64">
        <v>1</v>
      </c>
    </row>
    <row r="231" spans="1:24" ht="15" thickTop="1" x14ac:dyDescent="0.3">
      <c r="L231" s="7" t="s">
        <v>46</v>
      </c>
      <c r="M231" s="7" t="s">
        <v>42</v>
      </c>
      <c r="N231" s="7" t="s">
        <v>55</v>
      </c>
      <c r="O231" s="7" t="s">
        <v>43</v>
      </c>
      <c r="P231" s="7" t="s">
        <v>79</v>
      </c>
    </row>
    <row r="232" spans="1:24" x14ac:dyDescent="0.3">
      <c r="L232" s="40">
        <v>1</v>
      </c>
      <c r="M232" s="2">
        <v>52</v>
      </c>
      <c r="N232" s="7">
        <v>0</v>
      </c>
      <c r="O232" s="7">
        <v>1</v>
      </c>
      <c r="P232" s="40">
        <v>2</v>
      </c>
      <c r="Q232" t="s">
        <v>68</v>
      </c>
    </row>
    <row r="233" spans="1:24" x14ac:dyDescent="0.3">
      <c r="A233" t="s">
        <v>115</v>
      </c>
      <c r="D233" t="s">
        <v>116</v>
      </c>
      <c r="L233" s="40">
        <v>3</v>
      </c>
      <c r="M233" s="2">
        <v>56</v>
      </c>
      <c r="N233" s="7">
        <v>0</v>
      </c>
      <c r="O233" s="7">
        <v>1</v>
      </c>
      <c r="P233" s="40">
        <v>1</v>
      </c>
      <c r="Q233" t="s">
        <v>55</v>
      </c>
      <c r="R233">
        <f>-((N233+N234+N235+N240+N241)/(N242)*LOG((N233+N234+N235+N240+N241)/(N242),2))-((N232+N236+N238+N239)/(N242)*LOG((N232+N236+N238+N239)/(N242),2))-((N237)/(N242)*LOG((N237)/(N242),2))</f>
        <v>1.1821377066144261</v>
      </c>
    </row>
    <row r="234" spans="1:24" x14ac:dyDescent="0.3">
      <c r="L234" s="40">
        <v>4</v>
      </c>
      <c r="M234" s="2">
        <v>38</v>
      </c>
      <c r="N234" s="7">
        <v>0.7</v>
      </c>
      <c r="O234" s="7">
        <v>0.3</v>
      </c>
      <c r="P234" s="40">
        <v>1</v>
      </c>
      <c r="Q234" t="s">
        <v>43</v>
      </c>
      <c r="R234">
        <f>-((O233+O234+O235+O240+O241)/(O242)*LOG((O233+O234+O235+O240+O241)/(O242),2))-((O232+O236+O238+O239)/(O242)*LOG((O232+O236+O238+O239)/(O242),2))-((O237)/(O242)*LOG((O237)/(O242),2))</f>
        <v>1.4241055030202836</v>
      </c>
    </row>
    <row r="235" spans="1:24" x14ac:dyDescent="0.3">
      <c r="L235" s="45">
        <v>5</v>
      </c>
      <c r="M235" s="2">
        <v>36</v>
      </c>
      <c r="N235" s="7">
        <v>0.9</v>
      </c>
      <c r="O235" s="7">
        <v>0.1</v>
      </c>
      <c r="P235" s="40">
        <v>1</v>
      </c>
    </row>
    <row r="236" spans="1:24" x14ac:dyDescent="0.3">
      <c r="L236" s="45">
        <v>6</v>
      </c>
      <c r="M236" s="2">
        <v>31</v>
      </c>
      <c r="N236" s="7">
        <v>1</v>
      </c>
      <c r="O236" s="7">
        <v>0</v>
      </c>
      <c r="P236" s="40">
        <v>2</v>
      </c>
    </row>
    <row r="237" spans="1:24" x14ac:dyDescent="0.3">
      <c r="L237" s="45">
        <v>7</v>
      </c>
      <c r="M237" s="2">
        <v>43</v>
      </c>
      <c r="N237" s="7">
        <v>0.2</v>
      </c>
      <c r="O237" s="7">
        <v>0.8</v>
      </c>
      <c r="P237" s="40">
        <v>3</v>
      </c>
      <c r="R237" s="46" t="s">
        <v>111</v>
      </c>
      <c r="S237" s="47"/>
      <c r="V237" s="46" t="s">
        <v>112</v>
      </c>
      <c r="W237" s="47"/>
    </row>
    <row r="238" spans="1:24" x14ac:dyDescent="0.3">
      <c r="L238" s="45">
        <v>11</v>
      </c>
      <c r="M238" s="2">
        <v>35</v>
      </c>
      <c r="N238" s="7">
        <v>1</v>
      </c>
      <c r="O238" s="7">
        <v>0</v>
      </c>
      <c r="P238" s="40">
        <v>2</v>
      </c>
      <c r="R238" t="s">
        <v>81</v>
      </c>
      <c r="T238" t="s">
        <v>85</v>
      </c>
      <c r="V238" t="s">
        <v>81</v>
      </c>
      <c r="X238" t="s">
        <v>85</v>
      </c>
    </row>
    <row r="239" spans="1:24" x14ac:dyDescent="0.3">
      <c r="L239" s="45">
        <v>12</v>
      </c>
      <c r="M239" s="2">
        <v>36</v>
      </c>
      <c r="N239" s="7">
        <v>0.9</v>
      </c>
      <c r="O239" s="7">
        <v>0.1</v>
      </c>
      <c r="P239" s="40">
        <v>2</v>
      </c>
      <c r="R239" t="s">
        <v>82</v>
      </c>
      <c r="S239">
        <f>SUM(G224,G225,G230)</f>
        <v>3</v>
      </c>
      <c r="T239">
        <f>((S239)/(S239+S240+S241))*(100)</f>
        <v>49.180327868852451</v>
      </c>
      <c r="V239" t="s">
        <v>82</v>
      </c>
      <c r="W239">
        <f>SUM(J225,J226,J227,J230)</f>
        <v>2.4000000000000004</v>
      </c>
      <c r="X239">
        <f>((W239)/(W239+W240+W241))*(100)</f>
        <v>55.813953488372093</v>
      </c>
    </row>
    <row r="240" spans="1:24" x14ac:dyDescent="0.3">
      <c r="L240" s="45">
        <v>14</v>
      </c>
      <c r="M240" s="2">
        <v>54</v>
      </c>
      <c r="N240" s="7">
        <v>0</v>
      </c>
      <c r="O240" s="7">
        <v>1</v>
      </c>
      <c r="P240" s="40">
        <v>1</v>
      </c>
      <c r="R240" t="s">
        <v>83</v>
      </c>
      <c r="S240">
        <f>SUM(F226,F228,F229)</f>
        <v>2.9</v>
      </c>
      <c r="T240">
        <f>((S240)/(S239+S240+S241))*(100)</f>
        <v>47.540983606557369</v>
      </c>
      <c r="V240" t="s">
        <v>83</v>
      </c>
      <c r="W240">
        <f>SUM(J224,J229)</f>
        <v>1.1000000000000001</v>
      </c>
      <c r="X240">
        <f>((W240)/(W239+W240+W241))*(100)</f>
        <v>25.581395348837205</v>
      </c>
    </row>
    <row r="241" spans="6:24" x14ac:dyDescent="0.3">
      <c r="L241" s="45">
        <v>15</v>
      </c>
      <c r="M241" s="2">
        <v>22</v>
      </c>
      <c r="N241" s="7">
        <v>1</v>
      </c>
      <c r="O241" s="7">
        <v>0</v>
      </c>
      <c r="P241" s="40">
        <v>1</v>
      </c>
      <c r="R241" t="s">
        <v>84</v>
      </c>
      <c r="S241">
        <f>SUM(F227)</f>
        <v>0.2</v>
      </c>
      <c r="T241">
        <f>((S241)/(S239+S240+S241))*(100)</f>
        <v>3.278688524590164</v>
      </c>
      <c r="V241" t="s">
        <v>84</v>
      </c>
      <c r="W241">
        <f>SUM(J228)</f>
        <v>0.8</v>
      </c>
      <c r="X241">
        <f>((W241)/(W239+W240+W241))*(100)</f>
        <v>18.604651162790695</v>
      </c>
    </row>
    <row r="242" spans="6:24" x14ac:dyDescent="0.3">
      <c r="N242">
        <f>SUM(N232:N241)</f>
        <v>5.7</v>
      </c>
      <c r="O242">
        <f>SUM(O232:O241)</f>
        <v>4.3000000000000007</v>
      </c>
    </row>
    <row r="248" spans="6:24" x14ac:dyDescent="0.3">
      <c r="I248" t="s">
        <v>116</v>
      </c>
    </row>
    <row r="249" spans="6:24" x14ac:dyDescent="0.3">
      <c r="F249" t="s">
        <v>115</v>
      </c>
    </row>
    <row r="277" spans="1:28" ht="15" thickBot="1" x14ac:dyDescent="0.35"/>
    <row r="278" spans="1:28" ht="15.6" thickTop="1" thickBot="1" x14ac:dyDescent="0.35">
      <c r="A278" s="65" t="s">
        <v>46</v>
      </c>
      <c r="B278" s="65" t="s">
        <v>10</v>
      </c>
      <c r="C278" s="65" t="s">
        <v>44</v>
      </c>
      <c r="D278" s="65" t="s">
        <v>47</v>
      </c>
      <c r="E278" s="65" t="s">
        <v>79</v>
      </c>
      <c r="H278" s="194" t="s">
        <v>124</v>
      </c>
      <c r="I278" s="194"/>
      <c r="J278" s="194"/>
      <c r="K278">
        <f>-((3/7)*LOG((3/7),2))-((3/7)*LOG((3/7),2))-((1/7)*LOG((1/7),2))</f>
        <v>1.4488156357251847</v>
      </c>
    </row>
    <row r="279" spans="1:28" ht="15.6" thickTop="1" thickBot="1" x14ac:dyDescent="0.35">
      <c r="A279" s="56">
        <v>4</v>
      </c>
      <c r="B279" s="65">
        <f>H7/(G7*G7)</f>
        <v>32.456398197138938</v>
      </c>
      <c r="C279" s="65">
        <v>0</v>
      </c>
      <c r="D279" s="65">
        <v>1</v>
      </c>
      <c r="E279" s="56">
        <v>1</v>
      </c>
      <c r="H279" s="194" t="s">
        <v>67</v>
      </c>
      <c r="I279" s="194"/>
      <c r="J279" s="194"/>
      <c r="K279">
        <f>(K278)-((C286)/(7)*C289)-((D286)/(7)*C290)</f>
        <v>8.5666895808018451E-2</v>
      </c>
    </row>
    <row r="280" spans="1:28" ht="15.6" thickTop="1" thickBot="1" x14ac:dyDescent="0.35">
      <c r="A280" s="61">
        <v>5</v>
      </c>
      <c r="B280" s="65">
        <f>H8/(G8*G8)</f>
        <v>23.59729780446613</v>
      </c>
      <c r="C280" s="65">
        <v>0.21580033777444149</v>
      </c>
      <c r="D280" s="65">
        <v>0.78419966222555848</v>
      </c>
      <c r="E280" s="56">
        <v>1</v>
      </c>
    </row>
    <row r="281" spans="1:28" ht="15.6" thickTop="1" thickBot="1" x14ac:dyDescent="0.35">
      <c r="A281" s="61">
        <v>6</v>
      </c>
      <c r="B281" s="65">
        <f>H9/(G9*G9)</f>
        <v>31.301350186727948</v>
      </c>
      <c r="C281" s="65">
        <v>0</v>
      </c>
      <c r="D281" s="65">
        <v>1</v>
      </c>
      <c r="E281" s="56">
        <v>2</v>
      </c>
    </row>
    <row r="282" spans="1:28" ht="15.6" thickTop="1" thickBot="1" x14ac:dyDescent="0.35">
      <c r="A282" s="61">
        <v>7</v>
      </c>
      <c r="B282" s="65">
        <f>H10/(G10*G10)</f>
        <v>26.134122287968442</v>
      </c>
      <c r="C282" s="65">
        <v>0</v>
      </c>
      <c r="D282" s="65">
        <v>1</v>
      </c>
      <c r="E282" s="56">
        <v>3</v>
      </c>
    </row>
    <row r="283" spans="1:28" ht="15.6" thickTop="1" thickBot="1" x14ac:dyDescent="0.35">
      <c r="A283" s="61">
        <v>11</v>
      </c>
      <c r="B283" s="65">
        <f>H14/(G14*G14)</f>
        <v>19.438507030643446</v>
      </c>
      <c r="C283" s="65">
        <v>0.85561430297793128</v>
      </c>
      <c r="D283" s="65">
        <v>0.14438569702206869</v>
      </c>
      <c r="E283" s="56">
        <v>2</v>
      </c>
    </row>
    <row r="284" spans="1:28" ht="15.6" thickTop="1" thickBot="1" x14ac:dyDescent="0.35">
      <c r="A284" s="61">
        <v>12</v>
      </c>
      <c r="B284" s="65">
        <f>H15/(G15*G15)</f>
        <v>29.453124999999996</v>
      </c>
      <c r="C284" s="65">
        <v>0</v>
      </c>
      <c r="D284" s="65">
        <v>1</v>
      </c>
      <c r="E284" s="56">
        <v>2</v>
      </c>
    </row>
    <row r="285" spans="1:28" ht="15.6" thickTop="1" thickBot="1" x14ac:dyDescent="0.35">
      <c r="A285" s="61">
        <v>15</v>
      </c>
      <c r="B285" s="65">
        <f>H18/(G18*G18)</f>
        <v>18.737894689428405</v>
      </c>
      <c r="C285" s="65">
        <v>0.96340081701101465</v>
      </c>
      <c r="D285" s="65">
        <v>3.659918298898536E-2</v>
      </c>
      <c r="E285" s="56">
        <v>1</v>
      </c>
    </row>
    <row r="286" spans="1:28" ht="15" thickTop="1" x14ac:dyDescent="0.3">
      <c r="C286">
        <f>SUM(C279:C285)</f>
        <v>2.0348154577633872</v>
      </c>
      <c r="D286">
        <f>SUM(D279:D285)</f>
        <v>4.9651845422366128</v>
      </c>
    </row>
    <row r="287" spans="1:28" ht="15" thickBot="1" x14ac:dyDescent="0.35"/>
    <row r="288" spans="1:28" ht="15.6" thickTop="1" thickBot="1" x14ac:dyDescent="0.35">
      <c r="B288" t="s">
        <v>68</v>
      </c>
      <c r="V288" s="65" t="s">
        <v>46</v>
      </c>
      <c r="W288" s="65" t="s">
        <v>92</v>
      </c>
      <c r="X288" s="65" t="s">
        <v>79</v>
      </c>
      <c r="Z288" s="65" t="s">
        <v>46</v>
      </c>
      <c r="AA288" s="65" t="s">
        <v>125</v>
      </c>
      <c r="AB288" s="65" t="s">
        <v>79</v>
      </c>
    </row>
    <row r="289" spans="2:28" ht="15.6" thickTop="1" thickBot="1" x14ac:dyDescent="0.35">
      <c r="B289" t="s">
        <v>55</v>
      </c>
      <c r="C289">
        <f>-((C279+C280+C285)/(C286)*LOG((C279+C280+C285)/(C286),2))-((C281+C283+C284)/(C286)*LOG((C281+C283+C284)/(C286),2))-(0)</f>
        <v>0.98168016555098236</v>
      </c>
      <c r="V289" s="61">
        <v>5</v>
      </c>
      <c r="W289" s="65">
        <v>0.21580033777444149</v>
      </c>
      <c r="X289" s="56">
        <v>1</v>
      </c>
      <c r="Z289" s="56">
        <v>4</v>
      </c>
      <c r="AA289" s="65">
        <v>1</v>
      </c>
      <c r="AB289" s="56">
        <v>1</v>
      </c>
    </row>
    <row r="290" spans="2:28" ht="15.6" thickTop="1" thickBot="1" x14ac:dyDescent="0.35">
      <c r="B290" t="s">
        <v>43</v>
      </c>
      <c r="C290">
        <f>-((D279+D280+D285)/(D286)*LOG((D279+D280+D285)/(D286),2))-((D281+D283+D284)/(D286)*LOG((D281+D283+D284)/(D286),2))-((D282)/(D286)*LOG((D282)/(D286),2))</f>
        <v>1.5194809255929111</v>
      </c>
      <c r="V290" s="61">
        <v>11</v>
      </c>
      <c r="W290" s="65">
        <v>0.85561430297793128</v>
      </c>
      <c r="X290" s="56">
        <v>2</v>
      </c>
      <c r="Z290" s="61">
        <v>5</v>
      </c>
      <c r="AA290" s="65">
        <v>0.78419966222555848</v>
      </c>
      <c r="AB290" s="56">
        <v>1</v>
      </c>
    </row>
    <row r="291" spans="2:28" ht="15.6" thickTop="1" thickBot="1" x14ac:dyDescent="0.35">
      <c r="V291" s="61">
        <v>15</v>
      </c>
      <c r="W291" s="65">
        <v>0.96340081701101465</v>
      </c>
      <c r="X291" s="56">
        <v>1</v>
      </c>
      <c r="Z291" s="61">
        <v>6</v>
      </c>
      <c r="AA291" s="65">
        <v>1</v>
      </c>
      <c r="AB291" s="56">
        <v>2</v>
      </c>
    </row>
    <row r="292" spans="2:28" ht="15.6" thickTop="1" thickBot="1" x14ac:dyDescent="0.35">
      <c r="B292" s="46" t="s">
        <v>111</v>
      </c>
      <c r="C292" s="47"/>
      <c r="F292" s="46" t="s">
        <v>112</v>
      </c>
      <c r="G292" s="47"/>
      <c r="Z292" s="61">
        <v>7</v>
      </c>
      <c r="AA292" s="65">
        <v>1</v>
      </c>
      <c r="AB292" s="56">
        <v>3</v>
      </c>
    </row>
    <row r="293" spans="2:28" ht="15.6" thickTop="1" thickBot="1" x14ac:dyDescent="0.35">
      <c r="B293" t="s">
        <v>81</v>
      </c>
      <c r="D293" t="s">
        <v>85</v>
      </c>
      <c r="F293" t="s">
        <v>81</v>
      </c>
      <c r="H293" t="s">
        <v>85</v>
      </c>
      <c r="Z293" s="61">
        <v>11</v>
      </c>
      <c r="AA293" s="65">
        <v>0.14438569702206869</v>
      </c>
      <c r="AB293" s="56">
        <v>2</v>
      </c>
    </row>
    <row r="294" spans="2:28" ht="15.6" thickTop="1" thickBot="1" x14ac:dyDescent="0.35">
      <c r="B294" t="s">
        <v>82</v>
      </c>
      <c r="C294">
        <f>SUM(W289,W291)</f>
        <v>1.1792011547854562</v>
      </c>
      <c r="D294">
        <f>((C294)/(C294+C295+C296))*(100)</f>
        <v>57.951257952482891</v>
      </c>
      <c r="F294" t="s">
        <v>82</v>
      </c>
      <c r="G294">
        <f>SUM(AA289,AA290,AA295)</f>
        <v>1.8207988452145438</v>
      </c>
      <c r="H294">
        <f>((G294)/(G294+G295+G296))*(100)</f>
        <v>36.671322681479793</v>
      </c>
      <c r="Z294" s="61">
        <v>12</v>
      </c>
      <c r="AA294" s="65">
        <v>1</v>
      </c>
      <c r="AB294" s="56">
        <v>2</v>
      </c>
    </row>
    <row r="295" spans="2:28" ht="15.6" thickTop="1" thickBot="1" x14ac:dyDescent="0.35">
      <c r="B295" t="s">
        <v>83</v>
      </c>
      <c r="C295">
        <f>SUM(W290)</f>
        <v>0.85561430297793128</v>
      </c>
      <c r="D295">
        <f>((C295)/(C294+C295+C296))*(100)</f>
        <v>42.048742047517116</v>
      </c>
      <c r="F295" t="s">
        <v>83</v>
      </c>
      <c r="G295">
        <f>SUM(AA291,AA293,AA294)</f>
        <v>2.1443856970220687</v>
      </c>
      <c r="H295">
        <f>((G295)/(G294+G295+G296))*(100)</f>
        <v>43.188438995182047</v>
      </c>
      <c r="Z295" s="61">
        <v>15</v>
      </c>
      <c r="AA295" s="65">
        <v>3.659918298898536E-2</v>
      </c>
      <c r="AB295" s="56">
        <v>1</v>
      </c>
    </row>
    <row r="296" spans="2:28" ht="15" thickTop="1" x14ac:dyDescent="0.3">
      <c r="B296" t="s">
        <v>84</v>
      </c>
      <c r="C296">
        <v>0</v>
      </c>
      <c r="D296">
        <f>((C296)/(C294+C295+C296))*(100)</f>
        <v>0</v>
      </c>
      <c r="F296" t="s">
        <v>84</v>
      </c>
      <c r="G296">
        <f>SUM(AA292)</f>
        <v>1</v>
      </c>
      <c r="H296">
        <f>((G296)/(G294+G295+G296))*(100)</f>
        <v>20.140238323338146</v>
      </c>
    </row>
    <row r="310" spans="2:11" ht="15" thickBot="1" x14ac:dyDescent="0.35"/>
    <row r="311" spans="2:11" ht="15.6" thickTop="1" thickBot="1" x14ac:dyDescent="0.35">
      <c r="B311" s="65" t="s">
        <v>46</v>
      </c>
      <c r="C311" s="65" t="s">
        <v>10</v>
      </c>
      <c r="D311" s="65" t="s">
        <v>44</v>
      </c>
      <c r="E311" s="65" t="s">
        <v>47</v>
      </c>
      <c r="F311" s="65" t="s">
        <v>79</v>
      </c>
      <c r="H311" s="194" t="s">
        <v>91</v>
      </c>
      <c r="I311" s="194"/>
      <c r="J311" s="194"/>
      <c r="K311">
        <f>-((2/3)*LOG((2/3),2))-((1/3)*LOG((1/3),2))-(0)</f>
        <v>0.91829583405448956</v>
      </c>
    </row>
    <row r="312" spans="2:11" ht="15.6" thickTop="1" thickBot="1" x14ac:dyDescent="0.35">
      <c r="B312" s="61">
        <v>5</v>
      </c>
      <c r="C312" s="65">
        <f>H8/(G8*G8)</f>
        <v>23.59729780446613</v>
      </c>
      <c r="D312" s="65">
        <v>0.21580033777444149</v>
      </c>
      <c r="E312" s="65">
        <v>0.78419966222555848</v>
      </c>
      <c r="F312" s="56">
        <v>1</v>
      </c>
      <c r="H312" s="194" t="s">
        <v>67</v>
      </c>
      <c r="I312" s="194"/>
      <c r="J312" s="194"/>
      <c r="K312">
        <f>(K311)-((D315)/(3)*C317)-((E315)/(3)*C318)</f>
        <v>0.36336845519806826</v>
      </c>
    </row>
    <row r="313" spans="2:11" ht="15.6" thickTop="1" thickBot="1" x14ac:dyDescent="0.35">
      <c r="B313" s="61">
        <v>11</v>
      </c>
      <c r="C313" s="65">
        <f>H14/(G14*G14)</f>
        <v>19.438507030643446</v>
      </c>
      <c r="D313" s="65">
        <v>0.85561430297793128</v>
      </c>
      <c r="E313" s="65">
        <v>0.14438569702206869</v>
      </c>
      <c r="F313" s="56">
        <v>2</v>
      </c>
    </row>
    <row r="314" spans="2:11" ht="15.6" thickTop="1" thickBot="1" x14ac:dyDescent="0.35">
      <c r="B314" s="61">
        <v>15</v>
      </c>
      <c r="C314" s="65">
        <f>H15/(G15*G15)</f>
        <v>29.453124999999996</v>
      </c>
      <c r="D314" s="65">
        <v>0.96340081701101465</v>
      </c>
      <c r="E314" s="65">
        <v>3.659918298898536E-2</v>
      </c>
      <c r="F314" s="56">
        <v>1</v>
      </c>
    </row>
    <row r="315" spans="2:11" ht="15" thickTop="1" x14ac:dyDescent="0.3">
      <c r="D315">
        <f>+SUM(D312:D314)</f>
        <v>2.0348154577633872</v>
      </c>
      <c r="E315">
        <f>SUM(E312:E314)</f>
        <v>0.96518454223661254</v>
      </c>
    </row>
    <row r="316" spans="2:11" x14ac:dyDescent="0.3">
      <c r="B316" t="s">
        <v>69</v>
      </c>
    </row>
    <row r="317" spans="2:11" x14ac:dyDescent="0.3">
      <c r="B317" t="s">
        <v>44</v>
      </c>
      <c r="C317">
        <f>-((D313+D314)/(D315)*LOG((D313+D314)/(D315),2))-((D312)/(D315)*LOG((D312)/(D315),2))-(0)</f>
        <v>0.48789770576168601</v>
      </c>
    </row>
    <row r="318" spans="2:11" x14ac:dyDescent="0.3">
      <c r="B318" t="s">
        <v>47</v>
      </c>
      <c r="C318">
        <f>-((E313+E314)/(E315)*LOG((E313+E314)/(E315),2))-((E312)/(E315)*LOG((E312)/(E315),2))-(0)</f>
        <v>0.69624026667571048</v>
      </c>
    </row>
    <row r="320" spans="2:11" x14ac:dyDescent="0.3">
      <c r="B320" s="46" t="s">
        <v>98</v>
      </c>
      <c r="C320" s="47"/>
      <c r="F320" s="46" t="s">
        <v>109</v>
      </c>
      <c r="G320" s="47"/>
    </row>
    <row r="321" spans="2:25" x14ac:dyDescent="0.3">
      <c r="B321" t="s">
        <v>81</v>
      </c>
      <c r="D321" t="s">
        <v>85</v>
      </c>
      <c r="F321" t="s">
        <v>81</v>
      </c>
      <c r="H321" t="s">
        <v>85</v>
      </c>
    </row>
    <row r="322" spans="2:25" x14ac:dyDescent="0.3">
      <c r="B322" t="s">
        <v>82</v>
      </c>
      <c r="C322">
        <f>SUM(D312,D314)</f>
        <v>1.1792011547854562</v>
      </c>
      <c r="D322">
        <f>((C322)/(C322+C323+C324))*(100)</f>
        <v>57.951257952482891</v>
      </c>
      <c r="F322" t="s">
        <v>82</v>
      </c>
      <c r="G322">
        <f>SUM(E312,E314)</f>
        <v>0.82079884521454383</v>
      </c>
      <c r="H322">
        <f>((G322)/(G322+G323+G324))*(100)</f>
        <v>85.040612369580103</v>
      </c>
    </row>
    <row r="323" spans="2:25" x14ac:dyDescent="0.3">
      <c r="B323" t="s">
        <v>83</v>
      </c>
      <c r="C323">
        <f>SUM(D313)</f>
        <v>0.85561430297793128</v>
      </c>
      <c r="D323">
        <f>((C323)/(C322+C323+C324))*(100)</f>
        <v>42.048742047517116</v>
      </c>
      <c r="F323" t="s">
        <v>83</v>
      </c>
      <c r="G323">
        <f>SUM(E313)</f>
        <v>0.14438569702206869</v>
      </c>
      <c r="H323">
        <f>((G323)/(G322+G323+G324))*(100)</f>
        <v>14.959387630419894</v>
      </c>
    </row>
    <row r="324" spans="2:25" x14ac:dyDescent="0.3">
      <c r="B324" t="s">
        <v>84</v>
      </c>
      <c r="C324">
        <v>0</v>
      </c>
      <c r="D324">
        <f>((C324)/(C322+C323+C324))*(100)</f>
        <v>0</v>
      </c>
      <c r="F324" t="s">
        <v>84</v>
      </c>
      <c r="G324">
        <f>SUM(AA320)</f>
        <v>0</v>
      </c>
      <c r="H324">
        <f>((G324)/(G322+G323+G324))*(100)</f>
        <v>0</v>
      </c>
    </row>
    <row r="332" spans="2:25" ht="15" thickBot="1" x14ac:dyDescent="0.35"/>
    <row r="333" spans="2:25" ht="15.6" thickTop="1" thickBot="1" x14ac:dyDescent="0.35">
      <c r="U333" s="65" t="s">
        <v>46</v>
      </c>
      <c r="V333" s="65" t="s">
        <v>10</v>
      </c>
      <c r="W333" s="65" t="s">
        <v>126</v>
      </c>
      <c r="X333" s="65" t="s">
        <v>125</v>
      </c>
      <c r="Y333" s="65" t="s">
        <v>79</v>
      </c>
    </row>
    <row r="334" spans="2:25" ht="15.6" thickTop="1" thickBot="1" x14ac:dyDescent="0.35">
      <c r="U334" s="56">
        <v>4</v>
      </c>
      <c r="V334" s="65">
        <f>H7/(G7*G7)</f>
        <v>32.456398197138938</v>
      </c>
      <c r="W334" s="65">
        <v>0</v>
      </c>
      <c r="X334" s="65">
        <v>1</v>
      </c>
      <c r="Y334" s="56">
        <v>1</v>
      </c>
    </row>
    <row r="335" spans="2:25" ht="15.6" thickTop="1" thickBot="1" x14ac:dyDescent="0.35">
      <c r="U335" s="61">
        <v>5</v>
      </c>
      <c r="V335" s="65">
        <f>H8/(G8*G8)</f>
        <v>23.59729780446613</v>
      </c>
      <c r="W335" s="65">
        <v>0.21580033777444149</v>
      </c>
      <c r="X335" s="65">
        <v>0.78419966222555848</v>
      </c>
      <c r="Y335" s="56">
        <v>1</v>
      </c>
    </row>
    <row r="336" spans="2:25" ht="15.6" thickTop="1" thickBot="1" x14ac:dyDescent="0.35">
      <c r="U336" s="61">
        <v>6</v>
      </c>
      <c r="V336" s="65">
        <f>H9/(G9*G9)</f>
        <v>31.301350186727948</v>
      </c>
      <c r="W336" s="65">
        <v>0</v>
      </c>
      <c r="X336" s="65">
        <v>1</v>
      </c>
      <c r="Y336" s="56">
        <v>2</v>
      </c>
    </row>
    <row r="337" spans="21:27" ht="15.6" thickTop="1" thickBot="1" x14ac:dyDescent="0.35">
      <c r="U337" s="61">
        <v>7</v>
      </c>
      <c r="V337" s="65">
        <f>H10/(G10*G10)</f>
        <v>26.134122287968442</v>
      </c>
      <c r="W337" s="65">
        <v>0</v>
      </c>
      <c r="X337" s="65">
        <v>1</v>
      </c>
      <c r="Y337" s="56">
        <v>3</v>
      </c>
    </row>
    <row r="338" spans="21:27" ht="15.6" thickTop="1" thickBot="1" x14ac:dyDescent="0.35">
      <c r="U338" s="61">
        <v>11</v>
      </c>
      <c r="V338" s="65">
        <f>H14/(G14*G14)</f>
        <v>19.438507030643446</v>
      </c>
      <c r="W338" s="65">
        <v>0.85561430297793128</v>
      </c>
      <c r="X338" s="65">
        <v>0.14438569702206869</v>
      </c>
      <c r="Y338" s="56">
        <v>2</v>
      </c>
    </row>
    <row r="339" spans="21:27" ht="15.6" thickTop="1" thickBot="1" x14ac:dyDescent="0.35">
      <c r="U339" s="61">
        <v>12</v>
      </c>
      <c r="V339" s="65">
        <f>H15/(G15*G15)</f>
        <v>29.453124999999996</v>
      </c>
      <c r="W339" s="65">
        <v>0</v>
      </c>
      <c r="X339" s="65">
        <v>1</v>
      </c>
      <c r="Y339" s="56">
        <v>2</v>
      </c>
    </row>
    <row r="340" spans="21:27" ht="15.6" thickTop="1" thickBot="1" x14ac:dyDescent="0.35">
      <c r="U340" s="61">
        <v>15</v>
      </c>
      <c r="V340" s="65">
        <f>H18/(G18*G18)</f>
        <v>18.737894689428405</v>
      </c>
      <c r="W340" s="69">
        <v>0.96340081701101465</v>
      </c>
      <c r="X340" s="69">
        <v>3.659918298898536E-2</v>
      </c>
      <c r="Y340" s="56">
        <v>1</v>
      </c>
    </row>
    <row r="341" spans="21:27" ht="15" thickTop="1" x14ac:dyDescent="0.3">
      <c r="W341" s="7">
        <f>SUM(W334:W340)</f>
        <v>2.0348154577633872</v>
      </c>
      <c r="X341" s="7">
        <f>SUM(X334:X340)</f>
        <v>4.9651845422366128</v>
      </c>
    </row>
    <row r="344" spans="21:27" x14ac:dyDescent="0.3">
      <c r="U344" s="46" t="s">
        <v>98</v>
      </c>
      <c r="V344" s="47"/>
      <c r="Y344" s="46" t="s">
        <v>109</v>
      </c>
      <c r="Z344" s="47"/>
    </row>
    <row r="345" spans="21:27" x14ac:dyDescent="0.3">
      <c r="U345" t="s">
        <v>81</v>
      </c>
      <c r="W345" t="s">
        <v>85</v>
      </c>
      <c r="Y345" t="s">
        <v>81</v>
      </c>
      <c r="AA345" t="s">
        <v>85</v>
      </c>
    </row>
    <row r="346" spans="21:27" x14ac:dyDescent="0.3">
      <c r="U346" t="s">
        <v>82</v>
      </c>
      <c r="V346">
        <f>SUM(W334,W335,W340)</f>
        <v>1.1792011547854562</v>
      </c>
      <c r="W346">
        <f>((V346)/(V346+V347+V348))*(100)</f>
        <v>57.951257952482891</v>
      </c>
      <c r="Y346" t="s">
        <v>82</v>
      </c>
      <c r="Z346">
        <f>SUM(X340,X334,X335)</f>
        <v>1.8207988452145438</v>
      </c>
      <c r="AA346">
        <f>((Z346)/(Z346+Z347+Z348))*(100)</f>
        <v>36.671322681479793</v>
      </c>
    </row>
    <row r="347" spans="21:27" x14ac:dyDescent="0.3">
      <c r="U347" t="s">
        <v>83</v>
      </c>
      <c r="V347">
        <f>SUM(W336,W338,W339)</f>
        <v>0.85561430297793128</v>
      </c>
      <c r="W347">
        <f>((V347)/(V346+V347+V348))*(100)</f>
        <v>42.048742047517116</v>
      </c>
      <c r="Y347" t="s">
        <v>83</v>
      </c>
      <c r="Z347">
        <f>SUM(X336,X338,X339)</f>
        <v>2.1443856970220687</v>
      </c>
      <c r="AA347">
        <f>((Z347)/(Z346+Z347+Z348))*(100)</f>
        <v>43.188438995182047</v>
      </c>
    </row>
    <row r="348" spans="21:27" x14ac:dyDescent="0.3">
      <c r="U348" t="s">
        <v>84</v>
      </c>
      <c r="V348">
        <v>0</v>
      </c>
      <c r="W348">
        <f>((V348)/(V346+V347+V348))*(100)</f>
        <v>0</v>
      </c>
      <c r="Y348" t="s">
        <v>84</v>
      </c>
      <c r="Z348">
        <f>SUM(X337)</f>
        <v>1</v>
      </c>
      <c r="AA348">
        <f>((Z348)/(Z346+Z347+Z348))*(100)</f>
        <v>20.140238323338146</v>
      </c>
    </row>
    <row r="375" spans="28:52" x14ac:dyDescent="0.3">
      <c r="AV375" s="194" t="s">
        <v>91</v>
      </c>
      <c r="AW375" s="194"/>
      <c r="AX375" s="194"/>
      <c r="AY375">
        <f>-((3/10)*LOG((3/10),2))-((5/10)*LOG((5/10),2))-((2/10)*LOG((2/10),2))</f>
        <v>1.4854752972273344</v>
      </c>
    </row>
    <row r="376" spans="28:52" x14ac:dyDescent="0.3">
      <c r="AV376" s="194" t="s">
        <v>127</v>
      </c>
      <c r="AW376" s="194"/>
      <c r="AX376" s="194"/>
      <c r="AY376">
        <f>(AY375)-((AN388)/(10)*AR378)-((AO388)/(10)*AR379)</f>
        <v>3.9549631423740905E-4</v>
      </c>
    </row>
    <row r="377" spans="28:52" x14ac:dyDescent="0.3">
      <c r="AL377" s="40" t="s">
        <v>46</v>
      </c>
      <c r="AM377" s="7" t="s">
        <v>4</v>
      </c>
      <c r="AN377" s="7" t="s">
        <v>55</v>
      </c>
      <c r="AO377" s="7" t="s">
        <v>43</v>
      </c>
      <c r="AP377" s="37" t="s">
        <v>79</v>
      </c>
      <c r="AQ377" t="s">
        <v>68</v>
      </c>
      <c r="AV377" s="194" t="s">
        <v>67</v>
      </c>
      <c r="AW377" s="194"/>
      <c r="AX377" s="194"/>
      <c r="AY377">
        <f>(AY375)-((AN401)/(10)*AR391)-((AO401)/(10)*AR392)</f>
        <v>0.10220876928092015</v>
      </c>
    </row>
    <row r="378" spans="28:52" x14ac:dyDescent="0.3">
      <c r="AL378" s="40">
        <v>1</v>
      </c>
      <c r="AM378" s="18">
        <v>52</v>
      </c>
      <c r="AN378" s="7">
        <v>0</v>
      </c>
      <c r="AO378" s="7">
        <v>1</v>
      </c>
      <c r="AP378" s="18">
        <v>2</v>
      </c>
      <c r="AQ378" t="s">
        <v>55</v>
      </c>
      <c r="AR378">
        <f>-((AN379+AN380+AN387)/(AN388)*LOG((AN379+AN380+AN387)/(AN388),2))-((AN378+AN381+AN384+AN385+AN386)/(AN388)*LOG((AN378+AN381+AN384+AN385+AN386)/(AN388),2))-((AN382+AN383)/(AN388)*LOG((AN382+AN383)/(AN388),2))</f>
        <v>1.4892246646343092</v>
      </c>
      <c r="AV378" s="194" t="s">
        <v>73</v>
      </c>
      <c r="AW378" s="194"/>
      <c r="AX378" s="194"/>
      <c r="AY378">
        <f>(AY375)-((AN414)/(10)*AR404)-((AO414)/(10)*AR405)</f>
        <v>0.14859264233569269</v>
      </c>
      <c r="AZ378" t="s">
        <v>128</v>
      </c>
    </row>
    <row r="379" spans="28:52" x14ac:dyDescent="0.3">
      <c r="AL379" s="40">
        <v>3</v>
      </c>
      <c r="AM379" s="18">
        <v>56</v>
      </c>
      <c r="AN379" s="7">
        <v>0</v>
      </c>
      <c r="AO379" s="7">
        <v>1</v>
      </c>
      <c r="AP379" s="18">
        <v>1</v>
      </c>
      <c r="AQ379" t="s">
        <v>43</v>
      </c>
      <c r="AR379">
        <f>-((AO379+AO380+AO387)/(AO388)*LOG((AO379+AO380+AO387)/(AO388),2))-((AO378+AO381+AO384+AO385+AO386)/(AO388)*LOG((AO378+AO381+AO384+AO385+AO386)/(AO388),2))-((AO382+AO383)/(AO388)*LOG((AO382+AO383)/(AO388),2))</f>
        <v>1.4793559414885662</v>
      </c>
    </row>
    <row r="380" spans="28:52" x14ac:dyDescent="0.3">
      <c r="AL380" s="40">
        <v>4</v>
      </c>
      <c r="AM380" s="18">
        <v>38</v>
      </c>
      <c r="AN380" s="7">
        <v>0.7</v>
      </c>
      <c r="AO380" s="7">
        <v>0.3</v>
      </c>
      <c r="AP380" s="18">
        <v>1</v>
      </c>
    </row>
    <row r="381" spans="28:52" x14ac:dyDescent="0.3">
      <c r="AL381" s="40">
        <v>6</v>
      </c>
      <c r="AM381" s="18">
        <v>31</v>
      </c>
      <c r="AN381" s="7">
        <v>1</v>
      </c>
      <c r="AO381" s="7">
        <v>0</v>
      </c>
      <c r="AP381" s="18">
        <v>2</v>
      </c>
    </row>
    <row r="382" spans="28:52" x14ac:dyDescent="0.3">
      <c r="AL382" s="40">
        <v>7</v>
      </c>
      <c r="AM382" s="18">
        <v>43</v>
      </c>
      <c r="AN382" s="7">
        <v>0.2</v>
      </c>
      <c r="AO382" s="7">
        <v>0.8</v>
      </c>
      <c r="AP382" s="18">
        <v>3</v>
      </c>
    </row>
    <row r="383" spans="28:52" x14ac:dyDescent="0.3">
      <c r="AB383" s="40" t="s">
        <v>46</v>
      </c>
      <c r="AC383" s="7" t="s">
        <v>129</v>
      </c>
      <c r="AD383" s="37" t="s">
        <v>79</v>
      </c>
      <c r="AG383" s="40" t="s">
        <v>46</v>
      </c>
      <c r="AH383" s="7" t="s">
        <v>58</v>
      </c>
      <c r="AI383" s="37" t="s">
        <v>79</v>
      </c>
      <c r="AL383" s="40">
        <v>9</v>
      </c>
      <c r="AM383" s="18">
        <v>27</v>
      </c>
      <c r="AN383" s="7">
        <v>1</v>
      </c>
      <c r="AO383" s="7">
        <v>0</v>
      </c>
      <c r="AP383" s="18">
        <v>3</v>
      </c>
    </row>
    <row r="384" spans="28:52" x14ac:dyDescent="0.3">
      <c r="AB384" s="40">
        <v>1</v>
      </c>
      <c r="AC384" s="32">
        <v>0.6</v>
      </c>
      <c r="AD384" s="18">
        <v>2</v>
      </c>
      <c r="AG384" s="40">
        <v>1</v>
      </c>
      <c r="AH384" s="32">
        <v>0.4</v>
      </c>
      <c r="AI384" s="18">
        <v>2</v>
      </c>
      <c r="AL384" s="40">
        <v>10</v>
      </c>
      <c r="AM384" s="18">
        <v>80</v>
      </c>
      <c r="AN384" s="7">
        <v>0</v>
      </c>
      <c r="AO384" s="7">
        <v>1</v>
      </c>
      <c r="AP384" s="18">
        <v>2</v>
      </c>
    </row>
    <row r="385" spans="27:44" x14ac:dyDescent="0.3">
      <c r="AB385" s="40">
        <v>7</v>
      </c>
      <c r="AC385" s="32">
        <v>0.05</v>
      </c>
      <c r="AD385" s="18">
        <v>3</v>
      </c>
      <c r="AG385" s="40">
        <v>3</v>
      </c>
      <c r="AH385" s="32">
        <v>1</v>
      </c>
      <c r="AI385" s="18">
        <v>1</v>
      </c>
      <c r="AL385" s="40">
        <v>11</v>
      </c>
      <c r="AM385" s="18">
        <v>35</v>
      </c>
      <c r="AN385" s="7">
        <v>1</v>
      </c>
      <c r="AO385" s="7">
        <v>0</v>
      </c>
      <c r="AP385" s="18">
        <v>2</v>
      </c>
    </row>
    <row r="386" spans="27:44" x14ac:dyDescent="0.3">
      <c r="AB386" s="40">
        <v>10</v>
      </c>
      <c r="AC386" s="32">
        <v>0.6</v>
      </c>
      <c r="AD386" s="18">
        <v>2</v>
      </c>
      <c r="AG386" s="40">
        <v>4</v>
      </c>
      <c r="AH386" s="31">
        <v>1</v>
      </c>
      <c r="AI386" s="18">
        <v>1</v>
      </c>
      <c r="AL386" s="40">
        <v>12</v>
      </c>
      <c r="AM386" s="18">
        <v>36</v>
      </c>
      <c r="AN386" s="7">
        <v>0.9</v>
      </c>
      <c r="AO386" s="7">
        <v>0.1</v>
      </c>
      <c r="AP386" s="18">
        <v>2</v>
      </c>
    </row>
    <row r="387" spans="27:44" x14ac:dyDescent="0.3">
      <c r="AB387" s="40">
        <v>11</v>
      </c>
      <c r="AC387" s="32">
        <v>0.95</v>
      </c>
      <c r="AD387" s="18">
        <v>2</v>
      </c>
      <c r="AG387" s="40">
        <v>6</v>
      </c>
      <c r="AH387" s="31">
        <v>1</v>
      </c>
      <c r="AI387" s="18">
        <v>2</v>
      </c>
      <c r="AL387" s="40">
        <v>15</v>
      </c>
      <c r="AM387" s="18">
        <v>22</v>
      </c>
      <c r="AN387" s="7">
        <v>1</v>
      </c>
      <c r="AO387" s="7">
        <v>0</v>
      </c>
      <c r="AP387" s="18">
        <v>1</v>
      </c>
    </row>
    <row r="388" spans="27:44" x14ac:dyDescent="0.3">
      <c r="AB388" s="40">
        <v>15</v>
      </c>
      <c r="AC388" s="33">
        <v>0.5</v>
      </c>
      <c r="AD388" s="18">
        <v>1</v>
      </c>
      <c r="AG388" s="40">
        <v>7</v>
      </c>
      <c r="AH388" s="32">
        <v>0.95</v>
      </c>
      <c r="AI388" s="18">
        <v>3</v>
      </c>
      <c r="AN388">
        <f>SUM(AN378:AN387)</f>
        <v>5.8</v>
      </c>
      <c r="AO388">
        <f>SUM(AO378:AO387)</f>
        <v>4.1999999999999993</v>
      </c>
    </row>
    <row r="389" spans="27:44" x14ac:dyDescent="0.3">
      <c r="AG389" s="40">
        <v>9</v>
      </c>
      <c r="AH389" s="31">
        <v>1</v>
      </c>
      <c r="AI389" s="18">
        <v>3</v>
      </c>
    </row>
    <row r="390" spans="27:44" x14ac:dyDescent="0.3">
      <c r="AG390" s="40">
        <v>10</v>
      </c>
      <c r="AH390" s="32">
        <v>0.4</v>
      </c>
      <c r="AI390" s="18">
        <v>2</v>
      </c>
      <c r="AL390" s="40" t="s">
        <v>46</v>
      </c>
      <c r="AM390" s="7" t="s">
        <v>10</v>
      </c>
      <c r="AN390" s="7" t="s">
        <v>44</v>
      </c>
      <c r="AO390" s="7" t="s">
        <v>47</v>
      </c>
      <c r="AP390" s="37" t="s">
        <v>79</v>
      </c>
      <c r="AQ390" t="s">
        <v>69</v>
      </c>
    </row>
    <row r="391" spans="27:44" x14ac:dyDescent="0.3">
      <c r="AG391" s="40">
        <v>11</v>
      </c>
      <c r="AH391" s="32">
        <v>0.05</v>
      </c>
      <c r="AI391" s="18">
        <v>2</v>
      </c>
      <c r="AL391" s="40">
        <v>1</v>
      </c>
      <c r="AM391" s="7">
        <f>H4/(G4*G4)</f>
        <v>23.598931085099178</v>
      </c>
      <c r="AN391" s="7">
        <v>0.21554906383089573</v>
      </c>
      <c r="AO391" s="7">
        <v>0.78445093616910433</v>
      </c>
      <c r="AP391" s="18">
        <v>2</v>
      </c>
      <c r="AQ391" t="s">
        <v>44</v>
      </c>
      <c r="AR391">
        <f>-((AN392+AN393+AN400)/(AN401)*LOG((AN392+AN393+AN400)/(AN401),2))-((AN391+AN394+AN397+AN398+AN399)/(AN401)*LOG((AN391+AN394+AN397+AN398+AN399)/(AN401),2))-(0)</f>
        <v>0.94379781968866294</v>
      </c>
    </row>
    <row r="392" spans="27:44" x14ac:dyDescent="0.3">
      <c r="AG392" s="40">
        <v>12</v>
      </c>
      <c r="AH392" s="31">
        <v>1</v>
      </c>
      <c r="AI392" s="18">
        <v>2</v>
      </c>
      <c r="AL392" s="40">
        <v>3</v>
      </c>
      <c r="AM392" s="7">
        <f>H6/(G6*G6)</f>
        <v>26.840928029472394</v>
      </c>
      <c r="AN392" s="7">
        <v>0</v>
      </c>
      <c r="AO392" s="7">
        <v>1</v>
      </c>
      <c r="AP392" s="18">
        <v>1</v>
      </c>
      <c r="AQ392" t="s">
        <v>70</v>
      </c>
      <c r="AR392">
        <f>-((AO392+AO393+AO400)/(AO401)*LOG((AO392+AO393+AO400)/(AO401),2))-((AO391+AO394+AO397+AO398+AO399)/(AO401)*LOG((AO391+AO394+AO397+AO398+AO399)/(AO401),2))-((AO395+AO396)/(AO401)*LOG((AO395+AO396)/(AO401),2))</f>
        <v>1.5430284856599692</v>
      </c>
    </row>
    <row r="393" spans="27:44" x14ac:dyDescent="0.3">
      <c r="AG393" s="40">
        <v>15</v>
      </c>
      <c r="AH393" s="33">
        <v>0.5</v>
      </c>
      <c r="AI393" s="18">
        <v>1</v>
      </c>
      <c r="AL393" s="40">
        <v>4</v>
      </c>
      <c r="AM393" s="7">
        <f>H7/(G7*G7)</f>
        <v>32.456398197138938</v>
      </c>
      <c r="AN393" s="7">
        <v>0</v>
      </c>
      <c r="AO393" s="7">
        <v>1</v>
      </c>
      <c r="AP393" s="18">
        <v>1</v>
      </c>
    </row>
    <row r="394" spans="27:44" x14ac:dyDescent="0.3">
      <c r="AL394" s="40">
        <v>6</v>
      </c>
      <c r="AM394" s="7">
        <f>H9/(G9*G9)</f>
        <v>31.301350186727948</v>
      </c>
      <c r="AN394" s="7">
        <v>0</v>
      </c>
      <c r="AO394" s="7">
        <v>1</v>
      </c>
      <c r="AP394" s="18">
        <v>2</v>
      </c>
    </row>
    <row r="395" spans="27:44" x14ac:dyDescent="0.3">
      <c r="AC395" t="s">
        <v>130</v>
      </c>
      <c r="AL395" s="40">
        <v>7</v>
      </c>
      <c r="AM395" s="7">
        <f>H10/(G10*G10)</f>
        <v>26.134122287968442</v>
      </c>
      <c r="AN395" s="7">
        <v>0</v>
      </c>
      <c r="AO395" s="7">
        <v>1</v>
      </c>
      <c r="AP395" s="18">
        <v>3</v>
      </c>
    </row>
    <row r="396" spans="27:44" x14ac:dyDescent="0.3">
      <c r="AC396" s="46" t="s">
        <v>101</v>
      </c>
      <c r="AD396" s="47"/>
      <c r="AG396" s="46" t="s">
        <v>102</v>
      </c>
      <c r="AH396" s="47"/>
      <c r="AL396" s="40">
        <v>9</v>
      </c>
      <c r="AM396" s="7">
        <f>H12/(G12*G12)</f>
        <v>36.892361111111114</v>
      </c>
      <c r="AN396" s="7">
        <v>0</v>
      </c>
      <c r="AO396" s="7">
        <v>1</v>
      </c>
      <c r="AP396" s="18">
        <v>3</v>
      </c>
    </row>
    <row r="397" spans="27:44" x14ac:dyDescent="0.3">
      <c r="AC397" t="s">
        <v>81</v>
      </c>
      <c r="AE397" t="s">
        <v>85</v>
      </c>
      <c r="AG397" t="s">
        <v>81</v>
      </c>
      <c r="AI397" t="s">
        <v>85</v>
      </c>
      <c r="AL397" s="40">
        <v>10</v>
      </c>
      <c r="AM397" s="7">
        <f>H13/(G13*G13)</f>
        <v>20.894901144640997</v>
      </c>
      <c r="AN397" s="7">
        <v>0.63155367005523122</v>
      </c>
      <c r="AO397" s="7">
        <v>0.36844632994476878</v>
      </c>
      <c r="AP397" s="18">
        <v>2</v>
      </c>
    </row>
    <row r="398" spans="27:44" x14ac:dyDescent="0.3">
      <c r="AC398" t="s">
        <v>82</v>
      </c>
      <c r="AD398">
        <f>SUM(AC388)</f>
        <v>0.5</v>
      </c>
      <c r="AE398">
        <f>((AD398)/(AD398+AD399+AD400))*(100)</f>
        <v>18.518518518518519</v>
      </c>
      <c r="AG398" t="s">
        <v>82</v>
      </c>
      <c r="AH398">
        <f>SUM(AH385,AH386,AH393)</f>
        <v>2.5</v>
      </c>
      <c r="AI398">
        <f>((AH398)/(AH398+AH399+AH400))*(100)</f>
        <v>39.370078740157481</v>
      </c>
      <c r="AL398" s="40">
        <v>11</v>
      </c>
      <c r="AM398" s="7">
        <f>H14/(G14*G14)</f>
        <v>19.438507030643446</v>
      </c>
      <c r="AN398" s="7">
        <v>0.85561430297793128</v>
      </c>
      <c r="AO398" s="7">
        <v>0.14438569702206869</v>
      </c>
      <c r="AP398" s="18">
        <v>2</v>
      </c>
    </row>
    <row r="399" spans="27:44" x14ac:dyDescent="0.3">
      <c r="AA399" s="216" t="s">
        <v>132</v>
      </c>
      <c r="AB399" s="216"/>
      <c r="AC399" s="70" t="s">
        <v>83</v>
      </c>
      <c r="AD399" s="70">
        <f>SUM(AC384,AC386,AC387)</f>
        <v>2.15</v>
      </c>
      <c r="AE399" s="70">
        <f>((AD399)/(AD398+AD399+AD400))*(100)</f>
        <v>79.629629629629633</v>
      </c>
      <c r="AG399" t="s">
        <v>83</v>
      </c>
      <c r="AH399">
        <f>SUM(AH384,AH387,AH390,AH391,AH392)</f>
        <v>2.8499999999999996</v>
      </c>
      <c r="AI399">
        <f>((AH399)/(AH398+AH399+AH400))*(100)</f>
        <v>44.881889763779526</v>
      </c>
      <c r="AL399" s="40">
        <v>12</v>
      </c>
      <c r="AM399" s="7">
        <f>H15/(G15*G15)</f>
        <v>29.453124999999996</v>
      </c>
      <c r="AN399" s="7">
        <v>0</v>
      </c>
      <c r="AO399" s="7">
        <v>1</v>
      </c>
      <c r="AP399" s="18">
        <v>2</v>
      </c>
    </row>
    <row r="400" spans="27:44" x14ac:dyDescent="0.3">
      <c r="AC400" t="s">
        <v>84</v>
      </c>
      <c r="AD400">
        <f>SUM(AC385)</f>
        <v>0.05</v>
      </c>
      <c r="AE400">
        <f>((AD400)/(AD398+AD399+AD400))*(100)</f>
        <v>1.8518518518518521</v>
      </c>
      <c r="AG400" t="s">
        <v>84</v>
      </c>
      <c r="AH400">
        <f>SUM(AH389)</f>
        <v>1</v>
      </c>
      <c r="AI400">
        <f>((AH400)/(AH398+AH399+AH400))*(100)</f>
        <v>15.748031496062993</v>
      </c>
      <c r="AL400" s="40">
        <v>15</v>
      </c>
      <c r="AM400" s="7">
        <f>H18/(G18*G18)</f>
        <v>18.737894689428405</v>
      </c>
      <c r="AN400" s="7">
        <v>0.96340081701101465</v>
      </c>
      <c r="AO400" s="7">
        <v>3.659918298898536E-2</v>
      </c>
      <c r="AP400" s="18">
        <v>1</v>
      </c>
    </row>
    <row r="401" spans="38:44" x14ac:dyDescent="0.3">
      <c r="AN401">
        <f>SUM(AN391:AN400)</f>
        <v>2.6661178538750727</v>
      </c>
      <c r="AO401">
        <f>SUM(AO391:AO400)</f>
        <v>7.3338821461249273</v>
      </c>
    </row>
    <row r="403" spans="38:44" x14ac:dyDescent="0.3">
      <c r="AL403" s="40" t="s">
        <v>46</v>
      </c>
      <c r="AM403" s="7" t="s">
        <v>7</v>
      </c>
      <c r="AN403" s="7" t="s">
        <v>57</v>
      </c>
      <c r="AO403" s="7" t="s">
        <v>58</v>
      </c>
      <c r="AP403" s="37" t="s">
        <v>79</v>
      </c>
      <c r="AQ403" t="s">
        <v>74</v>
      </c>
    </row>
    <row r="404" spans="38:44" x14ac:dyDescent="0.3">
      <c r="AL404" s="40">
        <v>1</v>
      </c>
      <c r="AM404" s="24">
        <v>78</v>
      </c>
      <c r="AN404" s="32">
        <v>0.6</v>
      </c>
      <c r="AO404" s="32">
        <v>0.4</v>
      </c>
      <c r="AP404" s="18">
        <v>2</v>
      </c>
      <c r="AQ404" t="s">
        <v>57</v>
      </c>
      <c r="AR404">
        <f>-((AN405+AN406+AN413)/(AN414)*LOG((AN405+AN406+AN413)/(AN414),2))-((AN404+AN407+AN410+AN411+AN412)/(AN414)*LOG((AN404+AN407+AN410+AN411+AN412)/(AN414),2))-(0)</f>
        <v>0.71222911506666686</v>
      </c>
    </row>
    <row r="405" spans="38:44" x14ac:dyDescent="0.3">
      <c r="AL405" s="40">
        <v>3</v>
      </c>
      <c r="AM405" s="24">
        <v>98</v>
      </c>
      <c r="AN405" s="32">
        <v>0</v>
      </c>
      <c r="AO405" s="32">
        <v>1</v>
      </c>
      <c r="AP405" s="18">
        <v>1</v>
      </c>
      <c r="AQ405" t="s">
        <v>58</v>
      </c>
      <c r="AR405">
        <f>-((AO405+AO406+AO413)/(AO414)*LOG((AO405+AO406+AO413)/(AO414),2))-((AO404+AO407+AO410+AO411+AO412)/(AO414)*LOG((AO404+AO407+AO410+AO411+AO412)/(AO414),2))-((AO408+AO409)/(AO414)*LOG((AO408+AO409)/(AO414),2))</f>
        <v>1.5679188956488241</v>
      </c>
    </row>
    <row r="406" spans="38:44" x14ac:dyDescent="0.3">
      <c r="AL406" s="40">
        <v>4</v>
      </c>
      <c r="AM406" s="27">
        <v>99</v>
      </c>
      <c r="AN406" s="31">
        <v>0</v>
      </c>
      <c r="AO406" s="31">
        <v>1</v>
      </c>
      <c r="AP406" s="18">
        <v>1</v>
      </c>
    </row>
    <row r="407" spans="38:44" x14ac:dyDescent="0.3">
      <c r="AL407" s="40">
        <v>6</v>
      </c>
      <c r="AM407" s="27">
        <v>89</v>
      </c>
      <c r="AN407" s="31">
        <v>0</v>
      </c>
      <c r="AO407" s="31">
        <v>1</v>
      </c>
      <c r="AP407" s="18">
        <v>2</v>
      </c>
    </row>
    <row r="408" spans="38:44" x14ac:dyDescent="0.3">
      <c r="AL408" s="40">
        <v>7</v>
      </c>
      <c r="AM408" s="24">
        <v>89</v>
      </c>
      <c r="AN408" s="32">
        <v>0.05</v>
      </c>
      <c r="AO408" s="32">
        <v>0.95</v>
      </c>
      <c r="AP408" s="18">
        <v>3</v>
      </c>
    </row>
    <row r="409" spans="38:44" x14ac:dyDescent="0.3">
      <c r="AL409" s="40">
        <v>9</v>
      </c>
      <c r="AM409" s="27">
        <v>106</v>
      </c>
      <c r="AN409" s="31">
        <v>0</v>
      </c>
      <c r="AO409" s="31">
        <v>1</v>
      </c>
      <c r="AP409" s="18">
        <v>3</v>
      </c>
    </row>
    <row r="410" spans="38:44" x14ac:dyDescent="0.3">
      <c r="AL410" s="40">
        <v>10</v>
      </c>
      <c r="AM410" s="24">
        <v>78</v>
      </c>
      <c r="AN410" s="32">
        <v>0.6</v>
      </c>
      <c r="AO410" s="32">
        <v>0.4</v>
      </c>
      <c r="AP410" s="18">
        <v>2</v>
      </c>
    </row>
    <row r="411" spans="38:44" x14ac:dyDescent="0.3">
      <c r="AL411" s="40">
        <v>11</v>
      </c>
      <c r="AM411" s="24">
        <v>71</v>
      </c>
      <c r="AN411" s="32">
        <v>0.95</v>
      </c>
      <c r="AO411" s="32">
        <v>0.05</v>
      </c>
      <c r="AP411" s="18">
        <v>2</v>
      </c>
    </row>
    <row r="412" spans="38:44" x14ac:dyDescent="0.3">
      <c r="AL412" s="40">
        <v>12</v>
      </c>
      <c r="AM412" s="27">
        <v>101</v>
      </c>
      <c r="AN412" s="31">
        <v>0</v>
      </c>
      <c r="AO412" s="31">
        <v>1</v>
      </c>
      <c r="AP412" s="18">
        <v>2</v>
      </c>
    </row>
    <row r="413" spans="38:44" x14ac:dyDescent="0.3">
      <c r="AL413" s="40">
        <v>15</v>
      </c>
      <c r="AM413" s="28">
        <v>70</v>
      </c>
      <c r="AN413" s="33">
        <v>0.5</v>
      </c>
      <c r="AO413" s="33">
        <v>0.5</v>
      </c>
      <c r="AP413" s="18">
        <v>1</v>
      </c>
    </row>
    <row r="414" spans="38:44" x14ac:dyDescent="0.3">
      <c r="AN414">
        <f>SUM(AN404:AN413)</f>
        <v>2.7</v>
      </c>
      <c r="AO414">
        <f>SUM(AO404:AO413)</f>
        <v>7.3</v>
      </c>
    </row>
    <row r="453" spans="31:53" x14ac:dyDescent="0.3">
      <c r="AO453" s="40" t="s">
        <v>46</v>
      </c>
      <c r="AP453" s="71" t="s">
        <v>4</v>
      </c>
      <c r="AQ453" s="7" t="s">
        <v>55</v>
      </c>
      <c r="AR453" s="7" t="s">
        <v>43</v>
      </c>
      <c r="AS453" s="73" t="s">
        <v>79</v>
      </c>
      <c r="AT453" t="s">
        <v>68</v>
      </c>
      <c r="AX453" s="194" t="s">
        <v>91</v>
      </c>
      <c r="AY453" s="194"/>
      <c r="AZ453" s="194"/>
      <c r="BA453">
        <f>-((3/10)*LOG((3/10),2))-((5/10)*LOG((5/10),2))-((2/10)*LOG((2/10),2))</f>
        <v>1.4854752972273344</v>
      </c>
    </row>
    <row r="454" spans="31:53" x14ac:dyDescent="0.3">
      <c r="AO454" s="40">
        <v>1</v>
      </c>
      <c r="AP454" s="72">
        <v>52</v>
      </c>
      <c r="AQ454" s="7">
        <v>0</v>
      </c>
      <c r="AR454" s="7">
        <v>1</v>
      </c>
      <c r="AS454" s="74">
        <v>2</v>
      </c>
      <c r="AT454" t="s">
        <v>55</v>
      </c>
      <c r="AU454">
        <f>-((AQ455+AQ456+AQ463)/(AQ464)*LOG((AQ455+AQ456+AQ463)/(AQ464),2))-((AQ454+AQ457+AQ460+AQ461+AQ462)/(AQ464)*LOG((AQ454+AQ457+AQ460+AQ461+AQ462)/(AQ464),2))-((AQ458+AQ459)/(AQ464)*LOG((AQ458+AQ459)/(AQ464),2))</f>
        <v>1.4892246646343092</v>
      </c>
      <c r="AX454" s="194" t="s">
        <v>127</v>
      </c>
      <c r="AY454" s="194"/>
      <c r="AZ454" s="194"/>
      <c r="BA454">
        <f>(BA453)-((AQ464)/(10)*AU454)-((AR464)/(10)*AU455)</f>
        <v>3.9549631423740905E-4</v>
      </c>
    </row>
    <row r="455" spans="31:53" x14ac:dyDescent="0.3">
      <c r="AO455" s="40">
        <v>3</v>
      </c>
      <c r="AP455" s="72">
        <v>56</v>
      </c>
      <c r="AQ455" s="7">
        <v>0</v>
      </c>
      <c r="AR455" s="7">
        <v>1</v>
      </c>
      <c r="AS455" s="74">
        <v>1</v>
      </c>
      <c r="AT455" t="s">
        <v>43</v>
      </c>
      <c r="AU455">
        <f>-((AR455+AR456+AR463)/(AR464)*LOG((AR455+AR456+AR463)/(AR464),2))-((AR454+AR457+AR460+AR461+AR462)/(AR464)*LOG((AR454+AR457+AR460+AR461+AR462)/(AR464),2))-((AR458+AR459)/(AR464)*LOG((AR458+AR459)/(AR464),2))</f>
        <v>1.4793559414885662</v>
      </c>
      <c r="AX455" s="194" t="s">
        <v>67</v>
      </c>
      <c r="AY455" s="194"/>
      <c r="AZ455" s="194"/>
      <c r="BA455">
        <f>(BA453)-((AQ477)/(10)*AU467)-((AR477)/(10)*AU468)</f>
        <v>0.10220876928092015</v>
      </c>
    </row>
    <row r="456" spans="31:53" x14ac:dyDescent="0.3">
      <c r="AO456" s="40">
        <v>4</v>
      </c>
      <c r="AP456" s="72">
        <v>38</v>
      </c>
      <c r="AQ456" s="7">
        <v>0.7</v>
      </c>
      <c r="AR456" s="7">
        <v>0.3</v>
      </c>
      <c r="AS456" s="74">
        <v>1</v>
      </c>
    </row>
    <row r="457" spans="31:53" x14ac:dyDescent="0.3">
      <c r="AO457" s="40">
        <v>6</v>
      </c>
      <c r="AP457" s="72">
        <v>31</v>
      </c>
      <c r="AQ457" s="7">
        <v>1</v>
      </c>
      <c r="AR457" s="7">
        <v>0</v>
      </c>
      <c r="AS457" s="74">
        <v>2</v>
      </c>
    </row>
    <row r="458" spans="31:53" x14ac:dyDescent="0.3">
      <c r="AO458" s="40">
        <v>7</v>
      </c>
      <c r="AP458" s="72">
        <v>43</v>
      </c>
      <c r="AQ458" s="7">
        <v>0.2</v>
      </c>
      <c r="AR458" s="7">
        <v>0.8</v>
      </c>
      <c r="AS458" s="74">
        <v>3</v>
      </c>
    </row>
    <row r="459" spans="31:53" x14ac:dyDescent="0.3">
      <c r="AO459" s="40">
        <v>9</v>
      </c>
      <c r="AP459" s="72">
        <v>27</v>
      </c>
      <c r="AQ459" s="7">
        <v>1</v>
      </c>
      <c r="AR459" s="7">
        <v>0</v>
      </c>
      <c r="AS459" s="74">
        <v>3</v>
      </c>
    </row>
    <row r="460" spans="31:53" x14ac:dyDescent="0.3">
      <c r="AO460" s="40">
        <v>10</v>
      </c>
      <c r="AP460" s="72">
        <v>80</v>
      </c>
      <c r="AQ460" s="7">
        <v>0</v>
      </c>
      <c r="AR460" s="7">
        <v>1</v>
      </c>
      <c r="AS460" s="74">
        <v>2</v>
      </c>
    </row>
    <row r="461" spans="31:53" x14ac:dyDescent="0.3">
      <c r="AO461" s="40">
        <v>11</v>
      </c>
      <c r="AP461" s="72">
        <v>35</v>
      </c>
      <c r="AQ461" s="7">
        <v>1</v>
      </c>
      <c r="AR461" s="7">
        <v>0</v>
      </c>
      <c r="AS461" s="74">
        <v>2</v>
      </c>
    </row>
    <row r="462" spans="31:53" x14ac:dyDescent="0.3">
      <c r="AO462" s="40">
        <v>12</v>
      </c>
      <c r="AP462" s="72">
        <v>36</v>
      </c>
      <c r="AQ462" s="7">
        <v>0.9</v>
      </c>
      <c r="AR462" s="7">
        <v>0.1</v>
      </c>
      <c r="AS462" s="74">
        <v>2</v>
      </c>
    </row>
    <row r="463" spans="31:53" x14ac:dyDescent="0.3">
      <c r="AE463" s="40" t="s">
        <v>46</v>
      </c>
      <c r="AF463" s="7" t="s">
        <v>126</v>
      </c>
      <c r="AG463" s="7" t="s">
        <v>79</v>
      </c>
      <c r="AK463" s="40" t="s">
        <v>46</v>
      </c>
      <c r="AL463" s="7" t="s">
        <v>47</v>
      </c>
      <c r="AM463" s="37" t="s">
        <v>79</v>
      </c>
      <c r="AO463" s="40">
        <v>15</v>
      </c>
      <c r="AP463" s="72">
        <v>22</v>
      </c>
      <c r="AQ463" s="7">
        <v>1</v>
      </c>
      <c r="AR463" s="7">
        <v>0</v>
      </c>
      <c r="AS463" s="74">
        <v>1</v>
      </c>
    </row>
    <row r="464" spans="31:53" x14ac:dyDescent="0.3">
      <c r="AE464" s="40">
        <v>1</v>
      </c>
      <c r="AF464" s="7">
        <v>0.21554906383089573</v>
      </c>
      <c r="AG464" s="18">
        <v>2</v>
      </c>
      <c r="AK464" s="40">
        <v>1</v>
      </c>
      <c r="AL464" s="7">
        <v>0.78445093616910433</v>
      </c>
      <c r="AM464" s="18">
        <v>2</v>
      </c>
      <c r="AQ464" s="7">
        <f>SUM(AQ454:AQ463)</f>
        <v>5.8</v>
      </c>
      <c r="AR464" s="7">
        <f>SUM(AR454:AR463)</f>
        <v>4.1999999999999993</v>
      </c>
    </row>
    <row r="465" spans="30:47" x14ac:dyDescent="0.3">
      <c r="AE465" s="40">
        <v>10</v>
      </c>
      <c r="AF465" s="7">
        <v>0.63155367005523122</v>
      </c>
      <c r="AG465" s="18">
        <v>2</v>
      </c>
      <c r="AK465" s="40">
        <v>3</v>
      </c>
      <c r="AL465" s="7">
        <v>1</v>
      </c>
      <c r="AM465" s="18">
        <v>1</v>
      </c>
    </row>
    <row r="466" spans="30:47" x14ac:dyDescent="0.3">
      <c r="AE466" s="40">
        <v>11</v>
      </c>
      <c r="AF466" s="7">
        <v>0.85561430297793128</v>
      </c>
      <c r="AG466" s="18">
        <v>2</v>
      </c>
      <c r="AK466" s="40">
        <v>4</v>
      </c>
      <c r="AL466" s="7">
        <v>1</v>
      </c>
      <c r="AM466" s="18">
        <v>1</v>
      </c>
      <c r="AO466" s="40" t="s">
        <v>46</v>
      </c>
      <c r="AP466" s="7" t="s">
        <v>10</v>
      </c>
      <c r="AQ466" s="7" t="s">
        <v>44</v>
      </c>
      <c r="AR466" s="7" t="s">
        <v>47</v>
      </c>
      <c r="AS466" s="37" t="s">
        <v>79</v>
      </c>
      <c r="AT466" t="s">
        <v>69</v>
      </c>
    </row>
    <row r="467" spans="30:47" x14ac:dyDescent="0.3">
      <c r="AE467" s="40">
        <v>15</v>
      </c>
      <c r="AF467" s="7">
        <v>0.96340081701101465</v>
      </c>
      <c r="AG467" s="18">
        <v>1</v>
      </c>
      <c r="AK467" s="40">
        <v>6</v>
      </c>
      <c r="AL467" s="7">
        <v>1</v>
      </c>
      <c r="AM467" s="18">
        <v>2</v>
      </c>
      <c r="AO467" s="40">
        <v>1</v>
      </c>
      <c r="AP467" s="7">
        <f>H4/(G4*G4)</f>
        <v>23.598931085099178</v>
      </c>
      <c r="AQ467" s="7">
        <v>0.21554906383089573</v>
      </c>
      <c r="AR467" s="7">
        <v>0.78445093616910433</v>
      </c>
      <c r="AS467" s="18">
        <v>2</v>
      </c>
      <c r="AT467" t="s">
        <v>44</v>
      </c>
      <c r="AU467">
        <f>-((AQ468+AQ469+AQ476)/(AQ477)*LOG((AQ468+AQ469+AQ476)/(AQ477),2))-((AQ467+AQ470+AQ473+AQ474+AQ475)/(AQ477)*LOG((AQ467+AQ470+AQ473+AQ474+AQ475)/(AQ477),2))-(0)</f>
        <v>0.94379781968866294</v>
      </c>
    </row>
    <row r="468" spans="30:47" x14ac:dyDescent="0.3">
      <c r="AK468" s="40">
        <v>7</v>
      </c>
      <c r="AL468" s="7">
        <v>1</v>
      </c>
      <c r="AM468" s="18">
        <v>3</v>
      </c>
      <c r="AO468" s="40">
        <v>3</v>
      </c>
      <c r="AP468" s="7">
        <f>H6/(G6*G6)</f>
        <v>26.840928029472394</v>
      </c>
      <c r="AQ468" s="7">
        <v>0</v>
      </c>
      <c r="AR468" s="7">
        <v>1</v>
      </c>
      <c r="AS468" s="18">
        <v>1</v>
      </c>
      <c r="AT468" t="s">
        <v>70</v>
      </c>
      <c r="AU468">
        <f>-((AR468+AR469+AR476)/(AR477)*LOG((AR468+AR469+AR476)/(AR477),2))-((AR467+AR470+AR473+AR474+AR475)/(AR477)*LOG((AR467+AR470+AR473+AR474+AR475)/(AR477),2))-((AR471+AR472)/(AR477)*LOG((AR471+AR472)/(AR477),2))</f>
        <v>1.5430284856599692</v>
      </c>
    </row>
    <row r="469" spans="30:47" x14ac:dyDescent="0.3">
      <c r="AK469" s="40">
        <v>9</v>
      </c>
      <c r="AL469" s="7">
        <v>1</v>
      </c>
      <c r="AM469" s="18">
        <v>3</v>
      </c>
      <c r="AO469" s="40">
        <v>4</v>
      </c>
      <c r="AP469" s="7">
        <f>H7/(G7*G7)</f>
        <v>32.456398197138938</v>
      </c>
      <c r="AQ469" s="7">
        <v>0</v>
      </c>
      <c r="AR469" s="7">
        <v>1</v>
      </c>
      <c r="AS469" s="18">
        <v>1</v>
      </c>
    </row>
    <row r="470" spans="30:47" x14ac:dyDescent="0.3">
      <c r="AK470" s="40">
        <v>10</v>
      </c>
      <c r="AL470" s="7">
        <v>0.36844632994476878</v>
      </c>
      <c r="AM470" s="18">
        <v>2</v>
      </c>
      <c r="AO470" s="40">
        <v>6</v>
      </c>
      <c r="AP470" s="7">
        <f>H9/(G9*G9)</f>
        <v>31.301350186727948</v>
      </c>
      <c r="AQ470" s="7">
        <v>0</v>
      </c>
      <c r="AR470" s="7">
        <v>1</v>
      </c>
      <c r="AS470" s="18">
        <v>2</v>
      </c>
    </row>
    <row r="471" spans="30:47" x14ac:dyDescent="0.3">
      <c r="AK471" s="40">
        <v>11</v>
      </c>
      <c r="AL471" s="7">
        <v>0.14438569702206869</v>
      </c>
      <c r="AM471" s="18">
        <v>2</v>
      </c>
      <c r="AO471" s="40">
        <v>7</v>
      </c>
      <c r="AP471" s="7">
        <f>H10/(G10*G10)</f>
        <v>26.134122287968442</v>
      </c>
      <c r="AQ471" s="7">
        <v>0</v>
      </c>
      <c r="AR471" s="7">
        <v>1</v>
      </c>
      <c r="AS471" s="18">
        <v>3</v>
      </c>
    </row>
    <row r="472" spans="30:47" x14ac:dyDescent="0.3">
      <c r="AK472" s="40">
        <v>12</v>
      </c>
      <c r="AL472" s="7">
        <v>1</v>
      </c>
      <c r="AM472" s="18">
        <v>2</v>
      </c>
      <c r="AO472" s="40">
        <v>9</v>
      </c>
      <c r="AP472" s="7">
        <f>H12/(G12*G12)</f>
        <v>36.892361111111114</v>
      </c>
      <c r="AQ472" s="7">
        <v>0</v>
      </c>
      <c r="AR472" s="7">
        <v>1</v>
      </c>
      <c r="AS472" s="18">
        <v>3</v>
      </c>
    </row>
    <row r="473" spans="30:47" x14ac:dyDescent="0.3">
      <c r="AK473" s="40">
        <v>15</v>
      </c>
      <c r="AL473" s="7">
        <v>3.659918298898536E-2</v>
      </c>
      <c r="AM473" s="18">
        <v>1</v>
      </c>
      <c r="AO473" s="40">
        <v>10</v>
      </c>
      <c r="AP473" s="7">
        <f>H13/(G13*G13)</f>
        <v>20.894901144640997</v>
      </c>
      <c r="AQ473" s="7">
        <v>0.63155367005523122</v>
      </c>
      <c r="AR473" s="7">
        <v>0.36844632994476878</v>
      </c>
      <c r="AS473" s="18">
        <v>2</v>
      </c>
    </row>
    <row r="474" spans="30:47" x14ac:dyDescent="0.3">
      <c r="AO474" s="40">
        <v>11</v>
      </c>
      <c r="AP474" s="7">
        <f>H14/(G14*G14)</f>
        <v>19.438507030643446</v>
      </c>
      <c r="AQ474" s="7">
        <v>0.85561430297793128</v>
      </c>
      <c r="AR474" s="7">
        <v>0.14438569702206869</v>
      </c>
      <c r="AS474" s="18">
        <v>2</v>
      </c>
    </row>
    <row r="475" spans="30:47" x14ac:dyDescent="0.3">
      <c r="AO475" s="40">
        <v>12</v>
      </c>
      <c r="AP475" s="7">
        <f>H15/(G15*G15)</f>
        <v>29.453124999999996</v>
      </c>
      <c r="AQ475" s="7">
        <v>0</v>
      </c>
      <c r="AR475" s="7">
        <v>1</v>
      </c>
      <c r="AS475" s="18">
        <v>2</v>
      </c>
    </row>
    <row r="476" spans="30:47" x14ac:dyDescent="0.3">
      <c r="AF476" t="s">
        <v>130</v>
      </c>
      <c r="AO476" s="40">
        <v>15</v>
      </c>
      <c r="AP476" s="7">
        <f>H18/(G18*G18)</f>
        <v>18.737894689428405</v>
      </c>
      <c r="AQ476" s="7">
        <v>0.96340081701101465</v>
      </c>
      <c r="AR476" s="7">
        <v>3.659918298898536E-2</v>
      </c>
      <c r="AS476" s="18">
        <v>1</v>
      </c>
    </row>
    <row r="477" spans="30:47" x14ac:dyDescent="0.3">
      <c r="AF477" s="46" t="s">
        <v>98</v>
      </c>
      <c r="AG477" s="47"/>
      <c r="AJ477" s="46" t="s">
        <v>109</v>
      </c>
      <c r="AK477" s="47"/>
      <c r="AQ477">
        <f>SUM(AQ467:AQ476)</f>
        <v>2.6661178538750727</v>
      </c>
      <c r="AR477">
        <f>SUM(AR467:AR476)</f>
        <v>7.3338821461249273</v>
      </c>
    </row>
    <row r="478" spans="30:47" x14ac:dyDescent="0.3">
      <c r="AF478" t="s">
        <v>81</v>
      </c>
      <c r="AH478" t="s">
        <v>85</v>
      </c>
      <c r="AJ478" t="s">
        <v>81</v>
      </c>
      <c r="AL478" t="s">
        <v>85</v>
      </c>
    </row>
    <row r="479" spans="30:47" x14ac:dyDescent="0.3">
      <c r="AF479" t="s">
        <v>82</v>
      </c>
      <c r="AG479">
        <f>SUM(AF467)</f>
        <v>0.96340081701101465</v>
      </c>
      <c r="AH479">
        <f>((AG479)/(AG479+AG480+AG481))*(100)</f>
        <v>36.13496738753534</v>
      </c>
      <c r="AJ479" t="s">
        <v>82</v>
      </c>
      <c r="AK479">
        <f>SUM(AL465,AL466,AL473)</f>
        <v>2.0365991829889856</v>
      </c>
      <c r="AL479">
        <f>((AK479)/(AK479+AK480+AK481))*(100)</f>
        <v>27.769728806796856</v>
      </c>
    </row>
    <row r="480" spans="30:47" x14ac:dyDescent="0.3">
      <c r="AD480" s="216" t="s">
        <v>132</v>
      </c>
      <c r="AE480" s="216"/>
      <c r="AF480" s="70" t="s">
        <v>83</v>
      </c>
      <c r="AG480" s="70">
        <f>SUM(AF464:AF466)</f>
        <v>1.7027170368640583</v>
      </c>
      <c r="AH480" s="70">
        <f>((AG480)/(AG479+AG480+AG481))*(100)</f>
        <v>63.865032612464667</v>
      </c>
      <c r="AJ480" t="s">
        <v>83</v>
      </c>
      <c r="AK480">
        <f>SUM(AL464,AL470,AL471,AL472,AL467)</f>
        <v>3.2972829631359417</v>
      </c>
      <c r="AL480">
        <f>((AK480)/(AK479+AK480+AK481))*(100)</f>
        <v>44.959584807047356</v>
      </c>
    </row>
    <row r="481" spans="32:38" x14ac:dyDescent="0.3">
      <c r="AF481" t="s">
        <v>84</v>
      </c>
      <c r="AG481">
        <v>0</v>
      </c>
      <c r="AH481">
        <f>((AG481)/(AG479+AG480+AG481))*(100)</f>
        <v>0</v>
      </c>
      <c r="AJ481" t="s">
        <v>84</v>
      </c>
      <c r="AK481">
        <f>SUM(AL468,AL469)</f>
        <v>2</v>
      </c>
      <c r="AL481">
        <f>((AK481)/(AK479+AK480+AK481))*(100)</f>
        <v>27.270686386155781</v>
      </c>
    </row>
    <row r="527" spans="41:47" x14ac:dyDescent="0.3">
      <c r="AO527" s="40" t="s">
        <v>46</v>
      </c>
      <c r="AP527" s="71" t="s">
        <v>4</v>
      </c>
      <c r="AQ527" s="7" t="s">
        <v>55</v>
      </c>
      <c r="AR527" s="7" t="s">
        <v>43</v>
      </c>
      <c r="AS527" s="73" t="s">
        <v>79</v>
      </c>
      <c r="AT527" t="s">
        <v>68</v>
      </c>
    </row>
    <row r="528" spans="41:47" x14ac:dyDescent="0.3">
      <c r="AO528" s="40">
        <v>1</v>
      </c>
      <c r="AP528" s="72">
        <v>52</v>
      </c>
      <c r="AQ528" s="7">
        <v>0</v>
      </c>
      <c r="AR528" s="7">
        <v>1</v>
      </c>
      <c r="AS528" s="74">
        <v>2</v>
      </c>
      <c r="AT528" t="s">
        <v>55</v>
      </c>
      <c r="AU528">
        <f>-((AQ529+AQ530+AQ537)/(AQ538)*LOG((AQ529+AQ530+AQ537)/(AQ538),2))-((AQ528+AQ531+AQ534+AQ535+AQ536)/(AQ538)*LOG((AQ528+AQ531+AQ534+AQ535+AQ536)/(AQ538),2))-((AQ532+AQ533)/(AQ538)*LOG((AQ532+AQ533)/(AQ538),2))</f>
        <v>1.4892246646343092</v>
      </c>
    </row>
    <row r="529" spans="34:47" x14ac:dyDescent="0.3">
      <c r="AO529" s="40">
        <v>3</v>
      </c>
      <c r="AP529" s="72">
        <v>56</v>
      </c>
      <c r="AQ529" s="7">
        <v>0</v>
      </c>
      <c r="AR529" s="7">
        <v>1</v>
      </c>
      <c r="AS529" s="74">
        <v>1</v>
      </c>
      <c r="AT529" t="s">
        <v>43</v>
      </c>
      <c r="AU529">
        <f>-((AR529+AR530+AR537)/(AR538)*LOG((AR529+AR530+AR537)/(AR538),2))-((AR528+AR531+AR534+AR535+AR536)/(AR538)*LOG((AR528+AR531+AR534+AR535+AR536)/(AR538),2))-((AR532+AR533)/(AR538)*LOG((AR532+AR533)/(AR538),2))</f>
        <v>1.4793559414885662</v>
      </c>
    </row>
    <row r="530" spans="34:47" x14ac:dyDescent="0.3">
      <c r="AO530" s="40">
        <v>4</v>
      </c>
      <c r="AP530" s="72">
        <v>38</v>
      </c>
      <c r="AQ530" s="7">
        <v>0.7</v>
      </c>
      <c r="AR530" s="7">
        <v>0.3</v>
      </c>
      <c r="AS530" s="74">
        <v>1</v>
      </c>
    </row>
    <row r="531" spans="34:47" x14ac:dyDescent="0.3">
      <c r="AO531" s="40">
        <v>6</v>
      </c>
      <c r="AP531" s="72">
        <v>31</v>
      </c>
      <c r="AQ531" s="7">
        <v>1</v>
      </c>
      <c r="AR531" s="7">
        <v>0</v>
      </c>
      <c r="AS531" s="74">
        <v>2</v>
      </c>
    </row>
    <row r="532" spans="34:47" x14ac:dyDescent="0.3">
      <c r="AO532" s="40">
        <v>7</v>
      </c>
      <c r="AP532" s="72">
        <v>43</v>
      </c>
      <c r="AQ532" s="7">
        <v>0.2</v>
      </c>
      <c r="AR532" s="7">
        <v>0.8</v>
      </c>
      <c r="AS532" s="74">
        <v>3</v>
      </c>
    </row>
    <row r="533" spans="34:47" x14ac:dyDescent="0.3">
      <c r="AO533" s="40">
        <v>9</v>
      </c>
      <c r="AP533" s="72">
        <v>27</v>
      </c>
      <c r="AQ533" s="7">
        <v>1</v>
      </c>
      <c r="AR533" s="7">
        <v>0</v>
      </c>
      <c r="AS533" s="74">
        <v>3</v>
      </c>
    </row>
    <row r="534" spans="34:47" x14ac:dyDescent="0.3">
      <c r="AO534" s="40">
        <v>10</v>
      </c>
      <c r="AP534" s="72">
        <v>80</v>
      </c>
      <c r="AQ534" s="7">
        <v>0</v>
      </c>
      <c r="AR534" s="7">
        <v>1</v>
      </c>
      <c r="AS534" s="74">
        <v>2</v>
      </c>
    </row>
    <row r="535" spans="34:47" x14ac:dyDescent="0.3">
      <c r="AO535" s="40">
        <v>11</v>
      </c>
      <c r="AP535" s="72">
        <v>35</v>
      </c>
      <c r="AQ535" s="7">
        <v>1</v>
      </c>
      <c r="AR535" s="7">
        <v>0</v>
      </c>
      <c r="AS535" s="74">
        <v>2</v>
      </c>
    </row>
    <row r="536" spans="34:47" x14ac:dyDescent="0.3">
      <c r="AO536" s="40">
        <v>12</v>
      </c>
      <c r="AP536" s="72">
        <v>36</v>
      </c>
      <c r="AQ536" s="7">
        <v>0.9</v>
      </c>
      <c r="AR536" s="7">
        <v>0.1</v>
      </c>
      <c r="AS536" s="74">
        <v>2</v>
      </c>
    </row>
    <row r="537" spans="34:47" x14ac:dyDescent="0.3">
      <c r="AO537" s="40">
        <v>15</v>
      </c>
      <c r="AP537" s="72">
        <v>22</v>
      </c>
      <c r="AQ537" s="7">
        <v>1</v>
      </c>
      <c r="AR537" s="7">
        <v>0</v>
      </c>
      <c r="AS537" s="74">
        <v>1</v>
      </c>
    </row>
    <row r="538" spans="34:47" x14ac:dyDescent="0.3">
      <c r="AQ538" s="7">
        <f>SUM(AQ528:AQ537)</f>
        <v>5.8</v>
      </c>
      <c r="AR538" s="7">
        <f>SUM(AR528:AR537)</f>
        <v>4.1999999999999993</v>
      </c>
    </row>
    <row r="543" spans="34:47" x14ac:dyDescent="0.3">
      <c r="AH543" s="40" t="s">
        <v>46</v>
      </c>
      <c r="AI543" s="7" t="s">
        <v>92</v>
      </c>
      <c r="AJ543" s="37" t="s">
        <v>79</v>
      </c>
      <c r="AN543" s="40" t="s">
        <v>46</v>
      </c>
      <c r="AO543" s="7" t="s">
        <v>133</v>
      </c>
      <c r="AP543" s="7" t="s">
        <v>79</v>
      </c>
    </row>
    <row r="544" spans="34:47" x14ac:dyDescent="0.3">
      <c r="AH544" s="40">
        <v>4</v>
      </c>
      <c r="AI544" s="7">
        <v>0.7</v>
      </c>
      <c r="AJ544" s="18">
        <v>1</v>
      </c>
      <c r="AN544" s="40">
        <v>1</v>
      </c>
      <c r="AO544" s="7">
        <v>1</v>
      </c>
      <c r="AP544" s="18">
        <v>2</v>
      </c>
    </row>
    <row r="545" spans="34:42" x14ac:dyDescent="0.3">
      <c r="AH545" s="40">
        <v>6</v>
      </c>
      <c r="AI545" s="7">
        <v>1</v>
      </c>
      <c r="AJ545" s="18">
        <v>2</v>
      </c>
      <c r="AN545" s="40">
        <v>3</v>
      </c>
      <c r="AO545" s="7">
        <v>1</v>
      </c>
      <c r="AP545" s="18">
        <v>1</v>
      </c>
    </row>
    <row r="546" spans="34:42" x14ac:dyDescent="0.3">
      <c r="AH546" s="40">
        <v>7</v>
      </c>
      <c r="AI546" s="7">
        <v>0.2</v>
      </c>
      <c r="AJ546" s="18">
        <v>3</v>
      </c>
      <c r="AN546" s="40">
        <v>4</v>
      </c>
      <c r="AO546" s="7">
        <v>0.3</v>
      </c>
      <c r="AP546" s="18">
        <v>1</v>
      </c>
    </row>
    <row r="547" spans="34:42" x14ac:dyDescent="0.3">
      <c r="AH547" s="40">
        <v>9</v>
      </c>
      <c r="AI547" s="7">
        <v>1</v>
      </c>
      <c r="AJ547" s="18">
        <v>3</v>
      </c>
      <c r="AN547" s="40">
        <v>7</v>
      </c>
      <c r="AO547" s="7">
        <v>0.8</v>
      </c>
      <c r="AP547" s="18">
        <v>3</v>
      </c>
    </row>
    <row r="548" spans="34:42" x14ac:dyDescent="0.3">
      <c r="AH548" s="40">
        <v>11</v>
      </c>
      <c r="AI548" s="7">
        <v>1</v>
      </c>
      <c r="AJ548" s="18">
        <v>2</v>
      </c>
      <c r="AN548" s="40">
        <v>10</v>
      </c>
      <c r="AO548" s="7">
        <v>1</v>
      </c>
      <c r="AP548" s="18">
        <v>2</v>
      </c>
    </row>
    <row r="549" spans="34:42" x14ac:dyDescent="0.3">
      <c r="AH549" s="40">
        <v>12</v>
      </c>
      <c r="AI549" s="7">
        <v>0.9</v>
      </c>
      <c r="AJ549" s="18">
        <v>2</v>
      </c>
      <c r="AN549" s="40">
        <v>12</v>
      </c>
      <c r="AO549" s="7">
        <v>0.1</v>
      </c>
      <c r="AP549" s="18">
        <v>2</v>
      </c>
    </row>
    <row r="550" spans="34:42" x14ac:dyDescent="0.3">
      <c r="AH550" s="40">
        <v>15</v>
      </c>
      <c r="AI550" s="7">
        <v>1</v>
      </c>
      <c r="AJ550" s="18">
        <v>1</v>
      </c>
    </row>
    <row r="554" spans="34:42" x14ac:dyDescent="0.3">
      <c r="AH554" t="s">
        <v>130</v>
      </c>
    </row>
    <row r="555" spans="34:42" x14ac:dyDescent="0.3">
      <c r="AH555" s="46" t="s">
        <v>111</v>
      </c>
      <c r="AI555" s="47"/>
      <c r="AL555" s="46" t="s">
        <v>112</v>
      </c>
      <c r="AM555" s="47"/>
    </row>
    <row r="556" spans="34:42" x14ac:dyDescent="0.3">
      <c r="AH556" t="s">
        <v>81</v>
      </c>
      <c r="AJ556" t="s">
        <v>85</v>
      </c>
      <c r="AL556" t="s">
        <v>81</v>
      </c>
      <c r="AN556" t="s">
        <v>85</v>
      </c>
    </row>
    <row r="557" spans="34:42" x14ac:dyDescent="0.3">
      <c r="AH557" s="75" t="s">
        <v>82</v>
      </c>
      <c r="AI557" s="75">
        <f>SUM(AI544,AI550)</f>
        <v>1.7</v>
      </c>
      <c r="AJ557" s="75">
        <f>((AI557)/(AI557+AI558+AI559))*(100)</f>
        <v>34</v>
      </c>
      <c r="AL557" t="s">
        <v>82</v>
      </c>
      <c r="AM557">
        <f>SUM(AO545,AO546)</f>
        <v>1.3</v>
      </c>
      <c r="AN557">
        <f>((AM557)/(AM557+AM558+AM559))*(100)</f>
        <v>30.952380952380953</v>
      </c>
    </row>
    <row r="558" spans="34:42" x14ac:dyDescent="0.3">
      <c r="AH558" s="75" t="s">
        <v>83</v>
      </c>
      <c r="AI558" s="75">
        <f>SUM(AI546,AI547)</f>
        <v>1.2</v>
      </c>
      <c r="AJ558" s="75">
        <f>((AI558)/(AI557+AI558+AI559))*(100)</f>
        <v>24</v>
      </c>
      <c r="AL558" t="s">
        <v>83</v>
      </c>
      <c r="AM558">
        <f>SUM(AO544,AO548,AO549)</f>
        <v>2.1</v>
      </c>
      <c r="AN558">
        <f>((AM558)/(AM557+AM558+AM559))*(100)</f>
        <v>50</v>
      </c>
    </row>
    <row r="559" spans="34:42" x14ac:dyDescent="0.3">
      <c r="AH559" s="75" t="s">
        <v>84</v>
      </c>
      <c r="AI559" s="75">
        <f>SUM(AI546,AI549,AI550)</f>
        <v>2.1</v>
      </c>
      <c r="AJ559" s="75">
        <f>((AI559)/(AI557+AI558+AI559))*(100)</f>
        <v>42.000000000000007</v>
      </c>
      <c r="AL559" t="s">
        <v>84</v>
      </c>
      <c r="AM559">
        <f>SUM(AO547)</f>
        <v>0.8</v>
      </c>
      <c r="AN559">
        <f>((AM559)/(AM557+AM558+AM559))*(100)</f>
        <v>19.047619047619047</v>
      </c>
    </row>
    <row r="610" spans="32:32" x14ac:dyDescent="0.3">
      <c r="AF610" t="s">
        <v>134</v>
      </c>
    </row>
  </sheetData>
  <mergeCells count="51">
    <mergeCell ref="AX453:AZ453"/>
    <mergeCell ref="AX454:AZ454"/>
    <mergeCell ref="AX455:AZ455"/>
    <mergeCell ref="AD480:AE480"/>
    <mergeCell ref="AV375:AX375"/>
    <mergeCell ref="AV376:AX376"/>
    <mergeCell ref="AV377:AX377"/>
    <mergeCell ref="AV378:AX378"/>
    <mergeCell ref="AA399:AB399"/>
    <mergeCell ref="O2:O3"/>
    <mergeCell ref="P2:P3"/>
    <mergeCell ref="A1:P1"/>
    <mergeCell ref="A2:A3"/>
    <mergeCell ref="B2:B3"/>
    <mergeCell ref="C2:C3"/>
    <mergeCell ref="D2:E2"/>
    <mergeCell ref="F2:F3"/>
    <mergeCell ref="G2:G3"/>
    <mergeCell ref="H2:H3"/>
    <mergeCell ref="J2:J3"/>
    <mergeCell ref="K2:K3"/>
    <mergeCell ref="E29:G29"/>
    <mergeCell ref="H29:J29"/>
    <mergeCell ref="L2:L3"/>
    <mergeCell ref="M2:M3"/>
    <mergeCell ref="N2:N3"/>
    <mergeCell ref="E26:G26"/>
    <mergeCell ref="H26:J26"/>
    <mergeCell ref="E27:G27"/>
    <mergeCell ref="H27:J27"/>
    <mergeCell ref="E28:G28"/>
    <mergeCell ref="H28:J28"/>
    <mergeCell ref="T77:U77"/>
    <mergeCell ref="U108:V108"/>
    <mergeCell ref="U109:V109"/>
    <mergeCell ref="U110:V110"/>
    <mergeCell ref="E30:G30"/>
    <mergeCell ref="H30:J30"/>
    <mergeCell ref="T74:U74"/>
    <mergeCell ref="T75:U75"/>
    <mergeCell ref="T76:U76"/>
    <mergeCell ref="H278:J278"/>
    <mergeCell ref="H279:J279"/>
    <mergeCell ref="H311:J311"/>
    <mergeCell ref="H312:J312"/>
    <mergeCell ref="U111:V111"/>
    <mergeCell ref="T134:U134"/>
    <mergeCell ref="T135:U135"/>
    <mergeCell ref="U217:V217"/>
    <mergeCell ref="U218:V218"/>
    <mergeCell ref="U219:V21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74"/>
  <sheetViews>
    <sheetView tabSelected="1" topLeftCell="A126" zoomScale="70" zoomScaleNormal="70" workbookViewId="0">
      <selection activeCell="I145" sqref="I145"/>
    </sheetView>
  </sheetViews>
  <sheetFormatPr defaultRowHeight="14.4" x14ac:dyDescent="0.3"/>
  <cols>
    <col min="1" max="1" width="7.6640625" bestFit="1" customWidth="1"/>
    <col min="7" max="7" width="13.44140625" bestFit="1" customWidth="1"/>
    <col min="8" max="8" width="13.6640625" bestFit="1" customWidth="1"/>
    <col min="10" max="10" width="11.33203125" bestFit="1" customWidth="1"/>
    <col min="11" max="11" width="17.77734375" bestFit="1" customWidth="1"/>
    <col min="12" max="12" width="10.109375" bestFit="1" customWidth="1"/>
    <col min="13" max="13" width="13.33203125" bestFit="1" customWidth="1"/>
    <col min="15" max="15" width="15.33203125" bestFit="1" customWidth="1"/>
    <col min="16" max="16" width="15.6640625" bestFit="1" customWidth="1"/>
    <col min="22" max="22" width="7.5546875" customWidth="1"/>
    <col min="24" max="24" width="8.109375" bestFit="1" customWidth="1"/>
    <col min="25" max="25" width="9.33203125" bestFit="1" customWidth="1"/>
    <col min="27" max="27" width="7.21875" customWidth="1"/>
    <col min="28" max="28" width="12.6640625" bestFit="1" customWidth="1"/>
    <col min="35" max="35" width="10.33203125" bestFit="1" customWidth="1"/>
    <col min="37" max="37" width="10.6640625" bestFit="1" customWidth="1"/>
    <col min="44" max="44" width="11.6640625" bestFit="1" customWidth="1"/>
    <col min="54" max="54" width="10.88671875" bestFit="1" customWidth="1"/>
    <col min="64" max="64" width="10.6640625" bestFit="1" customWidth="1"/>
  </cols>
  <sheetData>
    <row r="1" spans="1:68" x14ac:dyDescent="0.3">
      <c r="A1" s="222" t="s">
        <v>3</v>
      </c>
      <c r="B1" s="222" t="s">
        <v>4</v>
      </c>
      <c r="C1" s="222" t="s">
        <v>5</v>
      </c>
      <c r="D1" s="222" t="s">
        <v>6</v>
      </c>
      <c r="E1" s="222"/>
      <c r="F1" s="223" t="s">
        <v>7</v>
      </c>
      <c r="G1" s="222" t="s">
        <v>8</v>
      </c>
      <c r="H1" s="222" t="s">
        <v>9</v>
      </c>
      <c r="I1" s="110" t="s">
        <v>10</v>
      </c>
      <c r="J1" s="222" t="s">
        <v>11</v>
      </c>
      <c r="K1" s="223" t="s">
        <v>12</v>
      </c>
      <c r="L1" s="222" t="s">
        <v>13</v>
      </c>
      <c r="M1" s="222" t="s">
        <v>14</v>
      </c>
      <c r="N1" s="222" t="s">
        <v>15</v>
      </c>
      <c r="O1" s="221" t="s">
        <v>16</v>
      </c>
      <c r="P1" s="221" t="s">
        <v>17</v>
      </c>
      <c r="S1" t="s">
        <v>55</v>
      </c>
      <c r="T1">
        <v>26</v>
      </c>
      <c r="U1">
        <v>45</v>
      </c>
      <c r="X1" t="s">
        <v>44</v>
      </c>
      <c r="Y1" t="s">
        <v>257</v>
      </c>
      <c r="Z1" t="s">
        <v>61</v>
      </c>
      <c r="AE1" t="s">
        <v>44</v>
      </c>
      <c r="AF1">
        <v>90</v>
      </c>
      <c r="AI1" t="s">
        <v>44</v>
      </c>
      <c r="AJ1">
        <v>18</v>
      </c>
      <c r="AM1" t="s">
        <v>25</v>
      </c>
      <c r="AN1">
        <v>1</v>
      </c>
      <c r="AR1" t="s">
        <v>39</v>
      </c>
      <c r="AS1">
        <v>1</v>
      </c>
      <c r="AW1" s="138" t="s">
        <v>32</v>
      </c>
      <c r="AX1" s="124">
        <v>1</v>
      </c>
      <c r="BB1" s="138" t="s">
        <v>33</v>
      </c>
      <c r="BC1">
        <v>1</v>
      </c>
      <c r="BG1" t="s">
        <v>25</v>
      </c>
      <c r="BH1">
        <v>1</v>
      </c>
      <c r="BL1" s="134" t="s">
        <v>34</v>
      </c>
      <c r="BM1" s="134" t="s">
        <v>29</v>
      </c>
      <c r="BN1" s="134" t="s">
        <v>38</v>
      </c>
    </row>
    <row r="2" spans="1:68" x14ac:dyDescent="0.3">
      <c r="A2" s="222"/>
      <c r="B2" s="222"/>
      <c r="C2" s="222"/>
      <c r="D2" s="110" t="s">
        <v>19</v>
      </c>
      <c r="E2" s="110" t="s">
        <v>20</v>
      </c>
      <c r="F2" s="224"/>
      <c r="G2" s="222"/>
      <c r="H2" s="222"/>
      <c r="I2" s="150" t="s">
        <v>21</v>
      </c>
      <c r="J2" s="222"/>
      <c r="K2" s="224"/>
      <c r="L2" s="222"/>
      <c r="M2" s="222"/>
      <c r="N2" s="222"/>
      <c r="O2" s="221"/>
      <c r="P2" s="221"/>
      <c r="S2" t="s">
        <v>43</v>
      </c>
      <c r="T2">
        <v>46</v>
      </c>
      <c r="U2">
        <v>70</v>
      </c>
      <c r="X2">
        <v>200</v>
      </c>
      <c r="Y2">
        <v>230</v>
      </c>
      <c r="Z2">
        <v>270</v>
      </c>
      <c r="AE2" t="s">
        <v>258</v>
      </c>
      <c r="AF2">
        <v>100</v>
      </c>
      <c r="AI2" t="s">
        <v>47</v>
      </c>
      <c r="AJ2">
        <v>27</v>
      </c>
      <c r="AM2" t="s">
        <v>34</v>
      </c>
      <c r="AN2">
        <v>0</v>
      </c>
      <c r="AR2" t="s">
        <v>26</v>
      </c>
      <c r="AS2">
        <v>0</v>
      </c>
      <c r="AW2" s="138" t="s">
        <v>27</v>
      </c>
      <c r="AX2" s="124">
        <v>0</v>
      </c>
      <c r="BB2" s="138" t="s">
        <v>28</v>
      </c>
      <c r="BC2">
        <v>0</v>
      </c>
      <c r="BG2" t="s">
        <v>31</v>
      </c>
      <c r="BH2">
        <v>0</v>
      </c>
      <c r="BL2">
        <v>0</v>
      </c>
      <c r="BM2">
        <v>0.5</v>
      </c>
      <c r="BN2">
        <v>1</v>
      </c>
    </row>
    <row r="3" spans="1:68" ht="14.4" customHeight="1" x14ac:dyDescent="0.3">
      <c r="A3" s="133">
        <v>1</v>
      </c>
      <c r="B3" s="133">
        <v>52</v>
      </c>
      <c r="C3" s="133" t="s">
        <v>24</v>
      </c>
      <c r="D3" s="133">
        <v>125</v>
      </c>
      <c r="E3" s="133">
        <v>90</v>
      </c>
      <c r="F3" s="133">
        <v>78</v>
      </c>
      <c r="G3" s="133">
        <v>1.63</v>
      </c>
      <c r="H3" s="133">
        <v>62.7</v>
      </c>
      <c r="I3" s="4">
        <f>H3/(G3*G3)</f>
        <v>23.598931085099178</v>
      </c>
      <c r="J3" s="120" t="s">
        <v>25</v>
      </c>
      <c r="K3" s="133" t="s">
        <v>26</v>
      </c>
      <c r="L3" s="133" t="s">
        <v>27</v>
      </c>
      <c r="M3" s="133" t="s">
        <v>28</v>
      </c>
      <c r="N3" s="133" t="s">
        <v>25</v>
      </c>
      <c r="O3" s="133" t="s">
        <v>29</v>
      </c>
      <c r="P3" s="133" t="s">
        <v>30</v>
      </c>
      <c r="R3" s="139" t="s">
        <v>66</v>
      </c>
      <c r="S3" s="139" t="s">
        <v>4</v>
      </c>
      <c r="T3" s="139" t="s">
        <v>55</v>
      </c>
      <c r="U3" s="139" t="s">
        <v>43</v>
      </c>
      <c r="W3" s="140" t="s">
        <v>77</v>
      </c>
      <c r="X3" s="139" t="s">
        <v>254</v>
      </c>
      <c r="Y3" s="139" t="s">
        <v>255</v>
      </c>
      <c r="Z3" s="139" t="s">
        <v>64</v>
      </c>
      <c r="AA3" s="139" t="s">
        <v>44</v>
      </c>
      <c r="AB3" s="139" t="s">
        <v>256</v>
      </c>
      <c r="AC3" s="139" t="s">
        <v>61</v>
      </c>
      <c r="AE3" s="139" t="s">
        <v>56</v>
      </c>
      <c r="AF3" s="139" t="s">
        <v>44</v>
      </c>
      <c r="AG3" s="139" t="s">
        <v>258</v>
      </c>
      <c r="AI3" s="139" t="s">
        <v>10</v>
      </c>
      <c r="AJ3" s="139" t="s">
        <v>44</v>
      </c>
      <c r="AK3" s="139" t="s">
        <v>47</v>
      </c>
      <c r="AM3" s="139" t="s">
        <v>11</v>
      </c>
      <c r="AN3" s="139" t="s">
        <v>259</v>
      </c>
      <c r="AO3" s="139" t="s">
        <v>25</v>
      </c>
      <c r="AP3" s="139" t="s">
        <v>34</v>
      </c>
      <c r="AR3" s="139" t="s">
        <v>48</v>
      </c>
      <c r="AS3" s="139" t="s">
        <v>259</v>
      </c>
      <c r="AT3" s="139" t="s">
        <v>26</v>
      </c>
      <c r="AU3" s="139" t="s">
        <v>39</v>
      </c>
      <c r="AW3" s="139" t="s">
        <v>13</v>
      </c>
      <c r="AX3" s="139" t="s">
        <v>259</v>
      </c>
      <c r="AY3" s="110" t="s">
        <v>27</v>
      </c>
      <c r="AZ3" s="110" t="s">
        <v>32</v>
      </c>
      <c r="BB3" s="139" t="s">
        <v>52</v>
      </c>
      <c r="BC3" s="142" t="s">
        <v>259</v>
      </c>
      <c r="BD3" s="110" t="s">
        <v>28</v>
      </c>
      <c r="BE3" s="110" t="s">
        <v>33</v>
      </c>
      <c r="BG3" s="139" t="s">
        <v>15</v>
      </c>
      <c r="BH3" s="139" t="s">
        <v>259</v>
      </c>
      <c r="BI3" s="139" t="s">
        <v>25</v>
      </c>
      <c r="BJ3" s="139" t="s">
        <v>34</v>
      </c>
      <c r="BL3" s="139" t="s">
        <v>260</v>
      </c>
      <c r="BM3" s="139" t="s">
        <v>259</v>
      </c>
      <c r="BN3" s="134" t="s">
        <v>34</v>
      </c>
      <c r="BO3" s="134" t="s">
        <v>29</v>
      </c>
      <c r="BP3" s="134" t="s">
        <v>38</v>
      </c>
    </row>
    <row r="4" spans="1:68" x14ac:dyDescent="0.3">
      <c r="A4" s="133">
        <v>2</v>
      </c>
      <c r="B4" s="133">
        <v>66</v>
      </c>
      <c r="C4" s="133" t="s">
        <v>24</v>
      </c>
      <c r="D4" s="133">
        <v>194</v>
      </c>
      <c r="E4" s="133">
        <v>114</v>
      </c>
      <c r="F4" s="133">
        <v>98</v>
      </c>
      <c r="G4" s="133">
        <v>1.63</v>
      </c>
      <c r="H4" s="133">
        <v>72.2</v>
      </c>
      <c r="I4" s="4">
        <f t="shared" ref="I4:I67" si="0">H4/(G4*G4)</f>
        <v>27.174526704053598</v>
      </c>
      <c r="J4" s="120" t="s">
        <v>31</v>
      </c>
      <c r="K4" s="133" t="s">
        <v>26</v>
      </c>
      <c r="L4" s="133" t="s">
        <v>32</v>
      </c>
      <c r="M4" s="133" t="s">
        <v>33</v>
      </c>
      <c r="N4" s="133" t="s">
        <v>25</v>
      </c>
      <c r="O4" s="133" t="s">
        <v>34</v>
      </c>
      <c r="P4" s="133" t="s">
        <v>35</v>
      </c>
      <c r="R4" s="134" t="s">
        <v>30</v>
      </c>
      <c r="S4" s="133">
        <v>52</v>
      </c>
      <c r="T4" s="121">
        <f>IF(S4&lt;=$T$1,1,IF(AND($T$1&lt;S4,S4&lt;$T$2),($T$2-S4)/($T$2-$T$1),IF(S4&gt;=$T$2,0)))</f>
        <v>0</v>
      </c>
      <c r="U4" s="121">
        <f>IF(S4&lt;=$T$1,0,IF(AND($T$1&lt;S4,S4&lt;$T$2),(S4-$T$1)/($T$2-$T$1),IF(S4&gt;=$T$2,1)))</f>
        <v>1</v>
      </c>
      <c r="W4">
        <v>1</v>
      </c>
      <c r="X4" s="133">
        <v>125</v>
      </c>
      <c r="Y4" s="133">
        <v>90</v>
      </c>
      <c r="Z4" s="121">
        <f>SUM(X4:Y4)</f>
        <v>215</v>
      </c>
      <c r="AA4" s="121">
        <f>IF(Z4&lt;=$X$2,1,IF(AND($X$2&lt;Z4,Z4&lt;$Y$2),($Y$2-Z4)/($Y$2-$X$2),IF(Z4&gt;=$Y$2,0)))</f>
        <v>0.5</v>
      </c>
      <c r="AB4" s="121">
        <f>IF(AND($X$2&lt;Z4,Z4&lt;$Y$2),(Z4-$X$2)/($Y$2-$X$2),IF(AND($Y$2&lt;=Z4,Z4&lt;$Z$2),($Z$2-Z4)/($Z$2-$Y$2), IF(OR(Z4&lt;=$X$2,Z4&gt;=$Z$2),0,salah)))</f>
        <v>0.5</v>
      </c>
      <c r="AC4" s="121">
        <f>IF(Z4&lt;=$Y$2,0,IF(AND($Y$2&lt;Z4,Z4&lt;$Z$2),(Z4-$Y$2)/($Z$2-$Y$2),IF(Z4&gt;=$Y$2,1)))</f>
        <v>0</v>
      </c>
      <c r="AE4" s="134">
        <v>78</v>
      </c>
      <c r="AF4" s="121">
        <f>IF(AE4&lt;=$AF$1,1,IF(AND($AF$1&lt;AE4,AE4&lt;$AF$2),($AF$2-AE4)/($AF$2-$AF$1),IF(AE4&gt;=$AF$2,0)))</f>
        <v>1</v>
      </c>
      <c r="AG4" s="121">
        <f>IF(AE4&lt;=$AF$1,0,IF(AND($AF$1&lt;AE4,AE4&lt;$AF$2),(AE4-$AF$1)/($AF$2-$AF$1),IF(AE4&gt;=$AF$2,1)))</f>
        <v>0</v>
      </c>
      <c r="AI4" s="4">
        <f>H3/(G3*G3)</f>
        <v>23.598931085099178</v>
      </c>
      <c r="AJ4" s="121">
        <f>IF(AI4&lt;=$AJ$1,1,IF(AND($AJ$1&lt;AI4,AI4&lt;$AJ$2),($AJ$2-AI4)/($AJ$2-$AJ$1),IF(AI4&gt;=$AJ$2,0)))</f>
        <v>0.37789654610009138</v>
      </c>
      <c r="AK4" s="121">
        <f>IF(AI4&lt;=$AJ$1,0,IF(AND($AJ$1&lt;AI4,AI4&lt;$AJ$2),(AI4-$AJ$1)/($AJ$2-$AJ$1),IF(AI4&gt;=$AJ$2,1)))</f>
        <v>0.62210345389990862</v>
      </c>
      <c r="AM4" s="120" t="s">
        <v>25</v>
      </c>
      <c r="AN4" s="121">
        <f>IF(AM4="Ya", 1, 0)</f>
        <v>1</v>
      </c>
      <c r="AO4" s="121">
        <f>($AN$2-AN4)/($AN$2-$AN$1)</f>
        <v>1</v>
      </c>
      <c r="AP4" s="121">
        <f>(AN4-$AN$1)/($AN$2-$AN$1)</f>
        <v>0</v>
      </c>
      <c r="AR4" s="134" t="s">
        <v>26</v>
      </c>
      <c r="AS4" s="121">
        <f>IF(AR4="Jarang", 0, 1)</f>
        <v>0</v>
      </c>
      <c r="AT4" s="121">
        <f>($AS$2-AS4)/($AS$2-$AS$1)</f>
        <v>0</v>
      </c>
      <c r="AU4" s="121">
        <f>(AS4-$AS$1)/($AS$2-$AS$1)</f>
        <v>1</v>
      </c>
      <c r="AW4" s="134" t="s">
        <v>27</v>
      </c>
      <c r="AX4" s="121">
        <f>IF(AW4="≤ 4 sdm", 0, 1)</f>
        <v>0</v>
      </c>
      <c r="AY4" s="121">
        <f>($AX$2-AX4)/($AX$2-$AX$1)</f>
        <v>0</v>
      </c>
      <c r="AZ4" s="121">
        <f>(AX4-$AX$1)/($AX$2-$AX$1)</f>
        <v>1</v>
      </c>
      <c r="BB4" s="134" t="s">
        <v>28</v>
      </c>
      <c r="BC4" s="121">
        <f>IF(BB4="≤ 1 sdt", 0, 1)</f>
        <v>0</v>
      </c>
      <c r="BD4" s="121">
        <f>($BC$2-BC4)/($BC$2-$BC$1)</f>
        <v>0</v>
      </c>
      <c r="BE4" s="121">
        <f>(BC4-$BC$1)/($BC$2-$BC$1)</f>
        <v>1</v>
      </c>
      <c r="BG4" s="134" t="s">
        <v>25</v>
      </c>
      <c r="BH4" s="121">
        <f>IF(BG4="Ya", 1, 0)</f>
        <v>1</v>
      </c>
      <c r="BI4" s="121">
        <f>($BH$2-BH4)/($BH$2-$BH$1)</f>
        <v>1</v>
      </c>
      <c r="BJ4" s="121">
        <f>(BH4-$BH$1)/($BH$2-$BH$1)</f>
        <v>0</v>
      </c>
      <c r="BL4" s="134" t="s">
        <v>29</v>
      </c>
      <c r="BM4" s="121">
        <f>IF(BL4="Tidak", 0,IF(BL4="≤ 3 gelas", 0.5, IF(BL4="&gt; 3 gelas", 1, )))</f>
        <v>0.5</v>
      </c>
      <c r="BN4" s="121">
        <f>IF(BM4&lt;=$BL$2,1,IF(AND($BL$2&lt;BM4,BM4&lt;$BM$2),($BM$2-BM4)/($BM$2-$BL$2),IF(BM4&gt;=$BM$2,0)))</f>
        <v>0</v>
      </c>
      <c r="BO4" s="121">
        <f>IF(AND($BL$2&lt;BM4,BM4&lt;$BM$2),(BM4-$BL$2)/($BM$2-$BL$2),IF(AND($BM$2&lt;=BM4,BM4&lt;$BN$2),($BN$2-BM4)/($BN$2-$BM$2), IF(OR(BM4&lt;=$BL$2,BM4&gt;=$BN$2),0,salah)))</f>
        <v>1</v>
      </c>
      <c r="BP4" s="121">
        <f>IF(BM4&lt;=$BM$2,0,IF(AND($BM$2&lt;BM4,BM4&lt;$BN$2),(BM4-$BM$2)/($BN$2-$BM$2),IF(BM4&gt;=$BM$2,1)))</f>
        <v>0</v>
      </c>
    </row>
    <row r="5" spans="1:68" x14ac:dyDescent="0.3">
      <c r="A5" s="133">
        <v>3</v>
      </c>
      <c r="B5" s="133">
        <v>56</v>
      </c>
      <c r="C5" s="133" t="s">
        <v>24</v>
      </c>
      <c r="D5" s="133">
        <v>129</v>
      </c>
      <c r="E5" s="133">
        <v>80</v>
      </c>
      <c r="F5" s="133">
        <v>98</v>
      </c>
      <c r="G5" s="133">
        <v>1.51</v>
      </c>
      <c r="H5" s="133">
        <v>61.2</v>
      </c>
      <c r="I5" s="4">
        <f t="shared" si="0"/>
        <v>26.840928029472394</v>
      </c>
      <c r="J5" s="120" t="s">
        <v>25</v>
      </c>
      <c r="K5" s="133" t="s">
        <v>26</v>
      </c>
      <c r="L5" s="133" t="s">
        <v>27</v>
      </c>
      <c r="M5" s="133" t="s">
        <v>28</v>
      </c>
      <c r="N5" s="133" t="s">
        <v>25</v>
      </c>
      <c r="O5" s="133" t="s">
        <v>34</v>
      </c>
      <c r="P5" s="133" t="s">
        <v>36</v>
      </c>
      <c r="R5" s="134" t="s">
        <v>35</v>
      </c>
      <c r="S5" s="133">
        <v>66</v>
      </c>
      <c r="T5" s="121">
        <f t="shared" ref="T5:T68" si="1">IF(S5&lt;=$T$1,1,IF(AND($T$1&lt;S5,S5&lt;$T$2),($T$2-S5)/($T$2-$T$1),IF(S5&gt;=$T$2,0)))</f>
        <v>0</v>
      </c>
      <c r="U5" s="121">
        <f t="shared" ref="U5:U68" si="2">IF(S5&lt;=$T$1,0,IF(AND($T$1&lt;S5,S5&lt;$T$2),(S5-$T$1)/($T$2-$T$1),IF(S5&gt;=$T$2,1)))</f>
        <v>1</v>
      </c>
      <c r="W5">
        <v>2</v>
      </c>
      <c r="X5" s="133">
        <v>194</v>
      </c>
      <c r="Y5" s="133">
        <v>114</v>
      </c>
      <c r="Z5" s="121">
        <f t="shared" ref="Z5:Z68" si="3">SUM(X5:Y5)</f>
        <v>308</v>
      </c>
      <c r="AA5" s="121">
        <f t="shared" ref="AA5:AA68" si="4">IF(Z5&lt;=$X$2,1,IF(AND($X$2&lt;Z5,Z5&lt;$Y$2),($Y$2-Z5)/($Y$2-$X$2),IF(Z5&gt;=$Y$2,0)))</f>
        <v>0</v>
      </c>
      <c r="AB5" s="121">
        <f>IF(AND($X$2&lt;Z5,Z5&lt;$Y$2),(Z5-$X$2)/($Y$2-$X$2),IF(AND($Y$2&lt;=Z5,Z5&lt;$Z$2),($Z$2-Z5)/($Z$2-$Y$2), IF(OR(Z5&lt;=$X$2,Z5&gt;=$Z$2),0,salah)))</f>
        <v>0</v>
      </c>
      <c r="AC5" s="121">
        <f t="shared" ref="AC5:AC68" si="5">IF(Z5&lt;=$Y$2,0,IF(AND($Y$2&lt;Z5,Z5&lt;$Z$2),(Z5-$Y$2)/($Z$2-$Y$2),IF(Z5&gt;=$Y$2,1)))</f>
        <v>1</v>
      </c>
      <c r="AE5" s="134">
        <v>98</v>
      </c>
      <c r="AF5" s="121">
        <f t="shared" ref="AF5:AF68" si="6">IF(AE5&lt;=$AF$1,1,IF(AND($AF$1&lt;AE5,AE5&lt;$AF$2),($AF$2-AE5)/($AF$2-$AF$1),IF(AE5&gt;=$AF$2,0)))</f>
        <v>0.2</v>
      </c>
      <c r="AG5" s="121">
        <f t="shared" ref="AG5:AG68" si="7">IF(AE5&lt;=$AF$1,0,IF(AND($AF$1&lt;AE5,AE5&lt;$AF$2),(AE5-$AF$1)/($AF$2-$AF$1),IF(AE5&gt;=$AF$2,1)))</f>
        <v>0.8</v>
      </c>
      <c r="AI5" s="4">
        <f t="shared" ref="AI5:AI68" si="8">H4/(G4*G4)</f>
        <v>27.174526704053598</v>
      </c>
      <c r="AJ5" s="121">
        <f t="shared" ref="AJ5:AJ68" si="9">IF(AI5&lt;=$AJ$1,1,IF(AND($AJ$1&lt;AI5,AI5&lt;$AJ$2),($AJ$2-AI5)/($AJ$2-$AJ$1),IF(AI5&gt;=$AJ$2,0)))</f>
        <v>0</v>
      </c>
      <c r="AK5" s="121">
        <f t="shared" ref="AK5:AK68" si="10">IF(AI5&lt;=$AJ$1,0,IF(AND($AJ$1&lt;AI5,AI5&lt;$AJ$2),(AI5-$AJ$1)/($AJ$2-$AJ$1),IF(AI5&gt;=$AJ$2,1)))</f>
        <v>1</v>
      </c>
      <c r="AM5" s="120" t="s">
        <v>31</v>
      </c>
      <c r="AN5" s="121">
        <f t="shared" ref="AN5:AN68" si="11">IF(AM5="Ya", 1, 0)</f>
        <v>0</v>
      </c>
      <c r="AO5" s="121">
        <f t="shared" ref="AO5:AO68" si="12">($AN$2-AN5)/($AN$2-$AN$1)</f>
        <v>0</v>
      </c>
      <c r="AP5" s="121">
        <f t="shared" ref="AP5:AP68" si="13">(AN5-$AN$1)/($AN$2-$AN$1)</f>
        <v>1</v>
      </c>
      <c r="AR5" s="134" t="s">
        <v>26</v>
      </c>
      <c r="AS5" s="121">
        <f t="shared" ref="AS5:AS68" si="14">IF(AR5="Jarang", 0, 1)</f>
        <v>0</v>
      </c>
      <c r="AT5" s="121">
        <f t="shared" ref="AT5:AT68" si="15">($AS$2-AS5)/($AS$2-$AS$1)</f>
        <v>0</v>
      </c>
      <c r="AU5" s="121">
        <f t="shared" ref="AU5:AU68" si="16">(AS5-$AS$1)/($AS$2-$AS$1)</f>
        <v>1</v>
      </c>
      <c r="AW5" s="134" t="s">
        <v>32</v>
      </c>
      <c r="AX5" s="121">
        <f t="shared" ref="AX5:AX68" si="17">IF(AW5="≤ 4 sdm", 0, 1)</f>
        <v>1</v>
      </c>
      <c r="AY5" s="121">
        <f t="shared" ref="AY5:AY68" si="18">($AX$2-AX5)/($AX$2-$AX$1)</f>
        <v>1</v>
      </c>
      <c r="AZ5" s="121">
        <f t="shared" ref="AZ5:AZ68" si="19">(AX5-$AX$1)/($AX$2-$AX$1)</f>
        <v>0</v>
      </c>
      <c r="BB5" s="134" t="s">
        <v>33</v>
      </c>
      <c r="BC5" s="121">
        <f t="shared" ref="BC5:BC68" si="20">IF(BB5="≤ 1 sdt", 0, 1)</f>
        <v>1</v>
      </c>
      <c r="BD5" s="121">
        <f t="shared" ref="BD5:BD68" si="21">($BC$2-BC5)/($BC$2-$BC$1)</f>
        <v>1</v>
      </c>
      <c r="BE5" s="121">
        <f t="shared" ref="BE5:BE68" si="22">(BC5-$BC$1)/($BC$2-$BC$1)</f>
        <v>0</v>
      </c>
      <c r="BG5" s="134" t="s">
        <v>25</v>
      </c>
      <c r="BH5" s="121">
        <f t="shared" ref="BH5:BH68" si="23">IF(BG5="Ya", 1, 0)</f>
        <v>1</v>
      </c>
      <c r="BI5" s="121">
        <f t="shared" ref="BI5:BI68" si="24">($BH$2-BH5)/($BH$2-$BH$1)</f>
        <v>1</v>
      </c>
      <c r="BJ5" s="121">
        <f t="shared" ref="BJ5:BJ68" si="25">(BH5-$BH$1)/($BH$2-$BH$1)</f>
        <v>0</v>
      </c>
      <c r="BL5" s="134" t="s">
        <v>34</v>
      </c>
      <c r="BM5" s="121">
        <f t="shared" ref="BM5:BM68" si="26">IF(BL5="Tidak", 0,IF(BL5="≤ 3 gelas", 0.5, IF(BL5="&gt; 3 gelas", 1, )))</f>
        <v>0</v>
      </c>
      <c r="BN5" s="121">
        <f t="shared" ref="BN5:BN68" si="27">IF(BM5&lt;=$BL$2,1,IF(AND($BL$2&lt;BM5,BM5&lt;$BM$2),($BM$2-BM5)/($BM$2-$BL$2),IF(BM5&gt;=$BM$2,0)))</f>
        <v>1</v>
      </c>
      <c r="BO5" s="121">
        <f>IF(AND($BL$2&lt;BM5,BM5&lt;$BM$2),(BM5-$BL$2)/($BM$2-$BL$2),IF(AND($BM$2&lt;=BM5,BM5&lt;$BN$2),($BN$2-BM5)/($BN$2-$BM$2), IF(OR(BM5&lt;=$BL$2,BM5&gt;=$BN$2),0,salah)))</f>
        <v>0</v>
      </c>
      <c r="BP5" s="121">
        <f t="shared" ref="BP5:BP68" si="28">IF(BM5&lt;=$BM$2,0,IF(AND($BM$2&lt;BM5,BM5&lt;$BN$2),(BM5-$BM$2)/($BN$2-$BM$2),IF(BM5&gt;=$BM$2,1)))</f>
        <v>0</v>
      </c>
    </row>
    <row r="6" spans="1:68" x14ac:dyDescent="0.3">
      <c r="A6" s="133">
        <v>4</v>
      </c>
      <c r="B6" s="133">
        <v>51</v>
      </c>
      <c r="C6" s="133" t="s">
        <v>24</v>
      </c>
      <c r="D6" s="133">
        <v>148</v>
      </c>
      <c r="E6" s="133">
        <v>97</v>
      </c>
      <c r="F6" s="133">
        <v>98</v>
      </c>
      <c r="G6" s="133">
        <v>1.65</v>
      </c>
      <c r="H6" s="133">
        <v>77.2</v>
      </c>
      <c r="I6" s="4">
        <f t="shared" si="0"/>
        <v>28.356290174471997</v>
      </c>
      <c r="J6" s="120" t="s">
        <v>25</v>
      </c>
      <c r="K6" s="133" t="s">
        <v>26</v>
      </c>
      <c r="L6" s="133" t="s">
        <v>27</v>
      </c>
      <c r="M6" s="133" t="s">
        <v>33</v>
      </c>
      <c r="N6" s="133" t="s">
        <v>31</v>
      </c>
      <c r="O6" s="133" t="s">
        <v>34</v>
      </c>
      <c r="P6" s="133" t="s">
        <v>30</v>
      </c>
      <c r="R6" s="134" t="s">
        <v>36</v>
      </c>
      <c r="S6" s="133">
        <v>56</v>
      </c>
      <c r="T6" s="121">
        <f t="shared" si="1"/>
        <v>0</v>
      </c>
      <c r="U6" s="121">
        <f t="shared" si="2"/>
        <v>1</v>
      </c>
      <c r="W6">
        <v>3</v>
      </c>
      <c r="X6" s="133">
        <v>129</v>
      </c>
      <c r="Y6" s="133">
        <v>80</v>
      </c>
      <c r="Z6" s="121">
        <f t="shared" si="3"/>
        <v>209</v>
      </c>
      <c r="AA6" s="121">
        <f t="shared" si="4"/>
        <v>0.7</v>
      </c>
      <c r="AB6" s="121">
        <f>IF(AND($X$2&lt;Z6,Z6&lt;$Y$2),(Z6-$X$2)/($Y$2-$X$2),IF(AND($Y$2&lt;=Z6,Z6&lt;$Z$2),($Z$2-Z6)/($Z$2-$Y$2), IF(OR(Z6&lt;=$X$2,Z6&gt;=$Z$2),0,salah)))</f>
        <v>0.3</v>
      </c>
      <c r="AC6" s="121">
        <f t="shared" si="5"/>
        <v>0</v>
      </c>
      <c r="AE6" s="134">
        <v>98</v>
      </c>
      <c r="AF6" s="121">
        <f t="shared" si="6"/>
        <v>0.2</v>
      </c>
      <c r="AG6" s="121">
        <f t="shared" si="7"/>
        <v>0.8</v>
      </c>
      <c r="AI6" s="4">
        <f t="shared" si="8"/>
        <v>26.840928029472394</v>
      </c>
      <c r="AJ6" s="121">
        <f t="shared" si="9"/>
        <v>1.76746633919562E-2</v>
      </c>
      <c r="AK6" s="121">
        <f t="shared" si="10"/>
        <v>0.98232533660804378</v>
      </c>
      <c r="AM6" s="120" t="s">
        <v>25</v>
      </c>
      <c r="AN6" s="121">
        <f t="shared" si="11"/>
        <v>1</v>
      </c>
      <c r="AO6" s="121">
        <f t="shared" si="12"/>
        <v>1</v>
      </c>
      <c r="AP6" s="121">
        <f t="shared" si="13"/>
        <v>0</v>
      </c>
      <c r="AR6" s="134" t="s">
        <v>26</v>
      </c>
      <c r="AS6" s="121">
        <f t="shared" si="14"/>
        <v>0</v>
      </c>
      <c r="AT6" s="121">
        <f t="shared" si="15"/>
        <v>0</v>
      </c>
      <c r="AU6" s="121">
        <f t="shared" si="16"/>
        <v>1</v>
      </c>
      <c r="AW6" s="134" t="s">
        <v>27</v>
      </c>
      <c r="AX6" s="121">
        <f t="shared" si="17"/>
        <v>0</v>
      </c>
      <c r="AY6" s="121">
        <f t="shared" si="18"/>
        <v>0</v>
      </c>
      <c r="AZ6" s="121">
        <f t="shared" si="19"/>
        <v>1</v>
      </c>
      <c r="BB6" s="134" t="s">
        <v>28</v>
      </c>
      <c r="BC6" s="121">
        <f t="shared" si="20"/>
        <v>0</v>
      </c>
      <c r="BD6" s="121">
        <f t="shared" si="21"/>
        <v>0</v>
      </c>
      <c r="BE6" s="121">
        <f t="shared" si="22"/>
        <v>1</v>
      </c>
      <c r="BG6" s="134" t="s">
        <v>25</v>
      </c>
      <c r="BH6" s="121">
        <f t="shared" si="23"/>
        <v>1</v>
      </c>
      <c r="BI6" s="121">
        <f t="shared" si="24"/>
        <v>1</v>
      </c>
      <c r="BJ6" s="121">
        <f t="shared" si="25"/>
        <v>0</v>
      </c>
      <c r="BL6" s="134" t="s">
        <v>34</v>
      </c>
      <c r="BM6" s="121">
        <f t="shared" si="26"/>
        <v>0</v>
      </c>
      <c r="BN6" s="121">
        <f t="shared" si="27"/>
        <v>1</v>
      </c>
      <c r="BO6" s="121">
        <f>IF(AND($BL$2&lt;BM6,BM6&lt;$BM$2),(BM6-$BL$2)/($BM$2-$BL$2),IF(AND($BM$2&lt;=BM6,BM6&lt;$BN$2),($BN$2-BM6)/($BN$2-$BM$2), IF(OR(BM6&lt;=$BL$2,BM6&gt;=$BN$2),0,salah)))</f>
        <v>0</v>
      </c>
      <c r="BP6" s="121">
        <f t="shared" si="28"/>
        <v>0</v>
      </c>
    </row>
    <row r="7" spans="1:68" x14ac:dyDescent="0.3">
      <c r="A7" s="133">
        <v>5</v>
      </c>
      <c r="B7" s="133">
        <v>71</v>
      </c>
      <c r="C7" s="133" t="s">
        <v>37</v>
      </c>
      <c r="D7" s="133">
        <v>148</v>
      </c>
      <c r="E7" s="133">
        <v>88</v>
      </c>
      <c r="F7" s="133">
        <v>88</v>
      </c>
      <c r="G7" s="133">
        <v>1.43</v>
      </c>
      <c r="H7" s="133">
        <v>56.3</v>
      </c>
      <c r="I7" s="4">
        <f t="shared" si="0"/>
        <v>27.531908650789774</v>
      </c>
      <c r="J7" s="120" t="s">
        <v>31</v>
      </c>
      <c r="K7" s="133" t="s">
        <v>26</v>
      </c>
      <c r="L7" s="133" t="s">
        <v>32</v>
      </c>
      <c r="M7" s="133" t="s">
        <v>33</v>
      </c>
      <c r="N7" s="133" t="s">
        <v>25</v>
      </c>
      <c r="O7" s="133" t="s">
        <v>38</v>
      </c>
      <c r="P7" s="133" t="s">
        <v>30</v>
      </c>
      <c r="R7" s="134" t="s">
        <v>30</v>
      </c>
      <c r="S7" s="133">
        <v>51</v>
      </c>
      <c r="T7" s="121">
        <f t="shared" si="1"/>
        <v>0</v>
      </c>
      <c r="U7" s="121">
        <f t="shared" si="2"/>
        <v>1</v>
      </c>
      <c r="W7" s="119">
        <v>4</v>
      </c>
      <c r="X7" s="133">
        <v>148</v>
      </c>
      <c r="Y7" s="133">
        <v>97</v>
      </c>
      <c r="Z7" s="121">
        <f t="shared" si="3"/>
        <v>245</v>
      </c>
      <c r="AA7" s="121">
        <f t="shared" si="4"/>
        <v>0</v>
      </c>
      <c r="AB7" s="121">
        <f>IF(AND($X$2&lt;Z7,Z7&lt;$Y$2),(Z7-$X$2)/($Y$2-$X$2),IF(AND($Y$2&lt;=Z7,Z7&lt;$Z$2),($Z$2-Z7)/($Z$2-$Y$2), IF(OR(Z7&lt;=$X$2,Z7&gt;=$Z$2),0,salah)))</f>
        <v>0.625</v>
      </c>
      <c r="AC7" s="121">
        <f t="shared" si="5"/>
        <v>0.375</v>
      </c>
      <c r="AE7" s="134">
        <v>98</v>
      </c>
      <c r="AF7" s="121">
        <f t="shared" si="6"/>
        <v>0.2</v>
      </c>
      <c r="AG7" s="121">
        <f t="shared" si="7"/>
        <v>0.8</v>
      </c>
      <c r="AI7" s="4">
        <f t="shared" si="8"/>
        <v>28.356290174471997</v>
      </c>
      <c r="AJ7" s="121">
        <f t="shared" si="9"/>
        <v>0</v>
      </c>
      <c r="AK7" s="121">
        <f t="shared" si="10"/>
        <v>1</v>
      </c>
      <c r="AM7" s="120" t="s">
        <v>25</v>
      </c>
      <c r="AN7" s="121">
        <f t="shared" si="11"/>
        <v>1</v>
      </c>
      <c r="AO7" s="121">
        <f t="shared" si="12"/>
        <v>1</v>
      </c>
      <c r="AP7" s="121">
        <f t="shared" si="13"/>
        <v>0</v>
      </c>
      <c r="AR7" s="134" t="s">
        <v>26</v>
      </c>
      <c r="AS7" s="121">
        <f t="shared" si="14"/>
        <v>0</v>
      </c>
      <c r="AT7" s="121">
        <f t="shared" si="15"/>
        <v>0</v>
      </c>
      <c r="AU7" s="121">
        <f t="shared" si="16"/>
        <v>1</v>
      </c>
      <c r="AW7" s="134" t="s">
        <v>27</v>
      </c>
      <c r="AX7" s="121">
        <f t="shared" si="17"/>
        <v>0</v>
      </c>
      <c r="AY7" s="121">
        <f t="shared" si="18"/>
        <v>0</v>
      </c>
      <c r="AZ7" s="121">
        <f t="shared" si="19"/>
        <v>1</v>
      </c>
      <c r="BB7" s="134" t="s">
        <v>33</v>
      </c>
      <c r="BC7" s="121">
        <f t="shared" si="20"/>
        <v>1</v>
      </c>
      <c r="BD7" s="121">
        <f t="shared" si="21"/>
        <v>1</v>
      </c>
      <c r="BE7" s="121">
        <f t="shared" si="22"/>
        <v>0</v>
      </c>
      <c r="BG7" s="134" t="s">
        <v>31</v>
      </c>
      <c r="BH7" s="121">
        <f t="shared" si="23"/>
        <v>0</v>
      </c>
      <c r="BI7" s="121">
        <f t="shared" si="24"/>
        <v>0</v>
      </c>
      <c r="BJ7" s="121">
        <f t="shared" si="25"/>
        <v>1</v>
      </c>
      <c r="BL7" s="134" t="s">
        <v>34</v>
      </c>
      <c r="BM7" s="121">
        <f t="shared" si="26"/>
        <v>0</v>
      </c>
      <c r="BN7" s="121">
        <f t="shared" si="27"/>
        <v>1</v>
      </c>
      <c r="BO7" s="121">
        <f>IF(AND($BL$2&lt;BM7,BM7&lt;$BM$2),(BM7-$BL$2)/($BM$2-$BL$2),IF(AND($BM$2&lt;=BM7,BM7&lt;$BN$2),($BN$2-BM7)/($BN$2-$BM$2), IF(OR(BM7&lt;=$BL$2,BM7&gt;=$BN$2),0,salah)))</f>
        <v>0</v>
      </c>
      <c r="BP7" s="121">
        <f t="shared" si="28"/>
        <v>0</v>
      </c>
    </row>
    <row r="8" spans="1:68" x14ac:dyDescent="0.3">
      <c r="A8" s="133">
        <v>6</v>
      </c>
      <c r="B8" s="133">
        <v>51</v>
      </c>
      <c r="C8" s="133" t="s">
        <v>24</v>
      </c>
      <c r="D8" s="133">
        <v>115</v>
      </c>
      <c r="E8" s="133">
        <v>83</v>
      </c>
      <c r="F8" s="133">
        <v>70</v>
      </c>
      <c r="G8" s="133">
        <v>1.57</v>
      </c>
      <c r="H8" s="133">
        <v>62.5</v>
      </c>
      <c r="I8" s="4">
        <f t="shared" si="0"/>
        <v>25.355998214937724</v>
      </c>
      <c r="J8" s="120" t="s">
        <v>31</v>
      </c>
      <c r="K8" s="133" t="s">
        <v>26</v>
      </c>
      <c r="L8" s="133" t="s">
        <v>27</v>
      </c>
      <c r="M8" s="133" t="s">
        <v>28</v>
      </c>
      <c r="N8" s="133" t="s">
        <v>25</v>
      </c>
      <c r="O8" s="133" t="s">
        <v>29</v>
      </c>
      <c r="P8" s="133" t="s">
        <v>36</v>
      </c>
      <c r="R8" s="134" t="s">
        <v>30</v>
      </c>
      <c r="S8" s="133">
        <v>71</v>
      </c>
      <c r="T8" s="121">
        <f t="shared" si="1"/>
        <v>0</v>
      </c>
      <c r="U8" s="121">
        <f t="shared" si="2"/>
        <v>1</v>
      </c>
      <c r="W8" s="119">
        <v>5</v>
      </c>
      <c r="X8" s="133">
        <v>148</v>
      </c>
      <c r="Y8" s="133">
        <v>88</v>
      </c>
      <c r="Z8" s="121">
        <f t="shared" si="3"/>
        <v>236</v>
      </c>
      <c r="AA8" s="121">
        <f t="shared" si="4"/>
        <v>0</v>
      </c>
      <c r="AB8" s="121">
        <f>IF(AND($X$2&lt;Z8,Z8&lt;$Y$2),(Z8-$X$2)/($Y$2-$X$2),IF(AND($Y$2&lt;=Z8,Z8&lt;$Z$2),($Z$2-Z8)/($Z$2-$Y$2), IF(OR(Z8&lt;=$X$2,Z8&gt;=$Z$2),0,salah)))</f>
        <v>0.85</v>
      </c>
      <c r="AC8" s="121">
        <f t="shared" si="5"/>
        <v>0.15</v>
      </c>
      <c r="AE8" s="134">
        <v>88</v>
      </c>
      <c r="AF8" s="121">
        <f t="shared" si="6"/>
        <v>1</v>
      </c>
      <c r="AG8" s="121">
        <f t="shared" si="7"/>
        <v>0</v>
      </c>
      <c r="AI8" s="4">
        <f t="shared" si="8"/>
        <v>27.531908650789774</v>
      </c>
      <c r="AJ8" s="121">
        <f t="shared" si="9"/>
        <v>0</v>
      </c>
      <c r="AK8" s="121">
        <f t="shared" si="10"/>
        <v>1</v>
      </c>
      <c r="AM8" s="120" t="s">
        <v>31</v>
      </c>
      <c r="AN8" s="121">
        <f t="shared" si="11"/>
        <v>0</v>
      </c>
      <c r="AO8" s="121">
        <f t="shared" si="12"/>
        <v>0</v>
      </c>
      <c r="AP8" s="121">
        <f t="shared" si="13"/>
        <v>1</v>
      </c>
      <c r="AR8" s="134" t="s">
        <v>26</v>
      </c>
      <c r="AS8" s="121">
        <f t="shared" si="14"/>
        <v>0</v>
      </c>
      <c r="AT8" s="121">
        <f t="shared" si="15"/>
        <v>0</v>
      </c>
      <c r="AU8" s="121">
        <f t="shared" si="16"/>
        <v>1</v>
      </c>
      <c r="AW8" s="134" t="s">
        <v>32</v>
      </c>
      <c r="AX8" s="121">
        <f t="shared" si="17"/>
        <v>1</v>
      </c>
      <c r="AY8" s="121">
        <f t="shared" si="18"/>
        <v>1</v>
      </c>
      <c r="AZ8" s="121">
        <f t="shared" si="19"/>
        <v>0</v>
      </c>
      <c r="BB8" s="134" t="s">
        <v>33</v>
      </c>
      <c r="BC8" s="121">
        <f t="shared" si="20"/>
        <v>1</v>
      </c>
      <c r="BD8" s="121">
        <f t="shared" si="21"/>
        <v>1</v>
      </c>
      <c r="BE8" s="121">
        <f t="shared" si="22"/>
        <v>0</v>
      </c>
      <c r="BG8" s="134" t="s">
        <v>25</v>
      </c>
      <c r="BH8" s="121">
        <f t="shared" si="23"/>
        <v>1</v>
      </c>
      <c r="BI8" s="121">
        <f t="shared" si="24"/>
        <v>1</v>
      </c>
      <c r="BJ8" s="121">
        <f t="shared" si="25"/>
        <v>0</v>
      </c>
      <c r="BL8" s="134" t="s">
        <v>38</v>
      </c>
      <c r="BM8" s="121">
        <f t="shared" si="26"/>
        <v>1</v>
      </c>
      <c r="BN8" s="121">
        <f t="shared" si="27"/>
        <v>0</v>
      </c>
      <c r="BO8" s="121">
        <f>IF(AND($BL$2&lt;BM8,BM8&lt;$BM$2),(BM8-$BL$2)/($BM$2-$BL$2),IF(AND($BM$2&lt;=BM8,BM8&lt;$BN$2),($BN$2-BM8)/($BN$2-$BM$2), IF(OR(BM8&lt;=$BL$2,BM8&gt;=$BN$2),0,salah)))</f>
        <v>0</v>
      </c>
      <c r="BP8" s="121">
        <f t="shared" si="28"/>
        <v>1</v>
      </c>
    </row>
    <row r="9" spans="1:68" x14ac:dyDescent="0.3">
      <c r="A9" s="133">
        <v>7</v>
      </c>
      <c r="B9" s="133">
        <v>55</v>
      </c>
      <c r="C9" s="133" t="s">
        <v>24</v>
      </c>
      <c r="D9" s="133">
        <v>170</v>
      </c>
      <c r="E9" s="133">
        <v>96</v>
      </c>
      <c r="F9" s="133">
        <v>97</v>
      </c>
      <c r="G9" s="133">
        <v>1.56</v>
      </c>
      <c r="H9" s="133">
        <v>67.400000000000006</v>
      </c>
      <c r="I9" s="4">
        <f t="shared" si="0"/>
        <v>27.695595003287313</v>
      </c>
      <c r="J9" s="120" t="s">
        <v>31</v>
      </c>
      <c r="K9" s="133" t="s">
        <v>26</v>
      </c>
      <c r="L9" s="133" t="s">
        <v>27</v>
      </c>
      <c r="M9" s="133" t="s">
        <v>28</v>
      </c>
      <c r="N9" s="133" t="s">
        <v>25</v>
      </c>
      <c r="O9" s="133" t="s">
        <v>29</v>
      </c>
      <c r="P9" s="133" t="s">
        <v>35</v>
      </c>
      <c r="R9" s="134" t="s">
        <v>36</v>
      </c>
      <c r="S9" s="133">
        <v>51</v>
      </c>
      <c r="T9" s="121">
        <f t="shared" si="1"/>
        <v>0</v>
      </c>
      <c r="U9" s="121">
        <f t="shared" si="2"/>
        <v>1</v>
      </c>
      <c r="W9" s="119">
        <v>6</v>
      </c>
      <c r="X9" s="133">
        <v>115</v>
      </c>
      <c r="Y9" s="133">
        <v>83</v>
      </c>
      <c r="Z9" s="121">
        <f t="shared" si="3"/>
        <v>198</v>
      </c>
      <c r="AA9" s="121">
        <f t="shared" si="4"/>
        <v>1</v>
      </c>
      <c r="AB9" s="121">
        <f>IF(AND($X$2&lt;Z9,Z9&lt;$Y$2),(Z9-$X$2)/($Y$2-$X$2),IF(AND($Y$2&lt;=Z9,Z9&lt;$Z$2),($Z$2-Z9)/($Z$2-$Y$2), IF(OR(Z9&lt;=$X$2,Z9&gt;=$Z$2),0,salah)))</f>
        <v>0</v>
      </c>
      <c r="AC9" s="121">
        <f t="shared" si="5"/>
        <v>0</v>
      </c>
      <c r="AE9" s="134">
        <v>70</v>
      </c>
      <c r="AF9" s="121">
        <f t="shared" si="6"/>
        <v>1</v>
      </c>
      <c r="AG9" s="121">
        <f t="shared" si="7"/>
        <v>0</v>
      </c>
      <c r="AI9" s="4">
        <f t="shared" si="8"/>
        <v>25.355998214937724</v>
      </c>
      <c r="AJ9" s="121">
        <f t="shared" si="9"/>
        <v>0.18266686500691953</v>
      </c>
      <c r="AK9" s="121">
        <f t="shared" si="10"/>
        <v>0.81733313499308047</v>
      </c>
      <c r="AM9" s="120" t="s">
        <v>31</v>
      </c>
      <c r="AN9" s="121">
        <f t="shared" si="11"/>
        <v>0</v>
      </c>
      <c r="AO9" s="121">
        <f t="shared" si="12"/>
        <v>0</v>
      </c>
      <c r="AP9" s="121">
        <f t="shared" si="13"/>
        <v>1</v>
      </c>
      <c r="AR9" s="134" t="s">
        <v>26</v>
      </c>
      <c r="AS9" s="121">
        <f t="shared" si="14"/>
        <v>0</v>
      </c>
      <c r="AT9" s="121">
        <f t="shared" si="15"/>
        <v>0</v>
      </c>
      <c r="AU9" s="121">
        <f t="shared" si="16"/>
        <v>1</v>
      </c>
      <c r="AW9" s="134" t="s">
        <v>27</v>
      </c>
      <c r="AX9" s="121">
        <f t="shared" si="17"/>
        <v>0</v>
      </c>
      <c r="AY9" s="121">
        <f t="shared" si="18"/>
        <v>0</v>
      </c>
      <c r="AZ9" s="121">
        <f t="shared" si="19"/>
        <v>1</v>
      </c>
      <c r="BB9" s="134" t="s">
        <v>28</v>
      </c>
      <c r="BC9" s="121">
        <f t="shared" si="20"/>
        <v>0</v>
      </c>
      <c r="BD9" s="121">
        <f t="shared" si="21"/>
        <v>0</v>
      </c>
      <c r="BE9" s="121">
        <f t="shared" si="22"/>
        <v>1</v>
      </c>
      <c r="BG9" s="134" t="s">
        <v>25</v>
      </c>
      <c r="BH9" s="121">
        <f t="shared" si="23"/>
        <v>1</v>
      </c>
      <c r="BI9" s="121">
        <f t="shared" si="24"/>
        <v>1</v>
      </c>
      <c r="BJ9" s="121">
        <f t="shared" si="25"/>
        <v>0</v>
      </c>
      <c r="BL9" s="134" t="s">
        <v>29</v>
      </c>
      <c r="BM9" s="121">
        <f t="shared" si="26"/>
        <v>0.5</v>
      </c>
      <c r="BN9" s="121">
        <f t="shared" si="27"/>
        <v>0</v>
      </c>
      <c r="BO9" s="121">
        <f>IF(AND($BL$2&lt;BM9,BM9&lt;$BM$2),(BM9-$BL$2)/($BM$2-$BL$2),IF(AND($BM$2&lt;=BM9,BM9&lt;$BN$2),($BN$2-BM9)/($BN$2-$BM$2), IF(OR(BM9&lt;=$BL$2,BM9&gt;=$BN$2),0,salah)))</f>
        <v>1</v>
      </c>
      <c r="BP9" s="121">
        <f t="shared" si="28"/>
        <v>0</v>
      </c>
    </row>
    <row r="10" spans="1:68" x14ac:dyDescent="0.3">
      <c r="A10" s="133">
        <v>8</v>
      </c>
      <c r="B10" s="133">
        <v>58</v>
      </c>
      <c r="C10" s="133" t="s">
        <v>37</v>
      </c>
      <c r="D10" s="133">
        <v>168</v>
      </c>
      <c r="E10" s="133">
        <v>104</v>
      </c>
      <c r="F10" s="133">
        <v>90</v>
      </c>
      <c r="G10" s="133">
        <v>1.46</v>
      </c>
      <c r="H10" s="133">
        <v>51.2</v>
      </c>
      <c r="I10" s="4">
        <f t="shared" si="0"/>
        <v>24.019515856633518</v>
      </c>
      <c r="J10" s="120" t="s">
        <v>31</v>
      </c>
      <c r="K10" s="133" t="s">
        <v>26</v>
      </c>
      <c r="L10" s="133" t="s">
        <v>27</v>
      </c>
      <c r="M10" s="133" t="s">
        <v>33</v>
      </c>
      <c r="N10" s="133" t="s">
        <v>25</v>
      </c>
      <c r="O10" s="133" t="s">
        <v>29</v>
      </c>
      <c r="P10" s="133" t="s">
        <v>35</v>
      </c>
      <c r="R10" s="134" t="s">
        <v>35</v>
      </c>
      <c r="S10" s="133">
        <v>55</v>
      </c>
      <c r="T10" s="121">
        <f t="shared" si="1"/>
        <v>0</v>
      </c>
      <c r="U10" s="121">
        <f t="shared" si="2"/>
        <v>1</v>
      </c>
      <c r="W10" s="119">
        <v>7</v>
      </c>
      <c r="X10" s="133">
        <v>170</v>
      </c>
      <c r="Y10" s="133">
        <v>96</v>
      </c>
      <c r="Z10" s="121">
        <f t="shared" si="3"/>
        <v>266</v>
      </c>
      <c r="AA10" s="121">
        <f t="shared" si="4"/>
        <v>0</v>
      </c>
      <c r="AB10" s="121">
        <f>IF(AND($X$2&lt;Z10,Z10&lt;$Y$2),(Z10-$X$2)/($Y$2-$X$2),IF(AND($Y$2&lt;=Z10,Z10&lt;$Z$2),($Z$2-Z10)/($Z$2-$Y$2), IF(OR(Z10&lt;=$X$2,Z10&gt;=$Z$2),0,salah)))</f>
        <v>0.1</v>
      </c>
      <c r="AC10" s="121">
        <f t="shared" si="5"/>
        <v>0.9</v>
      </c>
      <c r="AE10" s="134">
        <v>97</v>
      </c>
      <c r="AF10" s="121">
        <f t="shared" si="6"/>
        <v>0.3</v>
      </c>
      <c r="AG10" s="121">
        <f t="shared" si="7"/>
        <v>0.7</v>
      </c>
      <c r="AI10" s="4">
        <f t="shared" si="8"/>
        <v>27.695595003287313</v>
      </c>
      <c r="AJ10" s="121">
        <f t="shared" si="9"/>
        <v>0</v>
      </c>
      <c r="AK10" s="121">
        <f t="shared" si="10"/>
        <v>1</v>
      </c>
      <c r="AM10" s="120" t="s">
        <v>31</v>
      </c>
      <c r="AN10" s="121">
        <f t="shared" si="11"/>
        <v>0</v>
      </c>
      <c r="AO10" s="121">
        <f t="shared" si="12"/>
        <v>0</v>
      </c>
      <c r="AP10" s="121">
        <f t="shared" si="13"/>
        <v>1</v>
      </c>
      <c r="AR10" s="134" t="s">
        <v>26</v>
      </c>
      <c r="AS10" s="121">
        <f t="shared" si="14"/>
        <v>0</v>
      </c>
      <c r="AT10" s="121">
        <f t="shared" si="15"/>
        <v>0</v>
      </c>
      <c r="AU10" s="121">
        <f t="shared" si="16"/>
        <v>1</v>
      </c>
      <c r="AW10" s="134" t="s">
        <v>27</v>
      </c>
      <c r="AX10" s="121">
        <f t="shared" si="17"/>
        <v>0</v>
      </c>
      <c r="AY10" s="121">
        <f t="shared" si="18"/>
        <v>0</v>
      </c>
      <c r="AZ10" s="121">
        <f t="shared" si="19"/>
        <v>1</v>
      </c>
      <c r="BB10" s="134" t="s">
        <v>28</v>
      </c>
      <c r="BC10" s="121">
        <f t="shared" si="20"/>
        <v>0</v>
      </c>
      <c r="BD10" s="121">
        <f t="shared" si="21"/>
        <v>0</v>
      </c>
      <c r="BE10" s="121">
        <f t="shared" si="22"/>
        <v>1</v>
      </c>
      <c r="BG10" s="134" t="s">
        <v>25</v>
      </c>
      <c r="BH10" s="121">
        <f t="shared" si="23"/>
        <v>1</v>
      </c>
      <c r="BI10" s="121">
        <f t="shared" si="24"/>
        <v>1</v>
      </c>
      <c r="BJ10" s="121">
        <f t="shared" si="25"/>
        <v>0</v>
      </c>
      <c r="BL10" s="134" t="s">
        <v>29</v>
      </c>
      <c r="BM10" s="121">
        <f t="shared" si="26"/>
        <v>0.5</v>
      </c>
      <c r="BN10" s="121">
        <f t="shared" si="27"/>
        <v>0</v>
      </c>
      <c r="BO10" s="121">
        <f>IF(AND($BL$2&lt;BM10,BM10&lt;$BM$2),(BM10-$BL$2)/($BM$2-$BL$2),IF(AND($BM$2&lt;=BM10,BM10&lt;$BN$2),($BN$2-BM10)/($BN$2-$BM$2), IF(OR(BM10&lt;=$BL$2,BM10&gt;=$BN$2),0,salah)))</f>
        <v>1</v>
      </c>
      <c r="BP10" s="121">
        <f t="shared" si="28"/>
        <v>0</v>
      </c>
    </row>
    <row r="11" spans="1:68" x14ac:dyDescent="0.3">
      <c r="A11" s="133">
        <v>9</v>
      </c>
      <c r="B11" s="133">
        <v>55</v>
      </c>
      <c r="C11" s="133" t="s">
        <v>24</v>
      </c>
      <c r="D11" s="133">
        <v>127</v>
      </c>
      <c r="E11" s="133">
        <v>85</v>
      </c>
      <c r="F11" s="133">
        <v>72</v>
      </c>
      <c r="G11" s="133">
        <v>1.53</v>
      </c>
      <c r="H11" s="133">
        <v>45.7</v>
      </c>
      <c r="I11" s="4">
        <f t="shared" si="0"/>
        <v>19.522405912255973</v>
      </c>
      <c r="J11" s="120" t="s">
        <v>31</v>
      </c>
      <c r="K11" s="133" t="s">
        <v>26</v>
      </c>
      <c r="L11" s="133" t="s">
        <v>27</v>
      </c>
      <c r="M11" s="133" t="s">
        <v>33</v>
      </c>
      <c r="N11" s="133" t="s">
        <v>25</v>
      </c>
      <c r="O11" s="133" t="s">
        <v>34</v>
      </c>
      <c r="P11" s="133" t="s">
        <v>36</v>
      </c>
      <c r="R11" s="134" t="s">
        <v>35</v>
      </c>
      <c r="S11" s="133">
        <v>58</v>
      </c>
      <c r="T11" s="121">
        <f t="shared" si="1"/>
        <v>0</v>
      </c>
      <c r="U11" s="121">
        <f t="shared" si="2"/>
        <v>1</v>
      </c>
      <c r="W11" s="119">
        <v>8</v>
      </c>
      <c r="X11" s="133">
        <v>168</v>
      </c>
      <c r="Y11" s="133">
        <v>104</v>
      </c>
      <c r="Z11" s="121">
        <f t="shared" si="3"/>
        <v>272</v>
      </c>
      <c r="AA11" s="121">
        <f t="shared" si="4"/>
        <v>0</v>
      </c>
      <c r="AB11" s="121">
        <f>IF(AND($X$2&lt;Z11,Z11&lt;$Y$2),(Z11-$X$2)/($Y$2-$X$2),IF(AND($Y$2&lt;=Z11,Z11&lt;$Z$2),($Z$2-Z11)/($Z$2-$Y$2), IF(OR(Z11&lt;=$X$2,Z11&gt;=$Z$2),0,salah)))</f>
        <v>0</v>
      </c>
      <c r="AC11" s="121">
        <f t="shared" si="5"/>
        <v>1</v>
      </c>
      <c r="AE11" s="134">
        <v>90</v>
      </c>
      <c r="AF11" s="121">
        <f t="shared" si="6"/>
        <v>1</v>
      </c>
      <c r="AG11" s="121">
        <f t="shared" si="7"/>
        <v>0</v>
      </c>
      <c r="AI11" s="4">
        <f t="shared" si="8"/>
        <v>24.019515856633518</v>
      </c>
      <c r="AJ11" s="121">
        <f t="shared" si="9"/>
        <v>0.33116490481849797</v>
      </c>
      <c r="AK11" s="121">
        <f t="shared" si="10"/>
        <v>0.66883509518150197</v>
      </c>
      <c r="AM11" s="120" t="s">
        <v>31</v>
      </c>
      <c r="AN11" s="121">
        <f t="shared" si="11"/>
        <v>0</v>
      </c>
      <c r="AO11" s="121">
        <f t="shared" si="12"/>
        <v>0</v>
      </c>
      <c r="AP11" s="121">
        <f t="shared" si="13"/>
        <v>1</v>
      </c>
      <c r="AR11" s="134" t="s">
        <v>26</v>
      </c>
      <c r="AS11" s="121">
        <f t="shared" si="14"/>
        <v>0</v>
      </c>
      <c r="AT11" s="121">
        <f t="shared" si="15"/>
        <v>0</v>
      </c>
      <c r="AU11" s="121">
        <f t="shared" si="16"/>
        <v>1</v>
      </c>
      <c r="AW11" s="134" t="s">
        <v>27</v>
      </c>
      <c r="AX11" s="121">
        <f t="shared" si="17"/>
        <v>0</v>
      </c>
      <c r="AY11" s="121">
        <f t="shared" si="18"/>
        <v>0</v>
      </c>
      <c r="AZ11" s="121">
        <f t="shared" si="19"/>
        <v>1</v>
      </c>
      <c r="BB11" s="134" t="s">
        <v>33</v>
      </c>
      <c r="BC11" s="121">
        <f t="shared" si="20"/>
        <v>1</v>
      </c>
      <c r="BD11" s="121">
        <f t="shared" si="21"/>
        <v>1</v>
      </c>
      <c r="BE11" s="121">
        <f t="shared" si="22"/>
        <v>0</v>
      </c>
      <c r="BG11" s="134" t="s">
        <v>25</v>
      </c>
      <c r="BH11" s="121">
        <f t="shared" si="23"/>
        <v>1</v>
      </c>
      <c r="BI11" s="121">
        <f t="shared" si="24"/>
        <v>1</v>
      </c>
      <c r="BJ11" s="121">
        <f t="shared" si="25"/>
        <v>0</v>
      </c>
      <c r="BL11" s="134" t="s">
        <v>29</v>
      </c>
      <c r="BM11" s="121">
        <f t="shared" si="26"/>
        <v>0.5</v>
      </c>
      <c r="BN11" s="121">
        <f t="shared" si="27"/>
        <v>0</v>
      </c>
      <c r="BO11" s="121">
        <f>IF(AND($BL$2&lt;BM11,BM11&lt;$BM$2),(BM11-$BL$2)/($BM$2-$BL$2),IF(AND($BM$2&lt;=BM11,BM11&lt;$BN$2),($BN$2-BM11)/($BN$2-$BM$2), IF(OR(BM11&lt;=$BL$2,BM11&gt;=$BN$2),0,salah)))</f>
        <v>1</v>
      </c>
      <c r="BP11" s="121">
        <f t="shared" si="28"/>
        <v>0</v>
      </c>
    </row>
    <row r="12" spans="1:68" x14ac:dyDescent="0.3">
      <c r="A12" s="133">
        <v>10</v>
      </c>
      <c r="B12" s="133">
        <v>57</v>
      </c>
      <c r="C12" s="133" t="s">
        <v>37</v>
      </c>
      <c r="D12" s="133">
        <v>140</v>
      </c>
      <c r="E12" s="133">
        <v>99</v>
      </c>
      <c r="F12" s="133">
        <v>105</v>
      </c>
      <c r="G12" s="133">
        <v>1.55</v>
      </c>
      <c r="H12" s="133">
        <v>64.400000000000006</v>
      </c>
      <c r="I12" s="4">
        <f t="shared" si="0"/>
        <v>26.805411030176899</v>
      </c>
      <c r="J12" s="120" t="s">
        <v>31</v>
      </c>
      <c r="K12" s="133" t="s">
        <v>26</v>
      </c>
      <c r="L12" s="133" t="s">
        <v>27</v>
      </c>
      <c r="M12" s="133" t="s">
        <v>33</v>
      </c>
      <c r="N12" s="133" t="s">
        <v>31</v>
      </c>
      <c r="O12" s="133" t="s">
        <v>34</v>
      </c>
      <c r="P12" s="133" t="s">
        <v>30</v>
      </c>
      <c r="R12" s="134" t="s">
        <v>36</v>
      </c>
      <c r="S12" s="133">
        <v>55</v>
      </c>
      <c r="T12" s="121">
        <f t="shared" si="1"/>
        <v>0</v>
      </c>
      <c r="U12" s="121">
        <f t="shared" si="2"/>
        <v>1</v>
      </c>
      <c r="W12" s="119">
        <v>9</v>
      </c>
      <c r="X12" s="133">
        <v>127</v>
      </c>
      <c r="Y12" s="133">
        <v>85</v>
      </c>
      <c r="Z12" s="121">
        <f t="shared" si="3"/>
        <v>212</v>
      </c>
      <c r="AA12" s="121">
        <f t="shared" si="4"/>
        <v>0.6</v>
      </c>
      <c r="AB12" s="121">
        <f>IF(AND($X$2&lt;Z12,Z12&lt;$Y$2),(Z12-$X$2)/($Y$2-$X$2),IF(AND($Y$2&lt;=Z12,Z12&lt;$Z$2),($Z$2-Z12)/($Z$2-$Y$2), IF(OR(Z12&lt;=$X$2,Z12&gt;=$Z$2),0,salah)))</f>
        <v>0.4</v>
      </c>
      <c r="AC12" s="121">
        <f t="shared" si="5"/>
        <v>0</v>
      </c>
      <c r="AE12" s="134">
        <v>72</v>
      </c>
      <c r="AF12" s="121">
        <f t="shared" si="6"/>
        <v>1</v>
      </c>
      <c r="AG12" s="121">
        <f t="shared" si="7"/>
        <v>0</v>
      </c>
      <c r="AI12" s="4">
        <f t="shared" si="8"/>
        <v>19.522405912255973</v>
      </c>
      <c r="AJ12" s="121">
        <f t="shared" si="9"/>
        <v>0.83084378752711407</v>
      </c>
      <c r="AK12" s="121">
        <f t="shared" si="10"/>
        <v>0.1691562124728859</v>
      </c>
      <c r="AM12" s="120" t="s">
        <v>31</v>
      </c>
      <c r="AN12" s="121">
        <f t="shared" si="11"/>
        <v>0</v>
      </c>
      <c r="AO12" s="121">
        <f t="shared" si="12"/>
        <v>0</v>
      </c>
      <c r="AP12" s="121">
        <f t="shared" si="13"/>
        <v>1</v>
      </c>
      <c r="AR12" s="134" t="s">
        <v>26</v>
      </c>
      <c r="AS12" s="121">
        <f t="shared" si="14"/>
        <v>0</v>
      </c>
      <c r="AT12" s="121">
        <f t="shared" si="15"/>
        <v>0</v>
      </c>
      <c r="AU12" s="121">
        <f t="shared" si="16"/>
        <v>1</v>
      </c>
      <c r="AW12" s="134" t="s">
        <v>27</v>
      </c>
      <c r="AX12" s="121">
        <f t="shared" si="17"/>
        <v>0</v>
      </c>
      <c r="AY12" s="121">
        <f t="shared" si="18"/>
        <v>0</v>
      </c>
      <c r="AZ12" s="121">
        <f t="shared" si="19"/>
        <v>1</v>
      </c>
      <c r="BB12" s="134" t="s">
        <v>33</v>
      </c>
      <c r="BC12" s="121">
        <f t="shared" si="20"/>
        <v>1</v>
      </c>
      <c r="BD12" s="121">
        <f t="shared" si="21"/>
        <v>1</v>
      </c>
      <c r="BE12" s="121">
        <f t="shared" si="22"/>
        <v>0</v>
      </c>
      <c r="BG12" s="134" t="s">
        <v>25</v>
      </c>
      <c r="BH12" s="121">
        <f t="shared" si="23"/>
        <v>1</v>
      </c>
      <c r="BI12" s="121">
        <f t="shared" si="24"/>
        <v>1</v>
      </c>
      <c r="BJ12" s="121">
        <f t="shared" si="25"/>
        <v>0</v>
      </c>
      <c r="BL12" s="134" t="s">
        <v>34</v>
      </c>
      <c r="BM12" s="121">
        <f t="shared" si="26"/>
        <v>0</v>
      </c>
      <c r="BN12" s="121">
        <f t="shared" si="27"/>
        <v>1</v>
      </c>
      <c r="BO12" s="121">
        <f>IF(AND($BL$2&lt;BM12,BM12&lt;$BM$2),(BM12-$BL$2)/($BM$2-$BL$2),IF(AND($BM$2&lt;=BM12,BM12&lt;$BN$2),($BN$2-BM12)/($BN$2-$BM$2), IF(OR(BM12&lt;=$BL$2,BM12&gt;=$BN$2),0,salah)))</f>
        <v>0</v>
      </c>
      <c r="BP12" s="121">
        <f t="shared" si="28"/>
        <v>0</v>
      </c>
    </row>
    <row r="13" spans="1:68" x14ac:dyDescent="0.3">
      <c r="A13" s="133">
        <v>11</v>
      </c>
      <c r="B13" s="133">
        <v>64</v>
      </c>
      <c r="C13" s="133" t="s">
        <v>24</v>
      </c>
      <c r="D13" s="133">
        <v>178</v>
      </c>
      <c r="E13" s="133">
        <v>98</v>
      </c>
      <c r="F13" s="133">
        <v>101</v>
      </c>
      <c r="G13" s="133">
        <v>1.57</v>
      </c>
      <c r="H13" s="133">
        <v>77.8</v>
      </c>
      <c r="I13" s="4">
        <f t="shared" si="0"/>
        <v>31.563146577954477</v>
      </c>
      <c r="J13" s="120" t="s">
        <v>31</v>
      </c>
      <c r="K13" s="133" t="s">
        <v>26</v>
      </c>
      <c r="L13" s="133" t="s">
        <v>27</v>
      </c>
      <c r="M13" s="133" t="s">
        <v>28</v>
      </c>
      <c r="N13" s="133" t="s">
        <v>25</v>
      </c>
      <c r="O13" s="133" t="s">
        <v>34</v>
      </c>
      <c r="P13" s="133" t="s">
        <v>35</v>
      </c>
      <c r="R13" s="134" t="s">
        <v>30</v>
      </c>
      <c r="S13" s="133">
        <v>57</v>
      </c>
      <c r="T13" s="121">
        <f t="shared" si="1"/>
        <v>0</v>
      </c>
      <c r="U13" s="121">
        <f t="shared" si="2"/>
        <v>1</v>
      </c>
      <c r="W13" s="119">
        <v>10</v>
      </c>
      <c r="X13" s="133">
        <v>140</v>
      </c>
      <c r="Y13" s="133">
        <v>99</v>
      </c>
      <c r="Z13" s="121">
        <f t="shared" si="3"/>
        <v>239</v>
      </c>
      <c r="AA13" s="121">
        <f t="shared" si="4"/>
        <v>0</v>
      </c>
      <c r="AB13" s="121">
        <f>IF(AND($X$2&lt;Z13,Z13&lt;$Y$2),(Z13-$X$2)/($Y$2-$X$2),IF(AND($Y$2&lt;=Z13,Z13&lt;$Z$2),($Z$2-Z13)/($Z$2-$Y$2), IF(OR(Z13&lt;=$X$2,Z13&gt;=$Z$2),0,salah)))</f>
        <v>0.77500000000000002</v>
      </c>
      <c r="AC13" s="121">
        <f t="shared" si="5"/>
        <v>0.22500000000000001</v>
      </c>
      <c r="AE13" s="134">
        <v>105</v>
      </c>
      <c r="AF13" s="121">
        <f t="shared" si="6"/>
        <v>0</v>
      </c>
      <c r="AG13" s="121">
        <f t="shared" si="7"/>
        <v>1</v>
      </c>
      <c r="AI13" s="4">
        <f t="shared" si="8"/>
        <v>26.805411030176899</v>
      </c>
      <c r="AJ13" s="121">
        <f t="shared" si="9"/>
        <v>2.1620996647011264E-2</v>
      </c>
      <c r="AK13" s="121">
        <f t="shared" si="10"/>
        <v>0.97837900335298877</v>
      </c>
      <c r="AM13" s="120" t="s">
        <v>31</v>
      </c>
      <c r="AN13" s="121">
        <f t="shared" si="11"/>
        <v>0</v>
      </c>
      <c r="AO13" s="121">
        <f t="shared" si="12"/>
        <v>0</v>
      </c>
      <c r="AP13" s="121">
        <f t="shared" si="13"/>
        <v>1</v>
      </c>
      <c r="AR13" s="134" t="s">
        <v>26</v>
      </c>
      <c r="AS13" s="121">
        <f t="shared" si="14"/>
        <v>0</v>
      </c>
      <c r="AT13" s="121">
        <f t="shared" si="15"/>
        <v>0</v>
      </c>
      <c r="AU13" s="121">
        <f t="shared" si="16"/>
        <v>1</v>
      </c>
      <c r="AW13" s="134" t="s">
        <v>27</v>
      </c>
      <c r="AX13" s="121">
        <f t="shared" si="17"/>
        <v>0</v>
      </c>
      <c r="AY13" s="121">
        <f t="shared" si="18"/>
        <v>0</v>
      </c>
      <c r="AZ13" s="121">
        <f t="shared" si="19"/>
        <v>1</v>
      </c>
      <c r="BB13" s="134" t="s">
        <v>33</v>
      </c>
      <c r="BC13" s="121">
        <f t="shared" si="20"/>
        <v>1</v>
      </c>
      <c r="BD13" s="121">
        <f t="shared" si="21"/>
        <v>1</v>
      </c>
      <c r="BE13" s="121">
        <f t="shared" si="22"/>
        <v>0</v>
      </c>
      <c r="BG13" s="134" t="s">
        <v>31</v>
      </c>
      <c r="BH13" s="121">
        <f t="shared" si="23"/>
        <v>0</v>
      </c>
      <c r="BI13" s="121">
        <f t="shared" si="24"/>
        <v>0</v>
      </c>
      <c r="BJ13" s="121">
        <f t="shared" si="25"/>
        <v>1</v>
      </c>
      <c r="BL13" s="134" t="s">
        <v>34</v>
      </c>
      <c r="BM13" s="121">
        <f t="shared" si="26"/>
        <v>0</v>
      </c>
      <c r="BN13" s="121">
        <f t="shared" si="27"/>
        <v>1</v>
      </c>
      <c r="BO13" s="121">
        <f>IF(AND($BL$2&lt;BM13,BM13&lt;$BM$2),(BM13-$BL$2)/($BM$2-$BL$2),IF(AND($BM$2&lt;=BM13,BM13&lt;$BN$2),($BN$2-BM13)/($BN$2-$BM$2), IF(OR(BM13&lt;=$BL$2,BM13&gt;=$BN$2),0,salah)))</f>
        <v>0</v>
      </c>
      <c r="BP13" s="121">
        <f t="shared" si="28"/>
        <v>0</v>
      </c>
    </row>
    <row r="14" spans="1:68" x14ac:dyDescent="0.3">
      <c r="A14" s="133">
        <v>12</v>
      </c>
      <c r="B14" s="133">
        <v>58</v>
      </c>
      <c r="C14" s="133" t="s">
        <v>37</v>
      </c>
      <c r="D14" s="133">
        <v>117</v>
      </c>
      <c r="E14" s="133">
        <v>78</v>
      </c>
      <c r="F14" s="133">
        <v>91</v>
      </c>
      <c r="G14" s="133">
        <v>1.54</v>
      </c>
      <c r="H14" s="133">
        <v>54.2</v>
      </c>
      <c r="I14" s="4">
        <f t="shared" si="0"/>
        <v>22.853769607016361</v>
      </c>
      <c r="J14" s="120" t="s">
        <v>25</v>
      </c>
      <c r="K14" s="133" t="s">
        <v>26</v>
      </c>
      <c r="L14" s="133" t="s">
        <v>27</v>
      </c>
      <c r="M14" s="133" t="s">
        <v>28</v>
      </c>
      <c r="N14" s="133" t="s">
        <v>25</v>
      </c>
      <c r="O14" s="133" t="s">
        <v>34</v>
      </c>
      <c r="P14" s="133" t="s">
        <v>36</v>
      </c>
      <c r="R14" s="134" t="s">
        <v>35</v>
      </c>
      <c r="S14" s="133">
        <v>64</v>
      </c>
      <c r="T14" s="121">
        <f t="shared" si="1"/>
        <v>0</v>
      </c>
      <c r="U14" s="121">
        <f t="shared" si="2"/>
        <v>1</v>
      </c>
      <c r="W14" s="119">
        <v>11</v>
      </c>
      <c r="X14" s="133">
        <v>178</v>
      </c>
      <c r="Y14" s="133">
        <v>98</v>
      </c>
      <c r="Z14" s="121">
        <f t="shared" si="3"/>
        <v>276</v>
      </c>
      <c r="AA14" s="121">
        <f t="shared" si="4"/>
        <v>0</v>
      </c>
      <c r="AB14" s="121">
        <f>IF(AND($X$2&lt;Z14,Z14&lt;$Y$2),(Z14-$X$2)/($Y$2-$X$2),IF(AND($Y$2&lt;=Z14,Z14&lt;$Z$2),($Z$2-Z14)/($Z$2-$Y$2), IF(OR(Z14&lt;=$X$2,Z14&gt;=$Z$2),0,salah)))</f>
        <v>0</v>
      </c>
      <c r="AC14" s="121">
        <f t="shared" si="5"/>
        <v>1</v>
      </c>
      <c r="AE14" s="134">
        <v>101</v>
      </c>
      <c r="AF14" s="121">
        <f t="shared" si="6"/>
        <v>0</v>
      </c>
      <c r="AG14" s="121">
        <f t="shared" si="7"/>
        <v>1</v>
      </c>
      <c r="AI14" s="4">
        <f t="shared" si="8"/>
        <v>31.563146577954477</v>
      </c>
      <c r="AJ14" s="121">
        <f t="shared" si="9"/>
        <v>0</v>
      </c>
      <c r="AK14" s="121">
        <f t="shared" si="10"/>
        <v>1</v>
      </c>
      <c r="AM14" s="120" t="s">
        <v>31</v>
      </c>
      <c r="AN14" s="121">
        <f t="shared" si="11"/>
        <v>0</v>
      </c>
      <c r="AO14" s="121">
        <f t="shared" si="12"/>
        <v>0</v>
      </c>
      <c r="AP14" s="121">
        <f t="shared" si="13"/>
        <v>1</v>
      </c>
      <c r="AR14" s="134" t="s">
        <v>26</v>
      </c>
      <c r="AS14" s="121">
        <f t="shared" si="14"/>
        <v>0</v>
      </c>
      <c r="AT14" s="121">
        <f t="shared" si="15"/>
        <v>0</v>
      </c>
      <c r="AU14" s="121">
        <f t="shared" si="16"/>
        <v>1</v>
      </c>
      <c r="AW14" s="134" t="s">
        <v>27</v>
      </c>
      <c r="AX14" s="121">
        <f t="shared" si="17"/>
        <v>0</v>
      </c>
      <c r="AY14" s="121">
        <f t="shared" si="18"/>
        <v>0</v>
      </c>
      <c r="AZ14" s="121">
        <f t="shared" si="19"/>
        <v>1</v>
      </c>
      <c r="BB14" s="134" t="s">
        <v>28</v>
      </c>
      <c r="BC14" s="121">
        <f t="shared" si="20"/>
        <v>0</v>
      </c>
      <c r="BD14" s="121">
        <f t="shared" si="21"/>
        <v>0</v>
      </c>
      <c r="BE14" s="121">
        <f t="shared" si="22"/>
        <v>1</v>
      </c>
      <c r="BG14" s="134" t="s">
        <v>25</v>
      </c>
      <c r="BH14" s="121">
        <f t="shared" si="23"/>
        <v>1</v>
      </c>
      <c r="BI14" s="121">
        <f t="shared" si="24"/>
        <v>1</v>
      </c>
      <c r="BJ14" s="121">
        <f t="shared" si="25"/>
        <v>0</v>
      </c>
      <c r="BL14" s="134" t="s">
        <v>34</v>
      </c>
      <c r="BM14" s="121">
        <f t="shared" si="26"/>
        <v>0</v>
      </c>
      <c r="BN14" s="121">
        <f t="shared" si="27"/>
        <v>1</v>
      </c>
      <c r="BO14" s="121">
        <f>IF(AND($BL$2&lt;BM14,BM14&lt;$BM$2),(BM14-$BL$2)/($BM$2-$BL$2),IF(AND($BM$2&lt;=BM14,BM14&lt;$BN$2),($BN$2-BM14)/($BN$2-$BM$2), IF(OR(BM14&lt;=$BL$2,BM14&gt;=$BN$2),0,salah)))</f>
        <v>0</v>
      </c>
      <c r="BP14" s="121">
        <f t="shared" si="28"/>
        <v>0</v>
      </c>
    </row>
    <row r="15" spans="1:68" x14ac:dyDescent="0.3">
      <c r="A15" s="133">
        <v>13</v>
      </c>
      <c r="B15" s="133">
        <v>52</v>
      </c>
      <c r="C15" s="133" t="s">
        <v>24</v>
      </c>
      <c r="D15" s="133">
        <v>138</v>
      </c>
      <c r="E15" s="133">
        <v>93</v>
      </c>
      <c r="F15" s="133">
        <v>85</v>
      </c>
      <c r="G15" s="133">
        <v>1.54</v>
      </c>
      <c r="H15" s="133">
        <v>64.099999999999994</v>
      </c>
      <c r="I15" s="4">
        <f t="shared" si="0"/>
        <v>27.028166638556247</v>
      </c>
      <c r="J15" s="120" t="s">
        <v>25</v>
      </c>
      <c r="K15" s="133" t="s">
        <v>26</v>
      </c>
      <c r="L15" s="133" t="s">
        <v>32</v>
      </c>
      <c r="M15" s="133" t="s">
        <v>33</v>
      </c>
      <c r="N15" s="133" t="s">
        <v>25</v>
      </c>
      <c r="O15" s="133" t="s">
        <v>29</v>
      </c>
      <c r="P15" s="133" t="s">
        <v>30</v>
      </c>
      <c r="R15" s="134" t="s">
        <v>36</v>
      </c>
      <c r="S15" s="133">
        <v>58</v>
      </c>
      <c r="T15" s="121">
        <f t="shared" si="1"/>
        <v>0</v>
      </c>
      <c r="U15" s="121">
        <f t="shared" si="2"/>
        <v>1</v>
      </c>
      <c r="W15" s="119">
        <v>12</v>
      </c>
      <c r="X15" s="133">
        <v>117</v>
      </c>
      <c r="Y15" s="133">
        <v>78</v>
      </c>
      <c r="Z15" s="121">
        <f t="shared" si="3"/>
        <v>195</v>
      </c>
      <c r="AA15" s="121">
        <f t="shared" si="4"/>
        <v>1</v>
      </c>
      <c r="AB15" s="121">
        <f>IF(AND($X$2&lt;Z15,Z15&lt;$Y$2),(Z15-$X$2)/($Y$2-$X$2),IF(AND($Y$2&lt;=Z15,Z15&lt;$Z$2),($Z$2-Z15)/($Z$2-$Y$2), IF(OR(Z15&lt;=$X$2,Z15&gt;=$Z$2),0,salah)))</f>
        <v>0</v>
      </c>
      <c r="AC15" s="121">
        <f t="shared" si="5"/>
        <v>0</v>
      </c>
      <c r="AE15" s="134">
        <v>91</v>
      </c>
      <c r="AF15" s="121">
        <f t="shared" si="6"/>
        <v>0.9</v>
      </c>
      <c r="AG15" s="121">
        <f t="shared" si="7"/>
        <v>0.1</v>
      </c>
      <c r="AI15" s="4">
        <f t="shared" si="8"/>
        <v>22.853769607016361</v>
      </c>
      <c r="AJ15" s="121">
        <f t="shared" si="9"/>
        <v>0.46069226588707107</v>
      </c>
      <c r="AK15" s="121">
        <f t="shared" si="10"/>
        <v>0.53930773411292898</v>
      </c>
      <c r="AM15" s="120" t="s">
        <v>25</v>
      </c>
      <c r="AN15" s="121">
        <f t="shared" si="11"/>
        <v>1</v>
      </c>
      <c r="AO15" s="121">
        <f t="shared" si="12"/>
        <v>1</v>
      </c>
      <c r="AP15" s="121">
        <f t="shared" si="13"/>
        <v>0</v>
      </c>
      <c r="AR15" s="134" t="s">
        <v>26</v>
      </c>
      <c r="AS15" s="121">
        <f t="shared" si="14"/>
        <v>0</v>
      </c>
      <c r="AT15" s="121">
        <f t="shared" si="15"/>
        <v>0</v>
      </c>
      <c r="AU15" s="121">
        <f t="shared" si="16"/>
        <v>1</v>
      </c>
      <c r="AW15" s="134" t="s">
        <v>27</v>
      </c>
      <c r="AX15" s="121">
        <f t="shared" si="17"/>
        <v>0</v>
      </c>
      <c r="AY15" s="121">
        <f t="shared" si="18"/>
        <v>0</v>
      </c>
      <c r="AZ15" s="121">
        <f t="shared" si="19"/>
        <v>1</v>
      </c>
      <c r="BB15" s="134" t="s">
        <v>28</v>
      </c>
      <c r="BC15" s="121">
        <f t="shared" si="20"/>
        <v>0</v>
      </c>
      <c r="BD15" s="121">
        <f t="shared" si="21"/>
        <v>0</v>
      </c>
      <c r="BE15" s="121">
        <f t="shared" si="22"/>
        <v>1</v>
      </c>
      <c r="BG15" s="134" t="s">
        <v>25</v>
      </c>
      <c r="BH15" s="121">
        <f t="shared" si="23"/>
        <v>1</v>
      </c>
      <c r="BI15" s="121">
        <f t="shared" si="24"/>
        <v>1</v>
      </c>
      <c r="BJ15" s="121">
        <f t="shared" si="25"/>
        <v>0</v>
      </c>
      <c r="BL15" s="134" t="s">
        <v>34</v>
      </c>
      <c r="BM15" s="121">
        <f t="shared" si="26"/>
        <v>0</v>
      </c>
      <c r="BN15" s="121">
        <f t="shared" si="27"/>
        <v>1</v>
      </c>
      <c r="BO15" s="121">
        <f>IF(AND($BL$2&lt;BM15,BM15&lt;$BM$2),(BM15-$BL$2)/($BM$2-$BL$2),IF(AND($BM$2&lt;=BM15,BM15&lt;$BN$2),($BN$2-BM15)/($BN$2-$BM$2), IF(OR(BM15&lt;=$BL$2,BM15&gt;=$BN$2),0,salah)))</f>
        <v>0</v>
      </c>
      <c r="BP15" s="121">
        <f t="shared" si="28"/>
        <v>0</v>
      </c>
    </row>
    <row r="16" spans="1:68" x14ac:dyDescent="0.3">
      <c r="A16" s="133">
        <v>14</v>
      </c>
      <c r="B16" s="133">
        <v>49</v>
      </c>
      <c r="C16" s="133" t="s">
        <v>37</v>
      </c>
      <c r="D16" s="133">
        <v>113</v>
      </c>
      <c r="E16" s="133">
        <v>78</v>
      </c>
      <c r="F16" s="133">
        <v>75</v>
      </c>
      <c r="G16" s="133">
        <v>1.46</v>
      </c>
      <c r="H16" s="133">
        <v>45.9</v>
      </c>
      <c r="I16" s="4">
        <f t="shared" si="0"/>
        <v>21.533120660536689</v>
      </c>
      <c r="J16" s="120" t="s">
        <v>31</v>
      </c>
      <c r="K16" s="133" t="s">
        <v>26</v>
      </c>
      <c r="L16" s="133" t="s">
        <v>27</v>
      </c>
      <c r="M16" s="133" t="s">
        <v>28</v>
      </c>
      <c r="N16" s="133" t="s">
        <v>25</v>
      </c>
      <c r="O16" s="133" t="s">
        <v>29</v>
      </c>
      <c r="P16" s="133" t="s">
        <v>36</v>
      </c>
      <c r="R16" s="134" t="s">
        <v>30</v>
      </c>
      <c r="S16" s="133">
        <v>52</v>
      </c>
      <c r="T16" s="121">
        <f t="shared" si="1"/>
        <v>0</v>
      </c>
      <c r="U16" s="121">
        <f t="shared" si="2"/>
        <v>1</v>
      </c>
      <c r="W16" s="119">
        <v>13</v>
      </c>
      <c r="X16" s="133">
        <v>138</v>
      </c>
      <c r="Y16" s="133">
        <v>93</v>
      </c>
      <c r="Z16" s="121">
        <f t="shared" si="3"/>
        <v>231</v>
      </c>
      <c r="AA16" s="121">
        <f t="shared" si="4"/>
        <v>0</v>
      </c>
      <c r="AB16" s="121">
        <f>IF(AND($X$2&lt;Z16,Z16&lt;$Y$2),(Z16-$X$2)/($Y$2-$X$2),IF(AND($Y$2&lt;=Z16,Z16&lt;$Z$2),($Z$2-Z16)/($Z$2-$Y$2), IF(OR(Z16&lt;=$X$2,Z16&gt;=$Z$2),0,salah)))</f>
        <v>0.97499999999999998</v>
      </c>
      <c r="AC16" s="121">
        <f t="shared" si="5"/>
        <v>2.5000000000000001E-2</v>
      </c>
      <c r="AE16" s="134">
        <v>85</v>
      </c>
      <c r="AF16" s="121">
        <f t="shared" si="6"/>
        <v>1</v>
      </c>
      <c r="AG16" s="121">
        <f t="shared" si="7"/>
        <v>0</v>
      </c>
      <c r="AI16" s="4">
        <f t="shared" si="8"/>
        <v>27.028166638556247</v>
      </c>
      <c r="AJ16" s="121">
        <f t="shared" si="9"/>
        <v>0</v>
      </c>
      <c r="AK16" s="121">
        <f t="shared" si="10"/>
        <v>1</v>
      </c>
      <c r="AM16" s="120" t="s">
        <v>25</v>
      </c>
      <c r="AN16" s="121">
        <f t="shared" si="11"/>
        <v>1</v>
      </c>
      <c r="AO16" s="121">
        <f t="shared" si="12"/>
        <v>1</v>
      </c>
      <c r="AP16" s="121">
        <f t="shared" si="13"/>
        <v>0</v>
      </c>
      <c r="AR16" s="134" t="s">
        <v>26</v>
      </c>
      <c r="AS16" s="121">
        <f t="shared" si="14"/>
        <v>0</v>
      </c>
      <c r="AT16" s="121">
        <f t="shared" si="15"/>
        <v>0</v>
      </c>
      <c r="AU16" s="121">
        <f t="shared" si="16"/>
        <v>1</v>
      </c>
      <c r="AW16" s="134" t="s">
        <v>32</v>
      </c>
      <c r="AX16" s="121">
        <f t="shared" si="17"/>
        <v>1</v>
      </c>
      <c r="AY16" s="121">
        <f t="shared" si="18"/>
        <v>1</v>
      </c>
      <c r="AZ16" s="121">
        <f t="shared" si="19"/>
        <v>0</v>
      </c>
      <c r="BB16" s="134" t="s">
        <v>33</v>
      </c>
      <c r="BC16" s="121">
        <f t="shared" si="20"/>
        <v>1</v>
      </c>
      <c r="BD16" s="121">
        <f t="shared" si="21"/>
        <v>1</v>
      </c>
      <c r="BE16" s="121">
        <f t="shared" si="22"/>
        <v>0</v>
      </c>
      <c r="BG16" s="134" t="s">
        <v>25</v>
      </c>
      <c r="BH16" s="121">
        <f t="shared" si="23"/>
        <v>1</v>
      </c>
      <c r="BI16" s="121">
        <f t="shared" si="24"/>
        <v>1</v>
      </c>
      <c r="BJ16" s="121">
        <f t="shared" si="25"/>
        <v>0</v>
      </c>
      <c r="BL16" s="134" t="s">
        <v>29</v>
      </c>
      <c r="BM16" s="121">
        <f t="shared" si="26"/>
        <v>0.5</v>
      </c>
      <c r="BN16" s="121">
        <f t="shared" si="27"/>
        <v>0</v>
      </c>
      <c r="BO16" s="121">
        <f>IF(AND($BL$2&lt;BM16,BM16&lt;$BM$2),(BM16-$BL$2)/($BM$2-$BL$2),IF(AND($BM$2&lt;=BM16,BM16&lt;$BN$2),($BN$2-BM16)/($BN$2-$BM$2), IF(OR(BM16&lt;=$BL$2,BM16&gt;=$BN$2),0,salah)))</f>
        <v>1</v>
      </c>
      <c r="BP16" s="121">
        <f t="shared" si="28"/>
        <v>0</v>
      </c>
    </row>
    <row r="17" spans="1:68" x14ac:dyDescent="0.3">
      <c r="A17" s="133">
        <v>15</v>
      </c>
      <c r="B17" s="133">
        <v>51</v>
      </c>
      <c r="C17" s="133" t="s">
        <v>24</v>
      </c>
      <c r="D17" s="133">
        <v>139</v>
      </c>
      <c r="E17" s="133">
        <v>85</v>
      </c>
      <c r="F17" s="133">
        <v>84</v>
      </c>
      <c r="G17" s="133">
        <v>1.62</v>
      </c>
      <c r="H17" s="133">
        <v>61.2</v>
      </c>
      <c r="I17" s="4">
        <f t="shared" si="0"/>
        <v>23.319615912208501</v>
      </c>
      <c r="J17" s="120" t="s">
        <v>25</v>
      </c>
      <c r="K17" s="133" t="s">
        <v>26</v>
      </c>
      <c r="L17" s="133" t="s">
        <v>27</v>
      </c>
      <c r="M17" s="133" t="s">
        <v>28</v>
      </c>
      <c r="N17" s="133" t="s">
        <v>25</v>
      </c>
      <c r="O17" s="133" t="s">
        <v>38</v>
      </c>
      <c r="P17" s="133" t="s">
        <v>30</v>
      </c>
      <c r="R17" s="134" t="s">
        <v>36</v>
      </c>
      <c r="S17" s="133">
        <v>49</v>
      </c>
      <c r="T17" s="121">
        <f t="shared" si="1"/>
        <v>0</v>
      </c>
      <c r="U17" s="121">
        <f t="shared" si="2"/>
        <v>1</v>
      </c>
      <c r="W17" s="119">
        <v>14</v>
      </c>
      <c r="X17" s="133">
        <v>113</v>
      </c>
      <c r="Y17" s="133">
        <v>78</v>
      </c>
      <c r="Z17" s="121">
        <f t="shared" si="3"/>
        <v>191</v>
      </c>
      <c r="AA17" s="121">
        <f t="shared" si="4"/>
        <v>1</v>
      </c>
      <c r="AB17" s="121">
        <f>IF(AND($X$2&lt;Z17,Z17&lt;$Y$2),(Z17-$X$2)/($Y$2-$X$2),IF(AND($Y$2&lt;=Z17,Z17&lt;$Z$2),($Z$2-Z17)/($Z$2-$Y$2), IF(OR(Z17&lt;=$X$2,Z17&gt;=$Z$2),0,salah)))</f>
        <v>0</v>
      </c>
      <c r="AC17" s="121">
        <f t="shared" si="5"/>
        <v>0</v>
      </c>
      <c r="AE17" s="134">
        <v>75</v>
      </c>
      <c r="AF17" s="121">
        <f t="shared" si="6"/>
        <v>1</v>
      </c>
      <c r="AG17" s="121">
        <f t="shared" si="7"/>
        <v>0</v>
      </c>
      <c r="AI17" s="4">
        <f t="shared" si="8"/>
        <v>21.533120660536689</v>
      </c>
      <c r="AJ17" s="121">
        <f t="shared" si="9"/>
        <v>0.60743103771814566</v>
      </c>
      <c r="AK17" s="121">
        <f t="shared" si="10"/>
        <v>0.39256896228185428</v>
      </c>
      <c r="AM17" s="120" t="s">
        <v>31</v>
      </c>
      <c r="AN17" s="121">
        <f t="shared" si="11"/>
        <v>0</v>
      </c>
      <c r="AO17" s="121">
        <f t="shared" si="12"/>
        <v>0</v>
      </c>
      <c r="AP17" s="121">
        <f t="shared" si="13"/>
        <v>1</v>
      </c>
      <c r="AR17" s="134" t="s">
        <v>26</v>
      </c>
      <c r="AS17" s="121">
        <f t="shared" si="14"/>
        <v>0</v>
      </c>
      <c r="AT17" s="121">
        <f t="shared" si="15"/>
        <v>0</v>
      </c>
      <c r="AU17" s="121">
        <f t="shared" si="16"/>
        <v>1</v>
      </c>
      <c r="AW17" s="134" t="s">
        <v>27</v>
      </c>
      <c r="AX17" s="121">
        <f t="shared" si="17"/>
        <v>0</v>
      </c>
      <c r="AY17" s="121">
        <f t="shared" si="18"/>
        <v>0</v>
      </c>
      <c r="AZ17" s="121">
        <f t="shared" si="19"/>
        <v>1</v>
      </c>
      <c r="BB17" s="134" t="s">
        <v>28</v>
      </c>
      <c r="BC17" s="121">
        <f t="shared" si="20"/>
        <v>0</v>
      </c>
      <c r="BD17" s="121">
        <f t="shared" si="21"/>
        <v>0</v>
      </c>
      <c r="BE17" s="121">
        <f t="shared" si="22"/>
        <v>1</v>
      </c>
      <c r="BG17" s="134" t="s">
        <v>25</v>
      </c>
      <c r="BH17" s="121">
        <f t="shared" si="23"/>
        <v>1</v>
      </c>
      <c r="BI17" s="121">
        <f t="shared" si="24"/>
        <v>1</v>
      </c>
      <c r="BJ17" s="121">
        <f t="shared" si="25"/>
        <v>0</v>
      </c>
      <c r="BL17" s="134" t="s">
        <v>29</v>
      </c>
      <c r="BM17" s="121">
        <f t="shared" si="26"/>
        <v>0.5</v>
      </c>
      <c r="BN17" s="121">
        <f t="shared" si="27"/>
        <v>0</v>
      </c>
      <c r="BO17" s="121">
        <f>IF(AND($BL$2&lt;BM17,BM17&lt;$BM$2),(BM17-$BL$2)/($BM$2-$BL$2),IF(AND($BM$2&lt;=BM17,BM17&lt;$BN$2),($BN$2-BM17)/($BN$2-$BM$2), IF(OR(BM17&lt;=$BL$2,BM17&gt;=$BN$2),0,salah)))</f>
        <v>1</v>
      </c>
      <c r="BP17" s="121">
        <f t="shared" si="28"/>
        <v>0</v>
      </c>
    </row>
    <row r="18" spans="1:68" x14ac:dyDescent="0.3">
      <c r="A18" s="133">
        <v>16</v>
      </c>
      <c r="B18" s="133">
        <v>66</v>
      </c>
      <c r="C18" s="133" t="s">
        <v>37</v>
      </c>
      <c r="D18" s="133">
        <v>187</v>
      </c>
      <c r="E18" s="133">
        <v>108</v>
      </c>
      <c r="F18" s="133">
        <v>88</v>
      </c>
      <c r="G18" s="133">
        <v>1.47</v>
      </c>
      <c r="H18" s="133">
        <v>43.6</v>
      </c>
      <c r="I18" s="4">
        <f t="shared" si="0"/>
        <v>20.176778194270909</v>
      </c>
      <c r="J18" s="120" t="s">
        <v>31</v>
      </c>
      <c r="K18" s="133" t="s">
        <v>26</v>
      </c>
      <c r="L18" s="133" t="s">
        <v>27</v>
      </c>
      <c r="M18" s="133" t="s">
        <v>28</v>
      </c>
      <c r="N18" s="133" t="s">
        <v>25</v>
      </c>
      <c r="O18" s="133" t="s">
        <v>38</v>
      </c>
      <c r="P18" s="133" t="s">
        <v>35</v>
      </c>
      <c r="R18" s="134" t="s">
        <v>30</v>
      </c>
      <c r="S18" s="133">
        <v>51</v>
      </c>
      <c r="T18" s="121">
        <f t="shared" si="1"/>
        <v>0</v>
      </c>
      <c r="U18" s="121">
        <f t="shared" si="2"/>
        <v>1</v>
      </c>
      <c r="W18" s="119">
        <v>15</v>
      </c>
      <c r="X18" s="133">
        <v>139</v>
      </c>
      <c r="Y18" s="133">
        <v>85</v>
      </c>
      <c r="Z18" s="121">
        <f t="shared" si="3"/>
        <v>224</v>
      </c>
      <c r="AA18" s="121">
        <f t="shared" si="4"/>
        <v>0.2</v>
      </c>
      <c r="AB18" s="121">
        <f>IF(AND($X$2&lt;Z18,Z18&lt;$Y$2),(Z18-$X$2)/($Y$2-$X$2),IF(AND($Y$2&lt;=Z18,Z18&lt;$Z$2),($Z$2-Z18)/($Z$2-$Y$2), IF(OR(Z18&lt;=$X$2,Z18&gt;=$Z$2),0,salah)))</f>
        <v>0.8</v>
      </c>
      <c r="AC18" s="121">
        <f t="shared" si="5"/>
        <v>0</v>
      </c>
      <c r="AE18" s="134">
        <v>84</v>
      </c>
      <c r="AF18" s="121">
        <f t="shared" si="6"/>
        <v>1</v>
      </c>
      <c r="AG18" s="121">
        <f t="shared" si="7"/>
        <v>0</v>
      </c>
      <c r="AI18" s="4">
        <f t="shared" si="8"/>
        <v>23.319615912208501</v>
      </c>
      <c r="AJ18" s="121">
        <f t="shared" si="9"/>
        <v>0.4089315653101665</v>
      </c>
      <c r="AK18" s="121">
        <f t="shared" si="10"/>
        <v>0.5910684346898335</v>
      </c>
      <c r="AM18" s="120" t="s">
        <v>25</v>
      </c>
      <c r="AN18" s="121">
        <f t="shared" si="11"/>
        <v>1</v>
      </c>
      <c r="AO18" s="121">
        <f t="shared" si="12"/>
        <v>1</v>
      </c>
      <c r="AP18" s="121">
        <f t="shared" si="13"/>
        <v>0</v>
      </c>
      <c r="AR18" s="134" t="s">
        <v>26</v>
      </c>
      <c r="AS18" s="121">
        <f t="shared" si="14"/>
        <v>0</v>
      </c>
      <c r="AT18" s="121">
        <f t="shared" si="15"/>
        <v>0</v>
      </c>
      <c r="AU18" s="121">
        <f t="shared" si="16"/>
        <v>1</v>
      </c>
      <c r="AW18" s="134" t="s">
        <v>27</v>
      </c>
      <c r="AX18" s="121">
        <f t="shared" si="17"/>
        <v>0</v>
      </c>
      <c r="AY18" s="121">
        <f t="shared" si="18"/>
        <v>0</v>
      </c>
      <c r="AZ18" s="121">
        <f t="shared" si="19"/>
        <v>1</v>
      </c>
      <c r="BB18" s="134" t="s">
        <v>28</v>
      </c>
      <c r="BC18" s="121">
        <f t="shared" si="20"/>
        <v>0</v>
      </c>
      <c r="BD18" s="121">
        <f t="shared" si="21"/>
        <v>0</v>
      </c>
      <c r="BE18" s="121">
        <f t="shared" si="22"/>
        <v>1</v>
      </c>
      <c r="BG18" s="134" t="s">
        <v>25</v>
      </c>
      <c r="BH18" s="121">
        <f t="shared" si="23"/>
        <v>1</v>
      </c>
      <c r="BI18" s="121">
        <f t="shared" si="24"/>
        <v>1</v>
      </c>
      <c r="BJ18" s="121">
        <f t="shared" si="25"/>
        <v>0</v>
      </c>
      <c r="BL18" s="134" t="s">
        <v>38</v>
      </c>
      <c r="BM18" s="121">
        <f t="shared" si="26"/>
        <v>1</v>
      </c>
      <c r="BN18" s="121">
        <f t="shared" si="27"/>
        <v>0</v>
      </c>
      <c r="BO18" s="121">
        <f>IF(AND($BL$2&lt;BM18,BM18&lt;$BM$2),(BM18-$BL$2)/($BM$2-$BL$2),IF(AND($BM$2&lt;=BM18,BM18&lt;$BN$2),($BN$2-BM18)/($BN$2-$BM$2), IF(OR(BM18&lt;=$BL$2,BM18&gt;=$BN$2),0,salah)))</f>
        <v>0</v>
      </c>
      <c r="BP18" s="121">
        <f t="shared" si="28"/>
        <v>1</v>
      </c>
    </row>
    <row r="19" spans="1:68" x14ac:dyDescent="0.3">
      <c r="A19" s="133">
        <v>17</v>
      </c>
      <c r="B19" s="133">
        <v>69</v>
      </c>
      <c r="C19" s="133" t="s">
        <v>24</v>
      </c>
      <c r="D19" s="133">
        <v>139</v>
      </c>
      <c r="E19" s="133">
        <v>78</v>
      </c>
      <c r="F19" s="133">
        <v>81</v>
      </c>
      <c r="G19" s="133">
        <v>1.59</v>
      </c>
      <c r="H19" s="133">
        <v>49.1</v>
      </c>
      <c r="I19" s="4">
        <f t="shared" si="0"/>
        <v>19.421700090977414</v>
      </c>
      <c r="J19" s="120" t="s">
        <v>31</v>
      </c>
      <c r="K19" s="133" t="s">
        <v>39</v>
      </c>
      <c r="L19" s="133" t="s">
        <v>32</v>
      </c>
      <c r="M19" s="133" t="s">
        <v>28</v>
      </c>
      <c r="N19" s="133" t="s">
        <v>31</v>
      </c>
      <c r="O19" s="133" t="s">
        <v>29</v>
      </c>
      <c r="P19" s="133" t="s">
        <v>30</v>
      </c>
      <c r="R19" s="134" t="s">
        <v>35</v>
      </c>
      <c r="S19" s="133">
        <v>66</v>
      </c>
      <c r="T19" s="121">
        <f t="shared" si="1"/>
        <v>0</v>
      </c>
      <c r="U19" s="121">
        <f t="shared" si="2"/>
        <v>1</v>
      </c>
      <c r="W19" s="119">
        <v>16</v>
      </c>
      <c r="X19" s="133">
        <v>187</v>
      </c>
      <c r="Y19" s="133">
        <v>108</v>
      </c>
      <c r="Z19" s="121">
        <f t="shared" si="3"/>
        <v>295</v>
      </c>
      <c r="AA19" s="121">
        <f t="shared" si="4"/>
        <v>0</v>
      </c>
      <c r="AB19" s="121">
        <f>IF(AND($X$2&lt;Z19,Z19&lt;$Y$2),(Z19-$X$2)/($Y$2-$X$2),IF(AND($Y$2&lt;=Z19,Z19&lt;$Z$2),($Z$2-Z19)/($Z$2-$Y$2), IF(OR(Z19&lt;=$X$2,Z19&gt;=$Z$2),0,salah)))</f>
        <v>0</v>
      </c>
      <c r="AC19" s="121">
        <f t="shared" si="5"/>
        <v>1</v>
      </c>
      <c r="AE19" s="134">
        <v>88</v>
      </c>
      <c r="AF19" s="121">
        <f t="shared" si="6"/>
        <v>1</v>
      </c>
      <c r="AG19" s="121">
        <f t="shared" si="7"/>
        <v>0</v>
      </c>
      <c r="AI19" s="4">
        <f t="shared" si="8"/>
        <v>20.176778194270909</v>
      </c>
      <c r="AJ19" s="121">
        <f t="shared" si="9"/>
        <v>0.75813575619212115</v>
      </c>
      <c r="AK19" s="121">
        <f t="shared" si="10"/>
        <v>0.2418642438078788</v>
      </c>
      <c r="AM19" s="120" t="s">
        <v>31</v>
      </c>
      <c r="AN19" s="121">
        <f t="shared" si="11"/>
        <v>0</v>
      </c>
      <c r="AO19" s="121">
        <f t="shared" si="12"/>
        <v>0</v>
      </c>
      <c r="AP19" s="121">
        <f t="shared" si="13"/>
        <v>1</v>
      </c>
      <c r="AR19" s="134" t="s">
        <v>26</v>
      </c>
      <c r="AS19" s="121">
        <f t="shared" si="14"/>
        <v>0</v>
      </c>
      <c r="AT19" s="121">
        <f t="shared" si="15"/>
        <v>0</v>
      </c>
      <c r="AU19" s="121">
        <f t="shared" si="16"/>
        <v>1</v>
      </c>
      <c r="AW19" s="134" t="s">
        <v>27</v>
      </c>
      <c r="AX19" s="121">
        <f t="shared" si="17"/>
        <v>0</v>
      </c>
      <c r="AY19" s="121">
        <f t="shared" si="18"/>
        <v>0</v>
      </c>
      <c r="AZ19" s="121">
        <f t="shared" si="19"/>
        <v>1</v>
      </c>
      <c r="BB19" s="134" t="s">
        <v>28</v>
      </c>
      <c r="BC19" s="121">
        <f t="shared" si="20"/>
        <v>0</v>
      </c>
      <c r="BD19" s="121">
        <f t="shared" si="21"/>
        <v>0</v>
      </c>
      <c r="BE19" s="121">
        <f t="shared" si="22"/>
        <v>1</v>
      </c>
      <c r="BG19" s="134" t="s">
        <v>25</v>
      </c>
      <c r="BH19" s="121">
        <f t="shared" si="23"/>
        <v>1</v>
      </c>
      <c r="BI19" s="121">
        <f t="shared" si="24"/>
        <v>1</v>
      </c>
      <c r="BJ19" s="121">
        <f t="shared" si="25"/>
        <v>0</v>
      </c>
      <c r="BL19" s="134" t="s">
        <v>38</v>
      </c>
      <c r="BM19" s="121">
        <f t="shared" si="26"/>
        <v>1</v>
      </c>
      <c r="BN19" s="121">
        <f t="shared" si="27"/>
        <v>0</v>
      </c>
      <c r="BO19" s="121">
        <f>IF(AND($BL$2&lt;BM19,BM19&lt;$BM$2),(BM19-$BL$2)/($BM$2-$BL$2),IF(AND($BM$2&lt;=BM19,BM19&lt;$BN$2),($BN$2-BM19)/($BN$2-$BM$2), IF(OR(BM19&lt;=$BL$2,BM19&gt;=$BN$2),0,salah)))</f>
        <v>0</v>
      </c>
      <c r="BP19" s="121">
        <f t="shared" si="28"/>
        <v>1</v>
      </c>
    </row>
    <row r="20" spans="1:68" x14ac:dyDescent="0.3">
      <c r="A20" s="133">
        <v>18</v>
      </c>
      <c r="B20" s="133">
        <v>52</v>
      </c>
      <c r="C20" s="133" t="s">
        <v>37</v>
      </c>
      <c r="D20" s="133">
        <v>119</v>
      </c>
      <c r="E20" s="133">
        <v>72</v>
      </c>
      <c r="F20" s="133">
        <v>83</v>
      </c>
      <c r="G20" s="133">
        <v>1.47</v>
      </c>
      <c r="H20" s="133">
        <v>41.2</v>
      </c>
      <c r="I20" s="4">
        <f t="shared" si="0"/>
        <v>19.066129853301867</v>
      </c>
      <c r="J20" s="120" t="s">
        <v>31</v>
      </c>
      <c r="K20" s="133" t="s">
        <v>26</v>
      </c>
      <c r="L20" s="133" t="s">
        <v>27</v>
      </c>
      <c r="M20" s="133" t="s">
        <v>28</v>
      </c>
      <c r="N20" s="133" t="s">
        <v>25</v>
      </c>
      <c r="O20" s="133" t="s">
        <v>34</v>
      </c>
      <c r="P20" s="133" t="s">
        <v>36</v>
      </c>
      <c r="R20" s="134" t="s">
        <v>30</v>
      </c>
      <c r="S20" s="133">
        <v>69</v>
      </c>
      <c r="T20" s="121">
        <f t="shared" si="1"/>
        <v>0</v>
      </c>
      <c r="U20" s="121">
        <f t="shared" si="2"/>
        <v>1</v>
      </c>
      <c r="W20" s="119">
        <v>17</v>
      </c>
      <c r="X20" s="133">
        <v>139</v>
      </c>
      <c r="Y20" s="133">
        <v>78</v>
      </c>
      <c r="Z20" s="121">
        <f t="shared" si="3"/>
        <v>217</v>
      </c>
      <c r="AA20" s="121">
        <f t="shared" si="4"/>
        <v>0.43333333333333335</v>
      </c>
      <c r="AB20" s="121">
        <f>IF(AND($X$2&lt;Z20,Z20&lt;$Y$2),(Z20-$X$2)/($Y$2-$X$2),IF(AND($Y$2&lt;=Z20,Z20&lt;$Z$2),($Z$2-Z20)/($Z$2-$Y$2), IF(OR(Z20&lt;=$X$2,Z20&gt;=$Z$2),0,salah)))</f>
        <v>0.56666666666666665</v>
      </c>
      <c r="AC20" s="121">
        <f t="shared" si="5"/>
        <v>0</v>
      </c>
      <c r="AE20" s="134">
        <v>81</v>
      </c>
      <c r="AF20" s="121">
        <f t="shared" si="6"/>
        <v>1</v>
      </c>
      <c r="AG20" s="121">
        <f t="shared" si="7"/>
        <v>0</v>
      </c>
      <c r="AI20" s="4">
        <f t="shared" si="8"/>
        <v>19.421700090977414</v>
      </c>
      <c r="AJ20" s="121">
        <f t="shared" si="9"/>
        <v>0.84203332322473179</v>
      </c>
      <c r="AK20" s="121">
        <f t="shared" si="10"/>
        <v>0.15796667677526818</v>
      </c>
      <c r="AM20" s="120" t="s">
        <v>31</v>
      </c>
      <c r="AN20" s="121">
        <f t="shared" si="11"/>
        <v>0</v>
      </c>
      <c r="AO20" s="121">
        <f t="shared" si="12"/>
        <v>0</v>
      </c>
      <c r="AP20" s="121">
        <f t="shared" si="13"/>
        <v>1</v>
      </c>
      <c r="AR20" s="134" t="s">
        <v>39</v>
      </c>
      <c r="AS20" s="121">
        <f t="shared" si="14"/>
        <v>1</v>
      </c>
      <c r="AT20" s="121">
        <f t="shared" si="15"/>
        <v>1</v>
      </c>
      <c r="AU20" s="121">
        <f t="shared" si="16"/>
        <v>0</v>
      </c>
      <c r="AW20" s="134" t="s">
        <v>32</v>
      </c>
      <c r="AX20" s="121">
        <f t="shared" si="17"/>
        <v>1</v>
      </c>
      <c r="AY20" s="121">
        <f t="shared" si="18"/>
        <v>1</v>
      </c>
      <c r="AZ20" s="121">
        <f t="shared" si="19"/>
        <v>0</v>
      </c>
      <c r="BB20" s="134" t="s">
        <v>28</v>
      </c>
      <c r="BC20" s="121">
        <f t="shared" si="20"/>
        <v>0</v>
      </c>
      <c r="BD20" s="121">
        <f t="shared" si="21"/>
        <v>0</v>
      </c>
      <c r="BE20" s="121">
        <f t="shared" si="22"/>
        <v>1</v>
      </c>
      <c r="BG20" s="134" t="s">
        <v>31</v>
      </c>
      <c r="BH20" s="121">
        <f t="shared" si="23"/>
        <v>0</v>
      </c>
      <c r="BI20" s="121">
        <f t="shared" si="24"/>
        <v>0</v>
      </c>
      <c r="BJ20" s="121">
        <f t="shared" si="25"/>
        <v>1</v>
      </c>
      <c r="BL20" s="134" t="s">
        <v>29</v>
      </c>
      <c r="BM20" s="121">
        <f t="shared" si="26"/>
        <v>0.5</v>
      </c>
      <c r="BN20" s="121">
        <f t="shared" si="27"/>
        <v>0</v>
      </c>
      <c r="BO20" s="121">
        <f>IF(AND($BL$2&lt;BM20,BM20&lt;$BM$2),(BM20-$BL$2)/($BM$2-$BL$2),IF(AND($BM$2&lt;=BM20,BM20&lt;$BN$2),($BN$2-BM20)/($BN$2-$BM$2), IF(OR(BM20&lt;=$BL$2,BM20&gt;=$BN$2),0,salah)))</f>
        <v>1</v>
      </c>
      <c r="BP20" s="121">
        <f t="shared" si="28"/>
        <v>0</v>
      </c>
    </row>
    <row r="21" spans="1:68" x14ac:dyDescent="0.3">
      <c r="A21" s="133">
        <v>19</v>
      </c>
      <c r="B21" s="133">
        <v>67</v>
      </c>
      <c r="C21" s="133" t="s">
        <v>24</v>
      </c>
      <c r="D21" s="133">
        <v>124</v>
      </c>
      <c r="E21" s="133">
        <v>74</v>
      </c>
      <c r="F21" s="133">
        <v>79</v>
      </c>
      <c r="G21" s="133">
        <v>1.62</v>
      </c>
      <c r="H21" s="133">
        <v>52.1</v>
      </c>
      <c r="I21" s="4">
        <f t="shared" si="0"/>
        <v>19.852156683432401</v>
      </c>
      <c r="J21" s="120" t="s">
        <v>31</v>
      </c>
      <c r="K21" s="133" t="s">
        <v>26</v>
      </c>
      <c r="L21" s="133" t="s">
        <v>32</v>
      </c>
      <c r="M21" s="133" t="s">
        <v>33</v>
      </c>
      <c r="N21" s="133" t="s">
        <v>25</v>
      </c>
      <c r="O21" s="133" t="s">
        <v>38</v>
      </c>
      <c r="P21" s="133" t="s">
        <v>30</v>
      </c>
      <c r="R21" s="134" t="s">
        <v>36</v>
      </c>
      <c r="S21" s="133">
        <v>52</v>
      </c>
      <c r="T21" s="121">
        <f t="shared" si="1"/>
        <v>0</v>
      </c>
      <c r="U21" s="121">
        <f t="shared" si="2"/>
        <v>1</v>
      </c>
      <c r="W21" s="119">
        <v>18</v>
      </c>
      <c r="X21" s="133">
        <v>119</v>
      </c>
      <c r="Y21" s="133">
        <v>72</v>
      </c>
      <c r="Z21" s="121">
        <f t="shared" si="3"/>
        <v>191</v>
      </c>
      <c r="AA21" s="121">
        <f t="shared" si="4"/>
        <v>1</v>
      </c>
      <c r="AB21" s="121">
        <f>IF(AND($X$2&lt;Z21,Z21&lt;$Y$2),(Z21-$X$2)/($Y$2-$X$2),IF(AND($Y$2&lt;=Z21,Z21&lt;$Z$2),($Z$2-Z21)/($Z$2-$Y$2), IF(OR(Z21&lt;=$X$2,Z21&gt;=$Z$2),0,salah)))</f>
        <v>0</v>
      </c>
      <c r="AC21" s="121">
        <f t="shared" si="5"/>
        <v>0</v>
      </c>
      <c r="AE21" s="134">
        <v>83</v>
      </c>
      <c r="AF21" s="121">
        <f t="shared" si="6"/>
        <v>1</v>
      </c>
      <c r="AG21" s="121">
        <f t="shared" si="7"/>
        <v>0</v>
      </c>
      <c r="AI21" s="4">
        <f t="shared" si="8"/>
        <v>19.066129853301867</v>
      </c>
      <c r="AJ21" s="121">
        <f t="shared" si="9"/>
        <v>0.88154112741090374</v>
      </c>
      <c r="AK21" s="121">
        <f t="shared" si="10"/>
        <v>0.11845887258909629</v>
      </c>
      <c r="AM21" s="120" t="s">
        <v>31</v>
      </c>
      <c r="AN21" s="121">
        <f t="shared" si="11"/>
        <v>0</v>
      </c>
      <c r="AO21" s="121">
        <f t="shared" si="12"/>
        <v>0</v>
      </c>
      <c r="AP21" s="121">
        <f t="shared" si="13"/>
        <v>1</v>
      </c>
      <c r="AR21" s="134" t="s">
        <v>26</v>
      </c>
      <c r="AS21" s="121">
        <f t="shared" si="14"/>
        <v>0</v>
      </c>
      <c r="AT21" s="121">
        <f t="shared" si="15"/>
        <v>0</v>
      </c>
      <c r="AU21" s="121">
        <f t="shared" si="16"/>
        <v>1</v>
      </c>
      <c r="AW21" s="134" t="s">
        <v>27</v>
      </c>
      <c r="AX21" s="121">
        <f t="shared" si="17"/>
        <v>0</v>
      </c>
      <c r="AY21" s="121">
        <f t="shared" si="18"/>
        <v>0</v>
      </c>
      <c r="AZ21" s="121">
        <f t="shared" si="19"/>
        <v>1</v>
      </c>
      <c r="BB21" s="134" t="s">
        <v>28</v>
      </c>
      <c r="BC21" s="121">
        <f t="shared" si="20"/>
        <v>0</v>
      </c>
      <c r="BD21" s="121">
        <f t="shared" si="21"/>
        <v>0</v>
      </c>
      <c r="BE21" s="121">
        <f t="shared" si="22"/>
        <v>1</v>
      </c>
      <c r="BG21" s="134" t="s">
        <v>25</v>
      </c>
      <c r="BH21" s="121">
        <f t="shared" si="23"/>
        <v>1</v>
      </c>
      <c r="BI21" s="121">
        <f t="shared" si="24"/>
        <v>1</v>
      </c>
      <c r="BJ21" s="121">
        <f t="shared" si="25"/>
        <v>0</v>
      </c>
      <c r="BL21" s="134" t="s">
        <v>34</v>
      </c>
      <c r="BM21" s="121">
        <f t="shared" si="26"/>
        <v>0</v>
      </c>
      <c r="BN21" s="121">
        <f t="shared" si="27"/>
        <v>1</v>
      </c>
      <c r="BO21" s="121">
        <f>IF(AND($BL$2&lt;BM21,BM21&lt;$BM$2),(BM21-$BL$2)/($BM$2-$BL$2),IF(AND($BM$2&lt;=BM21,BM21&lt;$BN$2),($BN$2-BM21)/($BN$2-$BM$2), IF(OR(BM21&lt;=$BL$2,BM21&gt;=$BN$2),0,salah)))</f>
        <v>0</v>
      </c>
      <c r="BP21" s="121">
        <f t="shared" si="28"/>
        <v>0</v>
      </c>
    </row>
    <row r="22" spans="1:68" x14ac:dyDescent="0.3">
      <c r="A22" s="133">
        <v>20</v>
      </c>
      <c r="B22" s="133">
        <v>62</v>
      </c>
      <c r="C22" s="133" t="s">
        <v>37</v>
      </c>
      <c r="D22" s="133">
        <v>156</v>
      </c>
      <c r="E22" s="133">
        <v>91</v>
      </c>
      <c r="F22" s="133">
        <v>108</v>
      </c>
      <c r="G22" s="133">
        <v>1.57</v>
      </c>
      <c r="H22" s="133">
        <v>66.7</v>
      </c>
      <c r="I22" s="4">
        <f t="shared" si="0"/>
        <v>27.059921294981542</v>
      </c>
      <c r="J22" s="120" t="s">
        <v>31</v>
      </c>
      <c r="K22" s="133" t="s">
        <v>39</v>
      </c>
      <c r="L22" s="133" t="s">
        <v>32</v>
      </c>
      <c r="M22" s="133" t="s">
        <v>28</v>
      </c>
      <c r="N22" s="133" t="s">
        <v>31</v>
      </c>
      <c r="O22" s="133" t="s">
        <v>34</v>
      </c>
      <c r="P22" s="133" t="s">
        <v>35</v>
      </c>
      <c r="R22" s="134" t="s">
        <v>30</v>
      </c>
      <c r="S22" s="133">
        <v>67</v>
      </c>
      <c r="T22" s="121">
        <f t="shared" si="1"/>
        <v>0</v>
      </c>
      <c r="U22" s="121">
        <f t="shared" si="2"/>
        <v>1</v>
      </c>
      <c r="W22" s="119">
        <v>19</v>
      </c>
      <c r="X22" s="133">
        <v>124</v>
      </c>
      <c r="Y22" s="133">
        <v>74</v>
      </c>
      <c r="Z22" s="121">
        <f t="shared" si="3"/>
        <v>198</v>
      </c>
      <c r="AA22" s="121">
        <f t="shared" si="4"/>
        <v>1</v>
      </c>
      <c r="AB22" s="121">
        <f>IF(AND($X$2&lt;Z22,Z22&lt;$Y$2),(Z22-$X$2)/($Y$2-$X$2),IF(AND($Y$2&lt;=Z22,Z22&lt;$Z$2),($Z$2-Z22)/($Z$2-$Y$2), IF(OR(Z22&lt;=$X$2,Z22&gt;=$Z$2),0,salah)))</f>
        <v>0</v>
      </c>
      <c r="AC22" s="121">
        <f t="shared" si="5"/>
        <v>0</v>
      </c>
      <c r="AE22" s="134">
        <v>79</v>
      </c>
      <c r="AF22" s="121">
        <f t="shared" si="6"/>
        <v>1</v>
      </c>
      <c r="AG22" s="121">
        <f t="shared" si="7"/>
        <v>0</v>
      </c>
      <c r="AI22" s="4">
        <f t="shared" si="8"/>
        <v>19.852156683432401</v>
      </c>
      <c r="AJ22" s="121">
        <f t="shared" si="9"/>
        <v>0.79420481295195544</v>
      </c>
      <c r="AK22" s="121">
        <f t="shared" si="10"/>
        <v>0.20579518704804459</v>
      </c>
      <c r="AM22" s="120" t="s">
        <v>31</v>
      </c>
      <c r="AN22" s="121">
        <f t="shared" si="11"/>
        <v>0</v>
      </c>
      <c r="AO22" s="121">
        <f t="shared" si="12"/>
        <v>0</v>
      </c>
      <c r="AP22" s="121">
        <f t="shared" si="13"/>
        <v>1</v>
      </c>
      <c r="AR22" s="134" t="s">
        <v>26</v>
      </c>
      <c r="AS22" s="121">
        <f t="shared" si="14"/>
        <v>0</v>
      </c>
      <c r="AT22" s="121">
        <f t="shared" si="15"/>
        <v>0</v>
      </c>
      <c r="AU22" s="121">
        <f t="shared" si="16"/>
        <v>1</v>
      </c>
      <c r="AW22" s="134" t="s">
        <v>32</v>
      </c>
      <c r="AX22" s="121">
        <f t="shared" si="17"/>
        <v>1</v>
      </c>
      <c r="AY22" s="121">
        <f t="shared" si="18"/>
        <v>1</v>
      </c>
      <c r="AZ22" s="121">
        <f t="shared" si="19"/>
        <v>0</v>
      </c>
      <c r="BB22" s="134" t="s">
        <v>33</v>
      </c>
      <c r="BC22" s="121">
        <f t="shared" si="20"/>
        <v>1</v>
      </c>
      <c r="BD22" s="121">
        <f t="shared" si="21"/>
        <v>1</v>
      </c>
      <c r="BE22" s="121">
        <f t="shared" si="22"/>
        <v>0</v>
      </c>
      <c r="BG22" s="134" t="s">
        <v>25</v>
      </c>
      <c r="BH22" s="121">
        <f t="shared" si="23"/>
        <v>1</v>
      </c>
      <c r="BI22" s="121">
        <f t="shared" si="24"/>
        <v>1</v>
      </c>
      <c r="BJ22" s="121">
        <f t="shared" si="25"/>
        <v>0</v>
      </c>
      <c r="BL22" s="134" t="s">
        <v>38</v>
      </c>
      <c r="BM22" s="121">
        <f t="shared" si="26"/>
        <v>1</v>
      </c>
      <c r="BN22" s="121">
        <f t="shared" si="27"/>
        <v>0</v>
      </c>
      <c r="BO22" s="121">
        <f>IF(AND($BL$2&lt;BM22,BM22&lt;$BM$2),(BM22-$BL$2)/($BM$2-$BL$2),IF(AND($BM$2&lt;=BM22,BM22&lt;$BN$2),($BN$2-BM22)/($BN$2-$BM$2), IF(OR(BM22&lt;=$BL$2,BM22&gt;=$BN$2),0,salah)))</f>
        <v>0</v>
      </c>
      <c r="BP22" s="121">
        <f t="shared" si="28"/>
        <v>1</v>
      </c>
    </row>
    <row r="23" spans="1:68" x14ac:dyDescent="0.3">
      <c r="A23" s="133">
        <v>21</v>
      </c>
      <c r="B23" s="133">
        <v>52</v>
      </c>
      <c r="C23" s="133" t="s">
        <v>37</v>
      </c>
      <c r="D23" s="133">
        <v>145</v>
      </c>
      <c r="E23" s="133">
        <v>92</v>
      </c>
      <c r="F23" s="133">
        <v>93</v>
      </c>
      <c r="G23" s="133">
        <v>1.45</v>
      </c>
      <c r="H23" s="133">
        <v>69.900000000000006</v>
      </c>
      <c r="I23" s="4">
        <f t="shared" si="0"/>
        <v>33.246135552913202</v>
      </c>
      <c r="J23" s="120" t="s">
        <v>31</v>
      </c>
      <c r="K23" s="133" t="s">
        <v>26</v>
      </c>
      <c r="L23" s="133" t="s">
        <v>32</v>
      </c>
      <c r="M23" s="133" t="s">
        <v>28</v>
      </c>
      <c r="N23" s="133" t="s">
        <v>31</v>
      </c>
      <c r="O23" s="133" t="s">
        <v>34</v>
      </c>
      <c r="P23" s="133" t="s">
        <v>30</v>
      </c>
      <c r="R23" s="134" t="s">
        <v>35</v>
      </c>
      <c r="S23" s="133">
        <v>62</v>
      </c>
      <c r="T23" s="121">
        <f t="shared" si="1"/>
        <v>0</v>
      </c>
      <c r="U23" s="121">
        <f t="shared" si="2"/>
        <v>1</v>
      </c>
      <c r="W23" s="119">
        <v>20</v>
      </c>
      <c r="X23" s="133">
        <v>156</v>
      </c>
      <c r="Y23" s="133">
        <v>91</v>
      </c>
      <c r="Z23" s="121">
        <f t="shared" si="3"/>
        <v>247</v>
      </c>
      <c r="AA23" s="121">
        <f t="shared" si="4"/>
        <v>0</v>
      </c>
      <c r="AB23" s="121">
        <f>IF(AND($X$2&lt;Z23,Z23&lt;$Y$2),(Z23-$X$2)/($Y$2-$X$2),IF(AND($Y$2&lt;=Z23,Z23&lt;$Z$2),($Z$2-Z23)/($Z$2-$Y$2), IF(OR(Z23&lt;=$X$2,Z23&gt;=$Z$2),0,salah)))</f>
        <v>0.57499999999999996</v>
      </c>
      <c r="AC23" s="121">
        <f t="shared" si="5"/>
        <v>0.42499999999999999</v>
      </c>
      <c r="AE23" s="134">
        <v>108</v>
      </c>
      <c r="AF23" s="121">
        <f t="shared" si="6"/>
        <v>0</v>
      </c>
      <c r="AG23" s="121">
        <f t="shared" si="7"/>
        <v>1</v>
      </c>
      <c r="AI23" s="4">
        <f t="shared" si="8"/>
        <v>27.059921294981542</v>
      </c>
      <c r="AJ23" s="121">
        <f t="shared" si="9"/>
        <v>0</v>
      </c>
      <c r="AK23" s="121">
        <f t="shared" si="10"/>
        <v>1</v>
      </c>
      <c r="AM23" s="120" t="s">
        <v>31</v>
      </c>
      <c r="AN23" s="121">
        <f t="shared" si="11"/>
        <v>0</v>
      </c>
      <c r="AO23" s="121">
        <f t="shared" si="12"/>
        <v>0</v>
      </c>
      <c r="AP23" s="121">
        <f t="shared" si="13"/>
        <v>1</v>
      </c>
      <c r="AR23" s="134" t="s">
        <v>39</v>
      </c>
      <c r="AS23" s="121">
        <f t="shared" si="14"/>
        <v>1</v>
      </c>
      <c r="AT23" s="121">
        <f t="shared" si="15"/>
        <v>1</v>
      </c>
      <c r="AU23" s="121">
        <f t="shared" si="16"/>
        <v>0</v>
      </c>
      <c r="AW23" s="134" t="s">
        <v>32</v>
      </c>
      <c r="AX23" s="121">
        <f t="shared" si="17"/>
        <v>1</v>
      </c>
      <c r="AY23" s="121">
        <f t="shared" si="18"/>
        <v>1</v>
      </c>
      <c r="AZ23" s="121">
        <f t="shared" si="19"/>
        <v>0</v>
      </c>
      <c r="BB23" s="134" t="s">
        <v>28</v>
      </c>
      <c r="BC23" s="121">
        <f t="shared" si="20"/>
        <v>0</v>
      </c>
      <c r="BD23" s="121">
        <f t="shared" si="21"/>
        <v>0</v>
      </c>
      <c r="BE23" s="121">
        <f t="shared" si="22"/>
        <v>1</v>
      </c>
      <c r="BG23" s="134" t="s">
        <v>31</v>
      </c>
      <c r="BH23" s="121">
        <f t="shared" si="23"/>
        <v>0</v>
      </c>
      <c r="BI23" s="121">
        <f t="shared" si="24"/>
        <v>0</v>
      </c>
      <c r="BJ23" s="121">
        <f t="shared" si="25"/>
        <v>1</v>
      </c>
      <c r="BL23" s="134" t="s">
        <v>34</v>
      </c>
      <c r="BM23" s="121">
        <f t="shared" si="26"/>
        <v>0</v>
      </c>
      <c r="BN23" s="121">
        <f t="shared" si="27"/>
        <v>1</v>
      </c>
      <c r="BO23" s="121">
        <f>IF(AND($BL$2&lt;BM23,BM23&lt;$BM$2),(BM23-$BL$2)/($BM$2-$BL$2),IF(AND($BM$2&lt;=BM23,BM23&lt;$BN$2),($BN$2-BM23)/($BN$2-$BM$2), IF(OR(BM23&lt;=$BL$2,BM23&gt;=$BN$2),0,salah)))</f>
        <v>0</v>
      </c>
      <c r="BP23" s="121">
        <f t="shared" si="28"/>
        <v>0</v>
      </c>
    </row>
    <row r="24" spans="1:68" x14ac:dyDescent="0.3">
      <c r="A24" s="133">
        <v>22</v>
      </c>
      <c r="B24" s="133">
        <v>54</v>
      </c>
      <c r="C24" s="133" t="s">
        <v>24</v>
      </c>
      <c r="D24" s="133">
        <v>105</v>
      </c>
      <c r="E24" s="133">
        <v>67</v>
      </c>
      <c r="F24" s="133">
        <v>79</v>
      </c>
      <c r="G24" s="133">
        <v>1.58</v>
      </c>
      <c r="H24" s="133">
        <v>58.6</v>
      </c>
      <c r="I24" s="4">
        <f t="shared" si="0"/>
        <v>23.473802275276395</v>
      </c>
      <c r="J24" s="120" t="s">
        <v>31</v>
      </c>
      <c r="K24" s="133" t="s">
        <v>26</v>
      </c>
      <c r="L24" s="133" t="s">
        <v>27</v>
      </c>
      <c r="M24" s="133" t="s">
        <v>28</v>
      </c>
      <c r="N24" s="133" t="s">
        <v>25</v>
      </c>
      <c r="O24" s="133" t="s">
        <v>29</v>
      </c>
      <c r="P24" s="133" t="s">
        <v>36</v>
      </c>
      <c r="R24" s="134" t="s">
        <v>30</v>
      </c>
      <c r="S24" s="133">
        <v>52</v>
      </c>
      <c r="T24" s="121">
        <f t="shared" si="1"/>
        <v>0</v>
      </c>
      <c r="U24" s="121">
        <f t="shared" si="2"/>
        <v>1</v>
      </c>
      <c r="W24" s="119">
        <v>21</v>
      </c>
      <c r="X24" s="133">
        <v>145</v>
      </c>
      <c r="Y24" s="133">
        <v>92</v>
      </c>
      <c r="Z24" s="121">
        <f t="shared" si="3"/>
        <v>237</v>
      </c>
      <c r="AA24" s="121">
        <f t="shared" si="4"/>
        <v>0</v>
      </c>
      <c r="AB24" s="121">
        <f>IF(AND($X$2&lt;Z24,Z24&lt;$Y$2),(Z24-$X$2)/($Y$2-$X$2),IF(AND($Y$2&lt;=Z24,Z24&lt;$Z$2),($Z$2-Z24)/($Z$2-$Y$2), IF(OR(Z24&lt;=$X$2,Z24&gt;=$Z$2),0,salah)))</f>
        <v>0.82499999999999996</v>
      </c>
      <c r="AC24" s="121">
        <f t="shared" si="5"/>
        <v>0.17499999999999999</v>
      </c>
      <c r="AE24" s="134">
        <v>93</v>
      </c>
      <c r="AF24" s="121">
        <f t="shared" si="6"/>
        <v>0.7</v>
      </c>
      <c r="AG24" s="121">
        <f t="shared" si="7"/>
        <v>0.3</v>
      </c>
      <c r="AI24" s="4">
        <f t="shared" si="8"/>
        <v>33.246135552913202</v>
      </c>
      <c r="AJ24" s="121">
        <f t="shared" si="9"/>
        <v>0</v>
      </c>
      <c r="AK24" s="121">
        <f t="shared" si="10"/>
        <v>1</v>
      </c>
      <c r="AM24" s="120" t="s">
        <v>31</v>
      </c>
      <c r="AN24" s="121">
        <f t="shared" si="11"/>
        <v>0</v>
      </c>
      <c r="AO24" s="121">
        <f t="shared" si="12"/>
        <v>0</v>
      </c>
      <c r="AP24" s="121">
        <f t="shared" si="13"/>
        <v>1</v>
      </c>
      <c r="AR24" s="134" t="s">
        <v>26</v>
      </c>
      <c r="AS24" s="121">
        <f t="shared" si="14"/>
        <v>0</v>
      </c>
      <c r="AT24" s="121">
        <f t="shared" si="15"/>
        <v>0</v>
      </c>
      <c r="AU24" s="121">
        <f t="shared" si="16"/>
        <v>1</v>
      </c>
      <c r="AW24" s="134" t="s">
        <v>32</v>
      </c>
      <c r="AX24" s="121">
        <f t="shared" si="17"/>
        <v>1</v>
      </c>
      <c r="AY24" s="121">
        <f t="shared" si="18"/>
        <v>1</v>
      </c>
      <c r="AZ24" s="121">
        <f t="shared" si="19"/>
        <v>0</v>
      </c>
      <c r="BB24" s="134" t="s">
        <v>28</v>
      </c>
      <c r="BC24" s="121">
        <f t="shared" si="20"/>
        <v>0</v>
      </c>
      <c r="BD24" s="121">
        <f t="shared" si="21"/>
        <v>0</v>
      </c>
      <c r="BE24" s="121">
        <f t="shared" si="22"/>
        <v>1</v>
      </c>
      <c r="BG24" s="134" t="s">
        <v>31</v>
      </c>
      <c r="BH24" s="121">
        <f t="shared" si="23"/>
        <v>0</v>
      </c>
      <c r="BI24" s="121">
        <f t="shared" si="24"/>
        <v>0</v>
      </c>
      <c r="BJ24" s="121">
        <f t="shared" si="25"/>
        <v>1</v>
      </c>
      <c r="BL24" s="134" t="s">
        <v>34</v>
      </c>
      <c r="BM24" s="121">
        <f t="shared" si="26"/>
        <v>0</v>
      </c>
      <c r="BN24" s="121">
        <f t="shared" si="27"/>
        <v>1</v>
      </c>
      <c r="BO24" s="121">
        <f>IF(AND($BL$2&lt;BM24,BM24&lt;$BM$2),(BM24-$BL$2)/($BM$2-$BL$2),IF(AND($BM$2&lt;=BM24,BM24&lt;$BN$2),($BN$2-BM24)/($BN$2-$BM$2), IF(OR(BM24&lt;=$BL$2,BM24&gt;=$BN$2),0,salah)))</f>
        <v>0</v>
      </c>
      <c r="BP24" s="121">
        <f t="shared" si="28"/>
        <v>0</v>
      </c>
    </row>
    <row r="25" spans="1:68" x14ac:dyDescent="0.3">
      <c r="A25" s="133">
        <v>23</v>
      </c>
      <c r="B25" s="133">
        <v>57</v>
      </c>
      <c r="C25" s="133" t="s">
        <v>24</v>
      </c>
      <c r="D25" s="133">
        <v>170</v>
      </c>
      <c r="E25" s="133">
        <v>91</v>
      </c>
      <c r="F25" s="133">
        <v>88</v>
      </c>
      <c r="G25" s="133">
        <v>1.6</v>
      </c>
      <c r="H25" s="133">
        <v>62.9</v>
      </c>
      <c r="I25" s="4">
        <f t="shared" si="0"/>
        <v>24.570312499999993</v>
      </c>
      <c r="J25" s="120" t="s">
        <v>31</v>
      </c>
      <c r="K25" s="133" t="s">
        <v>39</v>
      </c>
      <c r="L25" s="133" t="s">
        <v>27</v>
      </c>
      <c r="M25" s="133" t="s">
        <v>33</v>
      </c>
      <c r="N25" s="133" t="s">
        <v>25</v>
      </c>
      <c r="O25" s="133" t="s">
        <v>38</v>
      </c>
      <c r="P25" s="133" t="s">
        <v>35</v>
      </c>
      <c r="R25" s="134" t="s">
        <v>36</v>
      </c>
      <c r="S25" s="133">
        <v>54</v>
      </c>
      <c r="T25" s="121">
        <f t="shared" si="1"/>
        <v>0</v>
      </c>
      <c r="U25" s="121">
        <f t="shared" si="2"/>
        <v>1</v>
      </c>
      <c r="W25" s="119">
        <v>22</v>
      </c>
      <c r="X25" s="133">
        <v>105</v>
      </c>
      <c r="Y25" s="133">
        <v>67</v>
      </c>
      <c r="Z25" s="121">
        <f t="shared" si="3"/>
        <v>172</v>
      </c>
      <c r="AA25" s="121">
        <f t="shared" si="4"/>
        <v>1</v>
      </c>
      <c r="AB25" s="121">
        <f>IF(AND($X$2&lt;Z25,Z25&lt;$Y$2),(Z25-$X$2)/($Y$2-$X$2),IF(AND($Y$2&lt;=Z25,Z25&lt;$Z$2),($Z$2-Z25)/($Z$2-$Y$2), IF(OR(Z25&lt;=$X$2,Z25&gt;=$Z$2),0,salah)))</f>
        <v>0</v>
      </c>
      <c r="AC25" s="121">
        <f t="shared" si="5"/>
        <v>0</v>
      </c>
      <c r="AE25" s="134">
        <v>79</v>
      </c>
      <c r="AF25" s="121">
        <f t="shared" si="6"/>
        <v>1</v>
      </c>
      <c r="AG25" s="121">
        <f t="shared" si="7"/>
        <v>0</v>
      </c>
      <c r="AI25" s="4">
        <f t="shared" si="8"/>
        <v>23.473802275276395</v>
      </c>
      <c r="AJ25" s="121">
        <f t="shared" si="9"/>
        <v>0.39179974719151173</v>
      </c>
      <c r="AK25" s="121">
        <f t="shared" si="10"/>
        <v>0.60820025280848833</v>
      </c>
      <c r="AM25" s="120" t="s">
        <v>31</v>
      </c>
      <c r="AN25" s="121">
        <f t="shared" si="11"/>
        <v>0</v>
      </c>
      <c r="AO25" s="121">
        <f t="shared" si="12"/>
        <v>0</v>
      </c>
      <c r="AP25" s="121">
        <f t="shared" si="13"/>
        <v>1</v>
      </c>
      <c r="AR25" s="134" t="s">
        <v>26</v>
      </c>
      <c r="AS25" s="121">
        <f t="shared" si="14"/>
        <v>0</v>
      </c>
      <c r="AT25" s="121">
        <f t="shared" si="15"/>
        <v>0</v>
      </c>
      <c r="AU25" s="121">
        <f t="shared" si="16"/>
        <v>1</v>
      </c>
      <c r="AW25" s="134" t="s">
        <v>27</v>
      </c>
      <c r="AX25" s="121">
        <f t="shared" si="17"/>
        <v>0</v>
      </c>
      <c r="AY25" s="121">
        <f t="shared" si="18"/>
        <v>0</v>
      </c>
      <c r="AZ25" s="121">
        <f t="shared" si="19"/>
        <v>1</v>
      </c>
      <c r="BB25" s="134" t="s">
        <v>28</v>
      </c>
      <c r="BC25" s="121">
        <f t="shared" si="20"/>
        <v>0</v>
      </c>
      <c r="BD25" s="121">
        <f t="shared" si="21"/>
        <v>0</v>
      </c>
      <c r="BE25" s="121">
        <f t="shared" si="22"/>
        <v>1</v>
      </c>
      <c r="BG25" s="134" t="s">
        <v>25</v>
      </c>
      <c r="BH25" s="121">
        <f t="shared" si="23"/>
        <v>1</v>
      </c>
      <c r="BI25" s="121">
        <f t="shared" si="24"/>
        <v>1</v>
      </c>
      <c r="BJ25" s="121">
        <f t="shared" si="25"/>
        <v>0</v>
      </c>
      <c r="BL25" s="134" t="s">
        <v>29</v>
      </c>
      <c r="BM25" s="121">
        <f t="shared" si="26"/>
        <v>0.5</v>
      </c>
      <c r="BN25" s="121">
        <f t="shared" si="27"/>
        <v>0</v>
      </c>
      <c r="BO25" s="121">
        <f>IF(AND($BL$2&lt;BM25,BM25&lt;$BM$2),(BM25-$BL$2)/($BM$2-$BL$2),IF(AND($BM$2&lt;=BM25,BM25&lt;$BN$2),($BN$2-BM25)/($BN$2-$BM$2), IF(OR(BM25&lt;=$BL$2,BM25&gt;=$BN$2),0,salah)))</f>
        <v>1</v>
      </c>
      <c r="BP25" s="121">
        <f t="shared" si="28"/>
        <v>0</v>
      </c>
    </row>
    <row r="26" spans="1:68" x14ac:dyDescent="0.3">
      <c r="A26" s="133">
        <v>24</v>
      </c>
      <c r="B26" s="133">
        <v>50</v>
      </c>
      <c r="C26" s="133" t="s">
        <v>24</v>
      </c>
      <c r="D26" s="133">
        <v>126</v>
      </c>
      <c r="E26" s="133">
        <v>73</v>
      </c>
      <c r="F26" s="133">
        <v>82</v>
      </c>
      <c r="G26" s="133">
        <v>1.47</v>
      </c>
      <c r="H26" s="133">
        <v>53</v>
      </c>
      <c r="I26" s="4">
        <f t="shared" si="0"/>
        <v>24.526817529732984</v>
      </c>
      <c r="J26" s="120" t="s">
        <v>25</v>
      </c>
      <c r="K26" s="133" t="s">
        <v>26</v>
      </c>
      <c r="L26" s="133" t="s">
        <v>27</v>
      </c>
      <c r="M26" s="133" t="s">
        <v>33</v>
      </c>
      <c r="N26" s="133" t="s">
        <v>25</v>
      </c>
      <c r="O26" s="133" t="s">
        <v>29</v>
      </c>
      <c r="P26" s="133" t="s">
        <v>30</v>
      </c>
      <c r="R26" s="134" t="s">
        <v>35</v>
      </c>
      <c r="S26" s="133">
        <v>57</v>
      </c>
      <c r="T26" s="121">
        <f t="shared" si="1"/>
        <v>0</v>
      </c>
      <c r="U26" s="121">
        <f t="shared" si="2"/>
        <v>1</v>
      </c>
      <c r="W26" s="119">
        <v>23</v>
      </c>
      <c r="X26" s="133">
        <v>170</v>
      </c>
      <c r="Y26" s="133">
        <v>91</v>
      </c>
      <c r="Z26" s="121">
        <f t="shared" si="3"/>
        <v>261</v>
      </c>
      <c r="AA26" s="121">
        <f t="shared" si="4"/>
        <v>0</v>
      </c>
      <c r="AB26" s="121">
        <f>IF(AND($X$2&lt;Z26,Z26&lt;$Y$2),(Z26-$X$2)/($Y$2-$X$2),IF(AND($Y$2&lt;=Z26,Z26&lt;$Z$2),($Z$2-Z26)/($Z$2-$Y$2), IF(OR(Z26&lt;=$X$2,Z26&gt;=$Z$2),0,salah)))</f>
        <v>0.22500000000000001</v>
      </c>
      <c r="AC26" s="121">
        <f t="shared" si="5"/>
        <v>0.77500000000000002</v>
      </c>
      <c r="AE26" s="134">
        <v>88</v>
      </c>
      <c r="AF26" s="121">
        <f t="shared" si="6"/>
        <v>1</v>
      </c>
      <c r="AG26" s="121">
        <f t="shared" si="7"/>
        <v>0</v>
      </c>
      <c r="AI26" s="4">
        <f t="shared" si="8"/>
        <v>24.570312499999993</v>
      </c>
      <c r="AJ26" s="121">
        <f t="shared" si="9"/>
        <v>0.26996527777777857</v>
      </c>
      <c r="AK26" s="121">
        <f t="shared" si="10"/>
        <v>0.73003472222222143</v>
      </c>
      <c r="AM26" s="120" t="s">
        <v>31</v>
      </c>
      <c r="AN26" s="121">
        <f t="shared" si="11"/>
        <v>0</v>
      </c>
      <c r="AO26" s="121">
        <f t="shared" si="12"/>
        <v>0</v>
      </c>
      <c r="AP26" s="121">
        <f t="shared" si="13"/>
        <v>1</v>
      </c>
      <c r="AR26" s="134" t="s">
        <v>39</v>
      </c>
      <c r="AS26" s="121">
        <f t="shared" si="14"/>
        <v>1</v>
      </c>
      <c r="AT26" s="121">
        <f t="shared" si="15"/>
        <v>1</v>
      </c>
      <c r="AU26" s="121">
        <f t="shared" si="16"/>
        <v>0</v>
      </c>
      <c r="AW26" s="134" t="s">
        <v>27</v>
      </c>
      <c r="AX26" s="121">
        <f t="shared" si="17"/>
        <v>0</v>
      </c>
      <c r="AY26" s="121">
        <f t="shared" si="18"/>
        <v>0</v>
      </c>
      <c r="AZ26" s="121">
        <f t="shared" si="19"/>
        <v>1</v>
      </c>
      <c r="BB26" s="134" t="s">
        <v>33</v>
      </c>
      <c r="BC26" s="121">
        <f t="shared" si="20"/>
        <v>1</v>
      </c>
      <c r="BD26" s="121">
        <f t="shared" si="21"/>
        <v>1</v>
      </c>
      <c r="BE26" s="121">
        <f t="shared" si="22"/>
        <v>0</v>
      </c>
      <c r="BG26" s="134" t="s">
        <v>25</v>
      </c>
      <c r="BH26" s="121">
        <f t="shared" si="23"/>
        <v>1</v>
      </c>
      <c r="BI26" s="121">
        <f t="shared" si="24"/>
        <v>1</v>
      </c>
      <c r="BJ26" s="121">
        <f t="shared" si="25"/>
        <v>0</v>
      </c>
      <c r="BL26" s="134" t="s">
        <v>38</v>
      </c>
      <c r="BM26" s="121">
        <f t="shared" si="26"/>
        <v>1</v>
      </c>
      <c r="BN26" s="121">
        <f t="shared" si="27"/>
        <v>0</v>
      </c>
      <c r="BO26" s="121">
        <f>IF(AND($BL$2&lt;BM26,BM26&lt;$BM$2),(BM26-$BL$2)/($BM$2-$BL$2),IF(AND($BM$2&lt;=BM26,BM26&lt;$BN$2),($BN$2-BM26)/($BN$2-$BM$2), IF(OR(BM26&lt;=$BL$2,BM26&gt;=$BN$2),0,salah)))</f>
        <v>0</v>
      </c>
      <c r="BP26" s="121">
        <f t="shared" si="28"/>
        <v>1</v>
      </c>
    </row>
    <row r="27" spans="1:68" x14ac:dyDescent="0.3">
      <c r="A27" s="133">
        <v>25</v>
      </c>
      <c r="B27" s="133">
        <v>50</v>
      </c>
      <c r="C27" s="133" t="s">
        <v>24</v>
      </c>
      <c r="D27" s="133">
        <v>151</v>
      </c>
      <c r="E27" s="133">
        <v>99</v>
      </c>
      <c r="F27" s="133">
        <v>84</v>
      </c>
      <c r="G27" s="133">
        <v>1.58</v>
      </c>
      <c r="H27" s="133">
        <v>54.1</v>
      </c>
      <c r="I27" s="4">
        <f t="shared" si="0"/>
        <v>21.671206537413873</v>
      </c>
      <c r="J27" s="120" t="s">
        <v>25</v>
      </c>
      <c r="K27" s="133" t="s">
        <v>26</v>
      </c>
      <c r="L27" s="133" t="s">
        <v>27</v>
      </c>
      <c r="M27" s="133" t="s">
        <v>33</v>
      </c>
      <c r="N27" s="133" t="s">
        <v>25</v>
      </c>
      <c r="O27" s="133" t="s">
        <v>38</v>
      </c>
      <c r="P27" s="133" t="s">
        <v>35</v>
      </c>
      <c r="R27" s="134" t="s">
        <v>30</v>
      </c>
      <c r="S27" s="133">
        <v>50</v>
      </c>
      <c r="T27" s="121">
        <f t="shared" si="1"/>
        <v>0</v>
      </c>
      <c r="U27" s="121">
        <f t="shared" si="2"/>
        <v>1</v>
      </c>
      <c r="W27" s="119">
        <v>24</v>
      </c>
      <c r="X27" s="133">
        <v>126</v>
      </c>
      <c r="Y27" s="133">
        <v>73</v>
      </c>
      <c r="Z27" s="121">
        <f t="shared" si="3"/>
        <v>199</v>
      </c>
      <c r="AA27" s="121">
        <f t="shared" si="4"/>
        <v>1</v>
      </c>
      <c r="AB27" s="121">
        <f>IF(AND($X$2&lt;Z27,Z27&lt;$Y$2),(Z27-$X$2)/($Y$2-$X$2),IF(AND($Y$2&lt;=Z27,Z27&lt;$Z$2),($Z$2-Z27)/($Z$2-$Y$2), IF(OR(Z27&lt;=$X$2,Z27&gt;=$Z$2),0,salah)))</f>
        <v>0</v>
      </c>
      <c r="AC27" s="121">
        <f t="shared" si="5"/>
        <v>0</v>
      </c>
      <c r="AE27" s="134">
        <v>82</v>
      </c>
      <c r="AF27" s="121">
        <f t="shared" si="6"/>
        <v>1</v>
      </c>
      <c r="AG27" s="121">
        <f t="shared" si="7"/>
        <v>0</v>
      </c>
      <c r="AI27" s="4">
        <f t="shared" si="8"/>
        <v>24.526817529732984</v>
      </c>
      <c r="AJ27" s="121">
        <f t="shared" si="9"/>
        <v>0.27479805225189069</v>
      </c>
      <c r="AK27" s="121">
        <f t="shared" si="10"/>
        <v>0.72520194774810931</v>
      </c>
      <c r="AM27" s="120" t="s">
        <v>25</v>
      </c>
      <c r="AN27" s="121">
        <f t="shared" si="11"/>
        <v>1</v>
      </c>
      <c r="AO27" s="121">
        <f t="shared" si="12"/>
        <v>1</v>
      </c>
      <c r="AP27" s="121">
        <f t="shared" si="13"/>
        <v>0</v>
      </c>
      <c r="AR27" s="134" t="s">
        <v>26</v>
      </c>
      <c r="AS27" s="121">
        <f t="shared" si="14"/>
        <v>0</v>
      </c>
      <c r="AT27" s="121">
        <f t="shared" si="15"/>
        <v>0</v>
      </c>
      <c r="AU27" s="121">
        <f t="shared" si="16"/>
        <v>1</v>
      </c>
      <c r="AW27" s="134" t="s">
        <v>27</v>
      </c>
      <c r="AX27" s="121">
        <f t="shared" si="17"/>
        <v>0</v>
      </c>
      <c r="AY27" s="121">
        <f t="shared" si="18"/>
        <v>0</v>
      </c>
      <c r="AZ27" s="121">
        <f t="shared" si="19"/>
        <v>1</v>
      </c>
      <c r="BB27" s="134" t="s">
        <v>33</v>
      </c>
      <c r="BC27" s="121">
        <f t="shared" si="20"/>
        <v>1</v>
      </c>
      <c r="BD27" s="121">
        <f t="shared" si="21"/>
        <v>1</v>
      </c>
      <c r="BE27" s="121">
        <f t="shared" si="22"/>
        <v>0</v>
      </c>
      <c r="BG27" s="134" t="s">
        <v>25</v>
      </c>
      <c r="BH27" s="121">
        <f t="shared" si="23"/>
        <v>1</v>
      </c>
      <c r="BI27" s="121">
        <f t="shared" si="24"/>
        <v>1</v>
      </c>
      <c r="BJ27" s="121">
        <f t="shared" si="25"/>
        <v>0</v>
      </c>
      <c r="BL27" s="134" t="s">
        <v>29</v>
      </c>
      <c r="BM27" s="121">
        <f t="shared" si="26"/>
        <v>0.5</v>
      </c>
      <c r="BN27" s="121">
        <f t="shared" si="27"/>
        <v>0</v>
      </c>
      <c r="BO27" s="121">
        <f>IF(AND($BL$2&lt;BM27,BM27&lt;$BM$2),(BM27-$BL$2)/($BM$2-$BL$2),IF(AND($BM$2&lt;=BM27,BM27&lt;$BN$2),($BN$2-BM27)/($BN$2-$BM$2), IF(OR(BM27&lt;=$BL$2,BM27&gt;=$BN$2),0,salah)))</f>
        <v>1</v>
      </c>
      <c r="BP27" s="121">
        <f t="shared" si="28"/>
        <v>0</v>
      </c>
    </row>
    <row r="28" spans="1:68" x14ac:dyDescent="0.3">
      <c r="A28" s="133">
        <v>26</v>
      </c>
      <c r="B28" s="133">
        <v>52</v>
      </c>
      <c r="C28" s="133" t="s">
        <v>24</v>
      </c>
      <c r="D28" s="133">
        <v>115</v>
      </c>
      <c r="E28" s="133">
        <v>69</v>
      </c>
      <c r="F28" s="133">
        <v>99</v>
      </c>
      <c r="G28" s="133">
        <v>1.6</v>
      </c>
      <c r="H28" s="133">
        <v>71.2</v>
      </c>
      <c r="I28" s="4">
        <f t="shared" si="0"/>
        <v>27.812499999999996</v>
      </c>
      <c r="J28" s="120" t="s">
        <v>31</v>
      </c>
      <c r="K28" s="133" t="s">
        <v>26</v>
      </c>
      <c r="L28" s="133" t="s">
        <v>27</v>
      </c>
      <c r="M28" s="133" t="s">
        <v>28</v>
      </c>
      <c r="N28" s="133" t="s">
        <v>25</v>
      </c>
      <c r="O28" s="133" t="s">
        <v>29</v>
      </c>
      <c r="P28" s="133" t="s">
        <v>36</v>
      </c>
      <c r="R28" s="134" t="s">
        <v>35</v>
      </c>
      <c r="S28" s="133">
        <v>50</v>
      </c>
      <c r="T28" s="121">
        <f t="shared" si="1"/>
        <v>0</v>
      </c>
      <c r="U28" s="121">
        <f t="shared" si="2"/>
        <v>1</v>
      </c>
      <c r="W28" s="119">
        <v>25</v>
      </c>
      <c r="X28" s="133">
        <v>151</v>
      </c>
      <c r="Y28" s="133">
        <v>99</v>
      </c>
      <c r="Z28" s="121">
        <f t="shared" si="3"/>
        <v>250</v>
      </c>
      <c r="AA28" s="121">
        <f t="shared" si="4"/>
        <v>0</v>
      </c>
      <c r="AB28" s="121">
        <f>IF(AND($X$2&lt;Z28,Z28&lt;$Y$2),(Z28-$X$2)/($Y$2-$X$2),IF(AND($Y$2&lt;=Z28,Z28&lt;$Z$2),($Z$2-Z28)/($Z$2-$Y$2), IF(OR(Z28&lt;=$X$2,Z28&gt;=$Z$2),0,salah)))</f>
        <v>0.5</v>
      </c>
      <c r="AC28" s="121">
        <f t="shared" si="5"/>
        <v>0.5</v>
      </c>
      <c r="AE28" s="134">
        <v>84</v>
      </c>
      <c r="AF28" s="121">
        <f t="shared" si="6"/>
        <v>1</v>
      </c>
      <c r="AG28" s="121">
        <f t="shared" si="7"/>
        <v>0</v>
      </c>
      <c r="AI28" s="4">
        <f t="shared" si="8"/>
        <v>21.671206537413873</v>
      </c>
      <c r="AJ28" s="121">
        <f t="shared" si="9"/>
        <v>0.59208816250956964</v>
      </c>
      <c r="AK28" s="121">
        <f t="shared" si="10"/>
        <v>0.40791183749043036</v>
      </c>
      <c r="AM28" s="120" t="s">
        <v>25</v>
      </c>
      <c r="AN28" s="121">
        <f t="shared" si="11"/>
        <v>1</v>
      </c>
      <c r="AO28" s="121">
        <f t="shared" si="12"/>
        <v>1</v>
      </c>
      <c r="AP28" s="121">
        <f t="shared" si="13"/>
        <v>0</v>
      </c>
      <c r="AR28" s="134" t="s">
        <v>26</v>
      </c>
      <c r="AS28" s="121">
        <f t="shared" si="14"/>
        <v>0</v>
      </c>
      <c r="AT28" s="121">
        <f t="shared" si="15"/>
        <v>0</v>
      </c>
      <c r="AU28" s="121">
        <f t="shared" si="16"/>
        <v>1</v>
      </c>
      <c r="AW28" s="134" t="s">
        <v>27</v>
      </c>
      <c r="AX28" s="121">
        <f t="shared" si="17"/>
        <v>0</v>
      </c>
      <c r="AY28" s="121">
        <f t="shared" si="18"/>
        <v>0</v>
      </c>
      <c r="AZ28" s="121">
        <f t="shared" si="19"/>
        <v>1</v>
      </c>
      <c r="BB28" s="134" t="s">
        <v>33</v>
      </c>
      <c r="BC28" s="121">
        <f t="shared" si="20"/>
        <v>1</v>
      </c>
      <c r="BD28" s="121">
        <f t="shared" si="21"/>
        <v>1</v>
      </c>
      <c r="BE28" s="121">
        <f t="shared" si="22"/>
        <v>0</v>
      </c>
      <c r="BG28" s="134" t="s">
        <v>25</v>
      </c>
      <c r="BH28" s="121">
        <f t="shared" si="23"/>
        <v>1</v>
      </c>
      <c r="BI28" s="121">
        <f t="shared" si="24"/>
        <v>1</v>
      </c>
      <c r="BJ28" s="121">
        <f t="shared" si="25"/>
        <v>0</v>
      </c>
      <c r="BL28" s="134" t="s">
        <v>38</v>
      </c>
      <c r="BM28" s="121">
        <f t="shared" si="26"/>
        <v>1</v>
      </c>
      <c r="BN28" s="121">
        <f t="shared" si="27"/>
        <v>0</v>
      </c>
      <c r="BO28" s="121">
        <f>IF(AND($BL$2&lt;BM28,BM28&lt;$BM$2),(BM28-$BL$2)/($BM$2-$BL$2),IF(AND($BM$2&lt;=BM28,BM28&lt;$BN$2),($BN$2-BM28)/($BN$2-$BM$2), IF(OR(BM28&lt;=$BL$2,BM28&gt;=$BN$2),0,salah)))</f>
        <v>0</v>
      </c>
      <c r="BP28" s="121">
        <f t="shared" si="28"/>
        <v>1</v>
      </c>
    </row>
    <row r="29" spans="1:68" x14ac:dyDescent="0.3">
      <c r="A29" s="133">
        <v>27</v>
      </c>
      <c r="B29" s="133">
        <v>50</v>
      </c>
      <c r="C29" s="133" t="s">
        <v>37</v>
      </c>
      <c r="D29" s="133">
        <v>156</v>
      </c>
      <c r="E29" s="133">
        <v>88</v>
      </c>
      <c r="F29" s="133">
        <v>97</v>
      </c>
      <c r="G29" s="133">
        <v>1.5</v>
      </c>
      <c r="H29" s="133">
        <v>63</v>
      </c>
      <c r="I29" s="4">
        <f t="shared" si="0"/>
        <v>28</v>
      </c>
      <c r="J29" s="120" t="s">
        <v>31</v>
      </c>
      <c r="K29" s="133" t="s">
        <v>26</v>
      </c>
      <c r="L29" s="133" t="s">
        <v>32</v>
      </c>
      <c r="M29" s="133" t="s">
        <v>33</v>
      </c>
      <c r="N29" s="133" t="s">
        <v>31</v>
      </c>
      <c r="O29" s="133" t="s">
        <v>29</v>
      </c>
      <c r="P29" s="133" t="s">
        <v>35</v>
      </c>
      <c r="R29" s="134" t="s">
        <v>36</v>
      </c>
      <c r="S29" s="133">
        <v>52</v>
      </c>
      <c r="T29" s="121">
        <f t="shared" si="1"/>
        <v>0</v>
      </c>
      <c r="U29" s="121">
        <f t="shared" si="2"/>
        <v>1</v>
      </c>
      <c r="W29" s="119">
        <v>26</v>
      </c>
      <c r="X29" s="133">
        <v>115</v>
      </c>
      <c r="Y29" s="133">
        <v>69</v>
      </c>
      <c r="Z29" s="121">
        <f t="shared" si="3"/>
        <v>184</v>
      </c>
      <c r="AA29" s="121">
        <f t="shared" si="4"/>
        <v>1</v>
      </c>
      <c r="AB29" s="121">
        <f>IF(AND($X$2&lt;Z29,Z29&lt;$Y$2),(Z29-$X$2)/($Y$2-$X$2),IF(AND($Y$2&lt;=Z29,Z29&lt;$Z$2),($Z$2-Z29)/($Z$2-$Y$2), IF(OR(Z29&lt;=$X$2,Z29&gt;=$Z$2),0,salah)))</f>
        <v>0</v>
      </c>
      <c r="AC29" s="121">
        <f t="shared" si="5"/>
        <v>0</v>
      </c>
      <c r="AE29" s="134">
        <v>99</v>
      </c>
      <c r="AF29" s="121">
        <f t="shared" si="6"/>
        <v>0.1</v>
      </c>
      <c r="AG29" s="121">
        <f t="shared" si="7"/>
        <v>0.9</v>
      </c>
      <c r="AI29" s="4">
        <f t="shared" si="8"/>
        <v>27.812499999999996</v>
      </c>
      <c r="AJ29" s="121">
        <f t="shared" si="9"/>
        <v>0</v>
      </c>
      <c r="AK29" s="121">
        <f t="shared" si="10"/>
        <v>1</v>
      </c>
      <c r="AM29" s="120" t="s">
        <v>31</v>
      </c>
      <c r="AN29" s="121">
        <f t="shared" si="11"/>
        <v>0</v>
      </c>
      <c r="AO29" s="121">
        <f t="shared" si="12"/>
        <v>0</v>
      </c>
      <c r="AP29" s="121">
        <f t="shared" si="13"/>
        <v>1</v>
      </c>
      <c r="AR29" s="134" t="s">
        <v>26</v>
      </c>
      <c r="AS29" s="121">
        <f t="shared" si="14"/>
        <v>0</v>
      </c>
      <c r="AT29" s="121">
        <f t="shared" si="15"/>
        <v>0</v>
      </c>
      <c r="AU29" s="121">
        <f t="shared" si="16"/>
        <v>1</v>
      </c>
      <c r="AW29" s="134" t="s">
        <v>27</v>
      </c>
      <c r="AX29" s="121">
        <f t="shared" si="17"/>
        <v>0</v>
      </c>
      <c r="AY29" s="121">
        <f t="shared" si="18"/>
        <v>0</v>
      </c>
      <c r="AZ29" s="121">
        <f t="shared" si="19"/>
        <v>1</v>
      </c>
      <c r="BB29" s="134" t="s">
        <v>28</v>
      </c>
      <c r="BC29" s="121">
        <f t="shared" si="20"/>
        <v>0</v>
      </c>
      <c r="BD29" s="121">
        <f t="shared" si="21"/>
        <v>0</v>
      </c>
      <c r="BE29" s="121">
        <f t="shared" si="22"/>
        <v>1</v>
      </c>
      <c r="BG29" s="134" t="s">
        <v>25</v>
      </c>
      <c r="BH29" s="121">
        <f t="shared" si="23"/>
        <v>1</v>
      </c>
      <c r="BI29" s="121">
        <f t="shared" si="24"/>
        <v>1</v>
      </c>
      <c r="BJ29" s="121">
        <f t="shared" si="25"/>
        <v>0</v>
      </c>
      <c r="BL29" s="134" t="s">
        <v>29</v>
      </c>
      <c r="BM29" s="121">
        <f t="shared" si="26"/>
        <v>0.5</v>
      </c>
      <c r="BN29" s="121">
        <f t="shared" si="27"/>
        <v>0</v>
      </c>
      <c r="BO29" s="121">
        <f>IF(AND($BL$2&lt;BM29,BM29&lt;$BM$2),(BM29-$BL$2)/($BM$2-$BL$2),IF(AND($BM$2&lt;=BM29,BM29&lt;$BN$2),($BN$2-BM29)/($BN$2-$BM$2), IF(OR(BM29&lt;=$BL$2,BM29&gt;=$BN$2),0,salah)))</f>
        <v>1</v>
      </c>
      <c r="BP29" s="121">
        <f t="shared" si="28"/>
        <v>0</v>
      </c>
    </row>
    <row r="30" spans="1:68" x14ac:dyDescent="0.3">
      <c r="A30" s="133">
        <v>28</v>
      </c>
      <c r="B30" s="133">
        <v>69</v>
      </c>
      <c r="C30" s="133" t="s">
        <v>37</v>
      </c>
      <c r="D30" s="133">
        <v>120</v>
      </c>
      <c r="E30" s="133">
        <v>63</v>
      </c>
      <c r="F30" s="133">
        <v>72</v>
      </c>
      <c r="G30" s="133">
        <v>1.55</v>
      </c>
      <c r="H30" s="133">
        <v>44.2</v>
      </c>
      <c r="I30" s="4">
        <f t="shared" si="0"/>
        <v>18.397502601456814</v>
      </c>
      <c r="J30" s="120" t="s">
        <v>31</v>
      </c>
      <c r="K30" s="133" t="s">
        <v>39</v>
      </c>
      <c r="L30" s="133" t="s">
        <v>32</v>
      </c>
      <c r="M30" s="133" t="s">
        <v>28</v>
      </c>
      <c r="N30" s="133" t="s">
        <v>31</v>
      </c>
      <c r="O30" s="133" t="s">
        <v>29</v>
      </c>
      <c r="P30" s="133" t="s">
        <v>30</v>
      </c>
      <c r="R30" s="134" t="s">
        <v>35</v>
      </c>
      <c r="S30" s="133">
        <v>50</v>
      </c>
      <c r="T30" s="121">
        <f t="shared" si="1"/>
        <v>0</v>
      </c>
      <c r="U30" s="121">
        <f t="shared" si="2"/>
        <v>1</v>
      </c>
      <c r="W30" s="119">
        <v>27</v>
      </c>
      <c r="X30" s="133">
        <v>156</v>
      </c>
      <c r="Y30" s="133">
        <v>88</v>
      </c>
      <c r="Z30" s="121">
        <f t="shared" si="3"/>
        <v>244</v>
      </c>
      <c r="AA30" s="121">
        <f t="shared" si="4"/>
        <v>0</v>
      </c>
      <c r="AB30" s="121">
        <f>IF(AND($X$2&lt;Z30,Z30&lt;$Y$2),(Z30-$X$2)/($Y$2-$X$2),IF(AND($Y$2&lt;=Z30,Z30&lt;$Z$2),($Z$2-Z30)/($Z$2-$Y$2), IF(OR(Z30&lt;=$X$2,Z30&gt;=$Z$2),0,salah)))</f>
        <v>0.65</v>
      </c>
      <c r="AC30" s="121">
        <f t="shared" si="5"/>
        <v>0.35</v>
      </c>
      <c r="AE30" s="134">
        <v>97</v>
      </c>
      <c r="AF30" s="121">
        <f t="shared" si="6"/>
        <v>0.3</v>
      </c>
      <c r="AG30" s="121">
        <f t="shared" si="7"/>
        <v>0.7</v>
      </c>
      <c r="AI30" s="4">
        <f t="shared" si="8"/>
        <v>28</v>
      </c>
      <c r="AJ30" s="121">
        <f t="shared" si="9"/>
        <v>0</v>
      </c>
      <c r="AK30" s="121">
        <f t="shared" si="10"/>
        <v>1</v>
      </c>
      <c r="AM30" s="120" t="s">
        <v>31</v>
      </c>
      <c r="AN30" s="121">
        <f t="shared" si="11"/>
        <v>0</v>
      </c>
      <c r="AO30" s="121">
        <f t="shared" si="12"/>
        <v>0</v>
      </c>
      <c r="AP30" s="121">
        <f t="shared" si="13"/>
        <v>1</v>
      </c>
      <c r="AR30" s="134" t="s">
        <v>26</v>
      </c>
      <c r="AS30" s="121">
        <f t="shared" si="14"/>
        <v>0</v>
      </c>
      <c r="AT30" s="121">
        <f t="shared" si="15"/>
        <v>0</v>
      </c>
      <c r="AU30" s="121">
        <f t="shared" si="16"/>
        <v>1</v>
      </c>
      <c r="AW30" s="134" t="s">
        <v>32</v>
      </c>
      <c r="AX30" s="121">
        <f t="shared" si="17"/>
        <v>1</v>
      </c>
      <c r="AY30" s="121">
        <f t="shared" si="18"/>
        <v>1</v>
      </c>
      <c r="AZ30" s="121">
        <f t="shared" si="19"/>
        <v>0</v>
      </c>
      <c r="BB30" s="134" t="s">
        <v>33</v>
      </c>
      <c r="BC30" s="121">
        <f t="shared" si="20"/>
        <v>1</v>
      </c>
      <c r="BD30" s="121">
        <f t="shared" si="21"/>
        <v>1</v>
      </c>
      <c r="BE30" s="121">
        <f t="shared" si="22"/>
        <v>0</v>
      </c>
      <c r="BG30" s="134" t="s">
        <v>31</v>
      </c>
      <c r="BH30" s="121">
        <f t="shared" si="23"/>
        <v>0</v>
      </c>
      <c r="BI30" s="121">
        <f t="shared" si="24"/>
        <v>0</v>
      </c>
      <c r="BJ30" s="121">
        <f t="shared" si="25"/>
        <v>1</v>
      </c>
      <c r="BL30" s="134" t="s">
        <v>29</v>
      </c>
      <c r="BM30" s="121">
        <f t="shared" si="26"/>
        <v>0.5</v>
      </c>
      <c r="BN30" s="121">
        <f t="shared" si="27"/>
        <v>0</v>
      </c>
      <c r="BO30" s="121">
        <f>IF(AND($BL$2&lt;BM30,BM30&lt;$BM$2),(BM30-$BL$2)/($BM$2-$BL$2),IF(AND($BM$2&lt;=BM30,BM30&lt;$BN$2),($BN$2-BM30)/($BN$2-$BM$2), IF(OR(BM30&lt;=$BL$2,BM30&gt;=$BN$2),0,salah)))</f>
        <v>1</v>
      </c>
      <c r="BP30" s="121">
        <f t="shared" si="28"/>
        <v>0</v>
      </c>
    </row>
    <row r="31" spans="1:68" x14ac:dyDescent="0.3">
      <c r="A31" s="133">
        <v>29</v>
      </c>
      <c r="B31" s="133">
        <v>51</v>
      </c>
      <c r="C31" s="133" t="s">
        <v>37</v>
      </c>
      <c r="D31" s="133">
        <v>100</v>
      </c>
      <c r="E31" s="133">
        <v>75</v>
      </c>
      <c r="F31" s="133">
        <v>71</v>
      </c>
      <c r="G31" s="133">
        <v>1.52</v>
      </c>
      <c r="H31" s="133">
        <v>52</v>
      </c>
      <c r="I31" s="4">
        <f t="shared" si="0"/>
        <v>22.506925207756233</v>
      </c>
      <c r="J31" s="120" t="s">
        <v>31</v>
      </c>
      <c r="K31" s="133" t="s">
        <v>26</v>
      </c>
      <c r="L31" s="133" t="s">
        <v>27</v>
      </c>
      <c r="M31" s="133" t="s">
        <v>28</v>
      </c>
      <c r="N31" s="133" t="s">
        <v>25</v>
      </c>
      <c r="O31" s="133" t="s">
        <v>38</v>
      </c>
      <c r="P31" s="133" t="s">
        <v>36</v>
      </c>
      <c r="R31" s="134" t="s">
        <v>30</v>
      </c>
      <c r="S31" s="133">
        <v>69</v>
      </c>
      <c r="T31" s="121">
        <f t="shared" si="1"/>
        <v>0</v>
      </c>
      <c r="U31" s="121">
        <f t="shared" si="2"/>
        <v>1</v>
      </c>
      <c r="W31" s="119">
        <v>28</v>
      </c>
      <c r="X31" s="133">
        <v>120</v>
      </c>
      <c r="Y31" s="133">
        <v>63</v>
      </c>
      <c r="Z31" s="121">
        <f t="shared" si="3"/>
        <v>183</v>
      </c>
      <c r="AA31" s="121">
        <f t="shared" si="4"/>
        <v>1</v>
      </c>
      <c r="AB31" s="121">
        <f>IF(AND($X$2&lt;Z31,Z31&lt;$Y$2),(Z31-$X$2)/($Y$2-$X$2),IF(AND($Y$2&lt;=Z31,Z31&lt;$Z$2),($Z$2-Z31)/($Z$2-$Y$2), IF(OR(Z31&lt;=$X$2,Z31&gt;=$Z$2),0,salah)))</f>
        <v>0</v>
      </c>
      <c r="AC31" s="121">
        <f t="shared" si="5"/>
        <v>0</v>
      </c>
      <c r="AE31" s="134">
        <v>72</v>
      </c>
      <c r="AF31" s="121">
        <f t="shared" si="6"/>
        <v>1</v>
      </c>
      <c r="AG31" s="121">
        <f t="shared" si="7"/>
        <v>0</v>
      </c>
      <c r="AI31" s="4">
        <f t="shared" si="8"/>
        <v>18.397502601456814</v>
      </c>
      <c r="AJ31" s="121">
        <f t="shared" si="9"/>
        <v>0.95583304428257621</v>
      </c>
      <c r="AK31" s="121">
        <f t="shared" si="10"/>
        <v>4.4166955717423823E-2</v>
      </c>
      <c r="AM31" s="120" t="s">
        <v>31</v>
      </c>
      <c r="AN31" s="121">
        <f t="shared" si="11"/>
        <v>0</v>
      </c>
      <c r="AO31" s="121">
        <f t="shared" si="12"/>
        <v>0</v>
      </c>
      <c r="AP31" s="121">
        <f t="shared" si="13"/>
        <v>1</v>
      </c>
      <c r="AR31" s="134" t="s">
        <v>39</v>
      </c>
      <c r="AS31" s="121">
        <f t="shared" si="14"/>
        <v>1</v>
      </c>
      <c r="AT31" s="121">
        <f t="shared" si="15"/>
        <v>1</v>
      </c>
      <c r="AU31" s="121">
        <f t="shared" si="16"/>
        <v>0</v>
      </c>
      <c r="AW31" s="134" t="s">
        <v>32</v>
      </c>
      <c r="AX31" s="121">
        <f t="shared" si="17"/>
        <v>1</v>
      </c>
      <c r="AY31" s="121">
        <f t="shared" si="18"/>
        <v>1</v>
      </c>
      <c r="AZ31" s="121">
        <f t="shared" si="19"/>
        <v>0</v>
      </c>
      <c r="BB31" s="134" t="s">
        <v>28</v>
      </c>
      <c r="BC31" s="121">
        <f t="shared" si="20"/>
        <v>0</v>
      </c>
      <c r="BD31" s="121">
        <f t="shared" si="21"/>
        <v>0</v>
      </c>
      <c r="BE31" s="121">
        <f t="shared" si="22"/>
        <v>1</v>
      </c>
      <c r="BG31" s="134" t="s">
        <v>31</v>
      </c>
      <c r="BH31" s="121">
        <f t="shared" si="23"/>
        <v>0</v>
      </c>
      <c r="BI31" s="121">
        <f t="shared" si="24"/>
        <v>0</v>
      </c>
      <c r="BJ31" s="121">
        <f t="shared" si="25"/>
        <v>1</v>
      </c>
      <c r="BL31" s="134" t="s">
        <v>29</v>
      </c>
      <c r="BM31" s="121">
        <f t="shared" si="26"/>
        <v>0.5</v>
      </c>
      <c r="BN31" s="121">
        <f t="shared" si="27"/>
        <v>0</v>
      </c>
      <c r="BO31" s="121">
        <f>IF(AND($BL$2&lt;BM31,BM31&lt;$BM$2),(BM31-$BL$2)/($BM$2-$BL$2),IF(AND($BM$2&lt;=BM31,BM31&lt;$BN$2),($BN$2-BM31)/($BN$2-$BM$2), IF(OR(BM31&lt;=$BL$2,BM31&gt;=$BN$2),0,salah)))</f>
        <v>1</v>
      </c>
      <c r="BP31" s="121">
        <f t="shared" si="28"/>
        <v>0</v>
      </c>
    </row>
    <row r="32" spans="1:68" x14ac:dyDescent="0.3">
      <c r="A32" s="133">
        <v>30</v>
      </c>
      <c r="B32" s="133">
        <v>56</v>
      </c>
      <c r="C32" s="133" t="s">
        <v>24</v>
      </c>
      <c r="D32" s="133">
        <v>195</v>
      </c>
      <c r="E32" s="133">
        <v>105</v>
      </c>
      <c r="F32" s="133">
        <v>85</v>
      </c>
      <c r="G32" s="133">
        <v>1.55</v>
      </c>
      <c r="H32" s="133">
        <v>60.6</v>
      </c>
      <c r="I32" s="4">
        <f t="shared" si="0"/>
        <v>25.223725286160246</v>
      </c>
      <c r="J32" s="120" t="s">
        <v>31</v>
      </c>
      <c r="K32" s="133" t="s">
        <v>39</v>
      </c>
      <c r="L32" s="133" t="s">
        <v>27</v>
      </c>
      <c r="M32" s="133" t="s">
        <v>28</v>
      </c>
      <c r="N32" s="133" t="s">
        <v>25</v>
      </c>
      <c r="O32" s="133" t="s">
        <v>29</v>
      </c>
      <c r="P32" s="133" t="s">
        <v>35</v>
      </c>
      <c r="R32" s="134" t="s">
        <v>36</v>
      </c>
      <c r="S32" s="133">
        <v>51</v>
      </c>
      <c r="T32" s="121">
        <f t="shared" si="1"/>
        <v>0</v>
      </c>
      <c r="U32" s="121">
        <f t="shared" si="2"/>
        <v>1</v>
      </c>
      <c r="W32" s="119">
        <v>29</v>
      </c>
      <c r="X32" s="133">
        <v>100</v>
      </c>
      <c r="Y32" s="133">
        <v>75</v>
      </c>
      <c r="Z32" s="121">
        <f t="shared" si="3"/>
        <v>175</v>
      </c>
      <c r="AA32" s="121">
        <f t="shared" si="4"/>
        <v>1</v>
      </c>
      <c r="AB32" s="121">
        <f>IF(AND($X$2&lt;Z32,Z32&lt;$Y$2),(Z32-$X$2)/($Y$2-$X$2),IF(AND($Y$2&lt;=Z32,Z32&lt;$Z$2),($Z$2-Z32)/($Z$2-$Y$2), IF(OR(Z32&lt;=$X$2,Z32&gt;=$Z$2),0,salah)))</f>
        <v>0</v>
      </c>
      <c r="AC32" s="121">
        <f t="shared" si="5"/>
        <v>0</v>
      </c>
      <c r="AE32" s="134">
        <v>71</v>
      </c>
      <c r="AF32" s="121">
        <f t="shared" si="6"/>
        <v>1</v>
      </c>
      <c r="AG32" s="121">
        <f t="shared" si="7"/>
        <v>0</v>
      </c>
      <c r="AI32" s="4">
        <f t="shared" si="8"/>
        <v>22.506925207756233</v>
      </c>
      <c r="AJ32" s="121">
        <f t="shared" si="9"/>
        <v>0.49923053247152971</v>
      </c>
      <c r="AK32" s="121">
        <f t="shared" si="10"/>
        <v>0.50076946752847029</v>
      </c>
      <c r="AM32" s="120" t="s">
        <v>31</v>
      </c>
      <c r="AN32" s="121">
        <f t="shared" si="11"/>
        <v>0</v>
      </c>
      <c r="AO32" s="121">
        <f t="shared" si="12"/>
        <v>0</v>
      </c>
      <c r="AP32" s="121">
        <f t="shared" si="13"/>
        <v>1</v>
      </c>
      <c r="AR32" s="134" t="s">
        <v>26</v>
      </c>
      <c r="AS32" s="121">
        <f t="shared" si="14"/>
        <v>0</v>
      </c>
      <c r="AT32" s="121">
        <f t="shared" si="15"/>
        <v>0</v>
      </c>
      <c r="AU32" s="121">
        <f t="shared" si="16"/>
        <v>1</v>
      </c>
      <c r="AW32" s="134" t="s">
        <v>27</v>
      </c>
      <c r="AX32" s="121">
        <f t="shared" si="17"/>
        <v>0</v>
      </c>
      <c r="AY32" s="121">
        <f t="shared" si="18"/>
        <v>0</v>
      </c>
      <c r="AZ32" s="121">
        <f t="shared" si="19"/>
        <v>1</v>
      </c>
      <c r="BB32" s="134" t="s">
        <v>28</v>
      </c>
      <c r="BC32" s="121">
        <f t="shared" si="20"/>
        <v>0</v>
      </c>
      <c r="BD32" s="121">
        <f t="shared" si="21"/>
        <v>0</v>
      </c>
      <c r="BE32" s="121">
        <f t="shared" si="22"/>
        <v>1</v>
      </c>
      <c r="BG32" s="134" t="s">
        <v>25</v>
      </c>
      <c r="BH32" s="121">
        <f t="shared" si="23"/>
        <v>1</v>
      </c>
      <c r="BI32" s="121">
        <f t="shared" si="24"/>
        <v>1</v>
      </c>
      <c r="BJ32" s="121">
        <f t="shared" si="25"/>
        <v>0</v>
      </c>
      <c r="BL32" s="134" t="s">
        <v>38</v>
      </c>
      <c r="BM32" s="121">
        <f t="shared" si="26"/>
        <v>1</v>
      </c>
      <c r="BN32" s="121">
        <f t="shared" si="27"/>
        <v>0</v>
      </c>
      <c r="BO32" s="121">
        <f>IF(AND($BL$2&lt;BM32,BM32&lt;$BM$2),(BM32-$BL$2)/($BM$2-$BL$2),IF(AND($BM$2&lt;=BM32,BM32&lt;$BN$2),($BN$2-BM32)/($BN$2-$BM$2), IF(OR(BM32&lt;=$BL$2,BM32&gt;=$BN$2),0,salah)))</f>
        <v>0</v>
      </c>
      <c r="BP32" s="121">
        <f t="shared" si="28"/>
        <v>1</v>
      </c>
    </row>
    <row r="33" spans="1:68" ht="15.6" x14ac:dyDescent="0.3">
      <c r="A33" s="133">
        <v>31</v>
      </c>
      <c r="B33" s="133">
        <v>85</v>
      </c>
      <c r="C33" s="6" t="s">
        <v>24</v>
      </c>
      <c r="D33" s="133">
        <v>175</v>
      </c>
      <c r="E33" s="133">
        <v>91</v>
      </c>
      <c r="F33" s="133">
        <v>68</v>
      </c>
      <c r="G33" s="133">
        <v>1.54</v>
      </c>
      <c r="H33" s="133">
        <v>58.3</v>
      </c>
      <c r="I33" s="4">
        <f t="shared" si="0"/>
        <v>24.582560296846012</v>
      </c>
      <c r="J33" s="120" t="s">
        <v>31</v>
      </c>
      <c r="K33" s="133" t="s">
        <v>39</v>
      </c>
      <c r="L33" s="133" t="s">
        <v>27</v>
      </c>
      <c r="M33" s="133" t="s">
        <v>28</v>
      </c>
      <c r="N33" s="133" t="s">
        <v>25</v>
      </c>
      <c r="O33" s="133" t="s">
        <v>29</v>
      </c>
      <c r="P33" s="133" t="s">
        <v>35</v>
      </c>
      <c r="R33" s="134" t="s">
        <v>35</v>
      </c>
      <c r="S33" s="133">
        <v>56</v>
      </c>
      <c r="T33" s="121">
        <f t="shared" si="1"/>
        <v>0</v>
      </c>
      <c r="U33" s="121">
        <f t="shared" si="2"/>
        <v>1</v>
      </c>
      <c r="W33" s="119">
        <v>30</v>
      </c>
      <c r="X33" s="133">
        <v>195</v>
      </c>
      <c r="Y33" s="133">
        <v>105</v>
      </c>
      <c r="Z33" s="121">
        <f t="shared" si="3"/>
        <v>300</v>
      </c>
      <c r="AA33" s="121">
        <f t="shared" si="4"/>
        <v>0</v>
      </c>
      <c r="AB33" s="121">
        <f>IF(AND($X$2&lt;Z33,Z33&lt;$Y$2),(Z33-$X$2)/($Y$2-$X$2),IF(AND($Y$2&lt;=Z33,Z33&lt;$Z$2),($Z$2-Z33)/($Z$2-$Y$2), IF(OR(Z33&lt;=$X$2,Z33&gt;=$Z$2),0,salah)))</f>
        <v>0</v>
      </c>
      <c r="AC33" s="121">
        <f t="shared" si="5"/>
        <v>1</v>
      </c>
      <c r="AE33" s="134">
        <v>85</v>
      </c>
      <c r="AF33" s="121">
        <f t="shared" si="6"/>
        <v>1</v>
      </c>
      <c r="AG33" s="121">
        <f t="shared" si="7"/>
        <v>0</v>
      </c>
      <c r="AI33" s="4">
        <f t="shared" si="8"/>
        <v>25.223725286160246</v>
      </c>
      <c r="AJ33" s="121">
        <f t="shared" si="9"/>
        <v>0.19736385709330603</v>
      </c>
      <c r="AK33" s="121">
        <f t="shared" si="10"/>
        <v>0.80263614290669394</v>
      </c>
      <c r="AM33" s="120" t="s">
        <v>31</v>
      </c>
      <c r="AN33" s="121">
        <f t="shared" si="11"/>
        <v>0</v>
      </c>
      <c r="AO33" s="121">
        <f t="shared" si="12"/>
        <v>0</v>
      </c>
      <c r="AP33" s="121">
        <f t="shared" si="13"/>
        <v>1</v>
      </c>
      <c r="AR33" s="134" t="s">
        <v>39</v>
      </c>
      <c r="AS33" s="121">
        <f t="shared" si="14"/>
        <v>1</v>
      </c>
      <c r="AT33" s="121">
        <f t="shared" si="15"/>
        <v>1</v>
      </c>
      <c r="AU33" s="121">
        <f t="shared" si="16"/>
        <v>0</v>
      </c>
      <c r="AW33" s="134" t="s">
        <v>27</v>
      </c>
      <c r="AX33" s="121">
        <f t="shared" si="17"/>
        <v>0</v>
      </c>
      <c r="AY33" s="121">
        <f t="shared" si="18"/>
        <v>0</v>
      </c>
      <c r="AZ33" s="121">
        <f t="shared" si="19"/>
        <v>1</v>
      </c>
      <c r="BB33" s="134" t="s">
        <v>28</v>
      </c>
      <c r="BC33" s="121">
        <f t="shared" si="20"/>
        <v>0</v>
      </c>
      <c r="BD33" s="121">
        <f t="shared" si="21"/>
        <v>0</v>
      </c>
      <c r="BE33" s="121">
        <f t="shared" si="22"/>
        <v>1</v>
      </c>
      <c r="BG33" s="134" t="s">
        <v>25</v>
      </c>
      <c r="BH33" s="121">
        <f t="shared" si="23"/>
        <v>1</v>
      </c>
      <c r="BI33" s="121">
        <f t="shared" si="24"/>
        <v>1</v>
      </c>
      <c r="BJ33" s="121">
        <f t="shared" si="25"/>
        <v>0</v>
      </c>
      <c r="BL33" s="134" t="s">
        <v>29</v>
      </c>
      <c r="BM33" s="121">
        <f t="shared" si="26"/>
        <v>0.5</v>
      </c>
      <c r="BN33" s="121">
        <f t="shared" si="27"/>
        <v>0</v>
      </c>
      <c r="BO33" s="121">
        <f>IF(AND($BL$2&lt;BM33,BM33&lt;$BM$2),(BM33-$BL$2)/($BM$2-$BL$2),IF(AND($BM$2&lt;=BM33,BM33&lt;$BN$2),($BN$2-BM33)/($BN$2-$BM$2), IF(OR(BM33&lt;=$BL$2,BM33&gt;=$BN$2),0,salah)))</f>
        <v>1</v>
      </c>
      <c r="BP33" s="121">
        <f t="shared" si="28"/>
        <v>0</v>
      </c>
    </row>
    <row r="34" spans="1:68" ht="15.6" x14ac:dyDescent="0.3">
      <c r="A34" s="133">
        <v>32</v>
      </c>
      <c r="B34" s="133">
        <v>38</v>
      </c>
      <c r="C34" s="6" t="s">
        <v>37</v>
      </c>
      <c r="D34" s="133">
        <v>116</v>
      </c>
      <c r="E34" s="133">
        <v>87</v>
      </c>
      <c r="F34" s="133">
        <v>99</v>
      </c>
      <c r="G34" s="133">
        <v>1.512</v>
      </c>
      <c r="H34" s="133">
        <v>74.2</v>
      </c>
      <c r="I34" s="4">
        <f t="shared" si="0"/>
        <v>32.456398197138938</v>
      </c>
      <c r="J34" s="120" t="s">
        <v>31</v>
      </c>
      <c r="K34" s="133" t="s">
        <v>39</v>
      </c>
      <c r="L34" s="133" t="s">
        <v>32</v>
      </c>
      <c r="M34" s="133" t="s">
        <v>33</v>
      </c>
      <c r="N34" s="133" t="s">
        <v>25</v>
      </c>
      <c r="O34" s="133" t="s">
        <v>34</v>
      </c>
      <c r="P34" s="133" t="s">
        <v>36</v>
      </c>
      <c r="R34" s="134" t="s">
        <v>35</v>
      </c>
      <c r="S34" s="133">
        <v>85</v>
      </c>
      <c r="T34" s="121">
        <f t="shared" si="1"/>
        <v>0</v>
      </c>
      <c r="U34" s="121">
        <f t="shared" si="2"/>
        <v>1</v>
      </c>
      <c r="W34" s="119">
        <v>31</v>
      </c>
      <c r="X34" s="133">
        <v>175</v>
      </c>
      <c r="Y34" s="133">
        <v>91</v>
      </c>
      <c r="Z34" s="121">
        <f t="shared" si="3"/>
        <v>266</v>
      </c>
      <c r="AA34" s="121">
        <f t="shared" si="4"/>
        <v>0</v>
      </c>
      <c r="AB34" s="121">
        <f>IF(AND($X$2&lt;Z34,Z34&lt;$Y$2),(Z34-$X$2)/($Y$2-$X$2),IF(AND($Y$2&lt;=Z34,Z34&lt;$Z$2),($Z$2-Z34)/($Z$2-$Y$2), IF(OR(Z34&lt;=$X$2,Z34&gt;=$Z$2),0,salah)))</f>
        <v>0.1</v>
      </c>
      <c r="AC34" s="121">
        <f t="shared" si="5"/>
        <v>0.9</v>
      </c>
      <c r="AE34" s="134">
        <v>68</v>
      </c>
      <c r="AF34" s="121">
        <f t="shared" si="6"/>
        <v>1</v>
      </c>
      <c r="AG34" s="121">
        <f t="shared" si="7"/>
        <v>0</v>
      </c>
      <c r="AI34" s="4">
        <f t="shared" si="8"/>
        <v>24.582560296846012</v>
      </c>
      <c r="AJ34" s="121">
        <f t="shared" si="9"/>
        <v>0.26860441146155423</v>
      </c>
      <c r="AK34" s="121">
        <f t="shared" si="10"/>
        <v>0.73139558853844577</v>
      </c>
      <c r="AM34" s="120" t="s">
        <v>31</v>
      </c>
      <c r="AN34" s="121">
        <f t="shared" si="11"/>
        <v>0</v>
      </c>
      <c r="AO34" s="121">
        <f t="shared" si="12"/>
        <v>0</v>
      </c>
      <c r="AP34" s="121">
        <f t="shared" si="13"/>
        <v>1</v>
      </c>
      <c r="AR34" s="134" t="s">
        <v>39</v>
      </c>
      <c r="AS34" s="121">
        <f t="shared" si="14"/>
        <v>1</v>
      </c>
      <c r="AT34" s="121">
        <f t="shared" si="15"/>
        <v>1</v>
      </c>
      <c r="AU34" s="121">
        <f t="shared" si="16"/>
        <v>0</v>
      </c>
      <c r="AW34" s="134" t="s">
        <v>27</v>
      </c>
      <c r="AX34" s="121">
        <f t="shared" si="17"/>
        <v>0</v>
      </c>
      <c r="AY34" s="121">
        <f t="shared" si="18"/>
        <v>0</v>
      </c>
      <c r="AZ34" s="121">
        <f t="shared" si="19"/>
        <v>1</v>
      </c>
      <c r="BB34" s="134" t="s">
        <v>28</v>
      </c>
      <c r="BC34" s="121">
        <f t="shared" si="20"/>
        <v>0</v>
      </c>
      <c r="BD34" s="121">
        <f t="shared" si="21"/>
        <v>0</v>
      </c>
      <c r="BE34" s="121">
        <f t="shared" si="22"/>
        <v>1</v>
      </c>
      <c r="BG34" s="134" t="s">
        <v>25</v>
      </c>
      <c r="BH34" s="121">
        <f t="shared" si="23"/>
        <v>1</v>
      </c>
      <c r="BI34" s="121">
        <f t="shared" si="24"/>
        <v>1</v>
      </c>
      <c r="BJ34" s="121">
        <f t="shared" si="25"/>
        <v>0</v>
      </c>
      <c r="BL34" s="134" t="s">
        <v>29</v>
      </c>
      <c r="BM34" s="121">
        <f t="shared" si="26"/>
        <v>0.5</v>
      </c>
      <c r="BN34" s="121">
        <f t="shared" si="27"/>
        <v>0</v>
      </c>
      <c r="BO34" s="121">
        <f>IF(AND($BL$2&lt;BM34,BM34&lt;$BM$2),(BM34-$BL$2)/($BM$2-$BL$2),IF(AND($BM$2&lt;=BM34,BM34&lt;$BN$2),($BN$2-BM34)/($BN$2-$BM$2), IF(OR(BM34&lt;=$BL$2,BM34&gt;=$BN$2),0,salah)))</f>
        <v>1</v>
      </c>
      <c r="BP34" s="121">
        <f t="shared" si="28"/>
        <v>0</v>
      </c>
    </row>
    <row r="35" spans="1:68" ht="15.6" x14ac:dyDescent="0.3">
      <c r="A35" s="133">
        <v>33</v>
      </c>
      <c r="B35" s="133">
        <v>62</v>
      </c>
      <c r="C35" s="6" t="s">
        <v>37</v>
      </c>
      <c r="D35" s="133">
        <v>123</v>
      </c>
      <c r="E35" s="133">
        <v>78</v>
      </c>
      <c r="F35" s="133">
        <v>98</v>
      </c>
      <c r="G35" s="133">
        <v>1.5149999999999999</v>
      </c>
      <c r="H35" s="133">
        <v>63.4</v>
      </c>
      <c r="I35" s="4">
        <f t="shared" si="0"/>
        <v>27.622564236621685</v>
      </c>
      <c r="J35" s="120" t="s">
        <v>31</v>
      </c>
      <c r="K35" s="133" t="s">
        <v>26</v>
      </c>
      <c r="L35" s="133" t="s">
        <v>32</v>
      </c>
      <c r="M35" s="133" t="s">
        <v>28</v>
      </c>
      <c r="N35" s="133" t="s">
        <v>25</v>
      </c>
      <c r="O35" s="133" t="s">
        <v>34</v>
      </c>
      <c r="P35" s="133" t="s">
        <v>36</v>
      </c>
      <c r="R35" s="134" t="s">
        <v>36</v>
      </c>
      <c r="S35" s="133">
        <v>38</v>
      </c>
      <c r="T35" s="121">
        <f t="shared" si="1"/>
        <v>0.4</v>
      </c>
      <c r="U35" s="121">
        <f t="shared" si="2"/>
        <v>0.6</v>
      </c>
      <c r="W35" s="119">
        <v>32</v>
      </c>
      <c r="X35" s="133">
        <v>116</v>
      </c>
      <c r="Y35" s="133">
        <v>87</v>
      </c>
      <c r="Z35" s="121">
        <f t="shared" si="3"/>
        <v>203</v>
      </c>
      <c r="AA35" s="121">
        <f t="shared" si="4"/>
        <v>0.9</v>
      </c>
      <c r="AB35" s="121">
        <f>IF(AND($X$2&lt;Z35,Z35&lt;$Y$2),(Z35-$X$2)/($Y$2-$X$2),IF(AND($Y$2&lt;=Z35,Z35&lt;$Z$2),($Z$2-Z35)/($Z$2-$Y$2), IF(OR(Z35&lt;=$X$2,Z35&gt;=$Z$2),0,salah)))</f>
        <v>0.1</v>
      </c>
      <c r="AC35" s="121">
        <f t="shared" si="5"/>
        <v>0</v>
      </c>
      <c r="AE35" s="134">
        <v>99</v>
      </c>
      <c r="AF35" s="121">
        <f t="shared" si="6"/>
        <v>0.1</v>
      </c>
      <c r="AG35" s="121">
        <f t="shared" si="7"/>
        <v>0.9</v>
      </c>
      <c r="AI35" s="4">
        <f t="shared" si="8"/>
        <v>32.456398197138938</v>
      </c>
      <c r="AJ35" s="121">
        <f t="shared" si="9"/>
        <v>0</v>
      </c>
      <c r="AK35" s="121">
        <f t="shared" si="10"/>
        <v>1</v>
      </c>
      <c r="AM35" s="120" t="s">
        <v>31</v>
      </c>
      <c r="AN35" s="121">
        <f t="shared" si="11"/>
        <v>0</v>
      </c>
      <c r="AO35" s="121">
        <f t="shared" si="12"/>
        <v>0</v>
      </c>
      <c r="AP35" s="121">
        <f t="shared" si="13"/>
        <v>1</v>
      </c>
      <c r="AR35" s="134" t="s">
        <v>39</v>
      </c>
      <c r="AS35" s="121">
        <f t="shared" si="14"/>
        <v>1</v>
      </c>
      <c r="AT35" s="121">
        <f t="shared" si="15"/>
        <v>1</v>
      </c>
      <c r="AU35" s="121">
        <f t="shared" si="16"/>
        <v>0</v>
      </c>
      <c r="AW35" s="134" t="s">
        <v>32</v>
      </c>
      <c r="AX35" s="121">
        <f t="shared" si="17"/>
        <v>1</v>
      </c>
      <c r="AY35" s="121">
        <f t="shared" si="18"/>
        <v>1</v>
      </c>
      <c r="AZ35" s="121">
        <f t="shared" si="19"/>
        <v>0</v>
      </c>
      <c r="BB35" s="134" t="s">
        <v>33</v>
      </c>
      <c r="BC35" s="121">
        <f t="shared" si="20"/>
        <v>1</v>
      </c>
      <c r="BD35" s="121">
        <f t="shared" si="21"/>
        <v>1</v>
      </c>
      <c r="BE35" s="121">
        <f t="shared" si="22"/>
        <v>0</v>
      </c>
      <c r="BG35" s="134" t="s">
        <v>25</v>
      </c>
      <c r="BH35" s="121">
        <f t="shared" si="23"/>
        <v>1</v>
      </c>
      <c r="BI35" s="121">
        <f t="shared" si="24"/>
        <v>1</v>
      </c>
      <c r="BJ35" s="121">
        <f t="shared" si="25"/>
        <v>0</v>
      </c>
      <c r="BL35" s="134" t="s">
        <v>34</v>
      </c>
      <c r="BM35" s="121">
        <f t="shared" si="26"/>
        <v>0</v>
      </c>
      <c r="BN35" s="121">
        <f t="shared" si="27"/>
        <v>1</v>
      </c>
      <c r="BO35" s="121">
        <f>IF(AND($BL$2&lt;BM35,BM35&lt;$BM$2),(BM35-$BL$2)/($BM$2-$BL$2),IF(AND($BM$2&lt;=BM35,BM35&lt;$BN$2),($BN$2-BM35)/($BN$2-$BM$2), IF(OR(BM35&lt;=$BL$2,BM35&gt;=$BN$2),0,salah)))</f>
        <v>0</v>
      </c>
      <c r="BP35" s="121">
        <f t="shared" si="28"/>
        <v>0</v>
      </c>
    </row>
    <row r="36" spans="1:68" ht="15.6" x14ac:dyDescent="0.3">
      <c r="A36" s="133">
        <v>34</v>
      </c>
      <c r="B36" s="133">
        <v>36</v>
      </c>
      <c r="C36" s="6" t="s">
        <v>37</v>
      </c>
      <c r="D36" s="133">
        <v>115</v>
      </c>
      <c r="E36" s="133">
        <v>83</v>
      </c>
      <c r="F36" s="133">
        <v>88</v>
      </c>
      <c r="G36" s="133">
        <v>1.46</v>
      </c>
      <c r="H36" s="133">
        <v>50.3</v>
      </c>
      <c r="I36" s="4">
        <f t="shared" si="0"/>
        <v>23.59729780446613</v>
      </c>
      <c r="J36" s="120" t="s">
        <v>31</v>
      </c>
      <c r="K36" s="133" t="s">
        <v>39</v>
      </c>
      <c r="L36" s="133" t="s">
        <v>27</v>
      </c>
      <c r="M36" s="133" t="s">
        <v>28</v>
      </c>
      <c r="N36" s="133" t="s">
        <v>25</v>
      </c>
      <c r="O36" s="133" t="s">
        <v>34</v>
      </c>
      <c r="P36" s="133" t="s">
        <v>36</v>
      </c>
      <c r="R36" s="134" t="s">
        <v>36</v>
      </c>
      <c r="S36" s="133">
        <v>62</v>
      </c>
      <c r="T36" s="121">
        <f t="shared" si="1"/>
        <v>0</v>
      </c>
      <c r="U36" s="121">
        <f t="shared" si="2"/>
        <v>1</v>
      </c>
      <c r="W36" s="119">
        <v>33</v>
      </c>
      <c r="X36" s="133">
        <v>123</v>
      </c>
      <c r="Y36" s="133">
        <v>78</v>
      </c>
      <c r="Z36" s="121">
        <f t="shared" si="3"/>
        <v>201</v>
      </c>
      <c r="AA36" s="121">
        <f t="shared" si="4"/>
        <v>0.96666666666666667</v>
      </c>
      <c r="AB36" s="121">
        <f>IF(AND($X$2&lt;Z36,Z36&lt;$Y$2),(Z36-$X$2)/($Y$2-$X$2),IF(AND($Y$2&lt;=Z36,Z36&lt;$Z$2),($Z$2-Z36)/($Z$2-$Y$2), IF(OR(Z36&lt;=$X$2,Z36&gt;=$Z$2),0,salah)))</f>
        <v>3.3333333333333333E-2</v>
      </c>
      <c r="AC36" s="121">
        <f t="shared" si="5"/>
        <v>0</v>
      </c>
      <c r="AE36" s="134">
        <v>98</v>
      </c>
      <c r="AF36" s="121">
        <f t="shared" si="6"/>
        <v>0.2</v>
      </c>
      <c r="AG36" s="121">
        <f t="shared" si="7"/>
        <v>0.8</v>
      </c>
      <c r="AI36" s="4">
        <f t="shared" si="8"/>
        <v>27.622564236621685</v>
      </c>
      <c r="AJ36" s="121">
        <f t="shared" si="9"/>
        <v>0</v>
      </c>
      <c r="AK36" s="121">
        <f t="shared" si="10"/>
        <v>1</v>
      </c>
      <c r="AM36" s="120" t="s">
        <v>31</v>
      </c>
      <c r="AN36" s="121">
        <f t="shared" si="11"/>
        <v>0</v>
      </c>
      <c r="AO36" s="121">
        <f t="shared" si="12"/>
        <v>0</v>
      </c>
      <c r="AP36" s="121">
        <f t="shared" si="13"/>
        <v>1</v>
      </c>
      <c r="AR36" s="134" t="s">
        <v>26</v>
      </c>
      <c r="AS36" s="121">
        <f t="shared" si="14"/>
        <v>0</v>
      </c>
      <c r="AT36" s="121">
        <f t="shared" si="15"/>
        <v>0</v>
      </c>
      <c r="AU36" s="121">
        <f t="shared" si="16"/>
        <v>1</v>
      </c>
      <c r="AW36" s="134" t="s">
        <v>32</v>
      </c>
      <c r="AX36" s="121">
        <f t="shared" si="17"/>
        <v>1</v>
      </c>
      <c r="AY36" s="121">
        <f t="shared" si="18"/>
        <v>1</v>
      </c>
      <c r="AZ36" s="121">
        <f t="shared" si="19"/>
        <v>0</v>
      </c>
      <c r="BB36" s="134" t="s">
        <v>28</v>
      </c>
      <c r="BC36" s="121">
        <f t="shared" si="20"/>
        <v>0</v>
      </c>
      <c r="BD36" s="121">
        <f t="shared" si="21"/>
        <v>0</v>
      </c>
      <c r="BE36" s="121">
        <f t="shared" si="22"/>
        <v>1</v>
      </c>
      <c r="BG36" s="134" t="s">
        <v>25</v>
      </c>
      <c r="BH36" s="121">
        <f t="shared" si="23"/>
        <v>1</v>
      </c>
      <c r="BI36" s="121">
        <f t="shared" si="24"/>
        <v>1</v>
      </c>
      <c r="BJ36" s="121">
        <f t="shared" si="25"/>
        <v>0</v>
      </c>
      <c r="BL36" s="134" t="s">
        <v>34</v>
      </c>
      <c r="BM36" s="121">
        <f t="shared" si="26"/>
        <v>0</v>
      </c>
      <c r="BN36" s="121">
        <f t="shared" si="27"/>
        <v>1</v>
      </c>
      <c r="BO36" s="121">
        <f>IF(AND($BL$2&lt;BM36,BM36&lt;$BM$2),(BM36-$BL$2)/($BM$2-$BL$2),IF(AND($BM$2&lt;=BM36,BM36&lt;$BN$2),($BN$2-BM36)/($BN$2-$BM$2), IF(OR(BM36&lt;=$BL$2,BM36&gt;=$BN$2),0,salah)))</f>
        <v>0</v>
      </c>
      <c r="BP36" s="121">
        <f t="shared" si="28"/>
        <v>0</v>
      </c>
    </row>
    <row r="37" spans="1:68" ht="15.6" x14ac:dyDescent="0.3">
      <c r="A37" s="133">
        <v>35</v>
      </c>
      <c r="B37" s="133">
        <v>70</v>
      </c>
      <c r="C37" s="6" t="s">
        <v>37</v>
      </c>
      <c r="D37" s="133">
        <v>159</v>
      </c>
      <c r="E37" s="133">
        <v>83</v>
      </c>
      <c r="F37" s="133">
        <v>78</v>
      </c>
      <c r="G37" s="133">
        <v>1.42</v>
      </c>
      <c r="H37" s="133">
        <v>41.8</v>
      </c>
      <c r="I37" s="4">
        <f t="shared" si="0"/>
        <v>20.730013886133701</v>
      </c>
      <c r="J37" s="120" t="s">
        <v>31</v>
      </c>
      <c r="K37" s="133" t="s">
        <v>26</v>
      </c>
      <c r="L37" s="133" t="s">
        <v>27</v>
      </c>
      <c r="M37" s="133" t="s">
        <v>33</v>
      </c>
      <c r="N37" s="133" t="s">
        <v>25</v>
      </c>
      <c r="O37" s="133" t="s">
        <v>29</v>
      </c>
      <c r="P37" s="133" t="s">
        <v>30</v>
      </c>
      <c r="R37" s="134" t="s">
        <v>36</v>
      </c>
      <c r="S37" s="133">
        <v>36</v>
      </c>
      <c r="T37" s="121">
        <f t="shared" si="1"/>
        <v>0.5</v>
      </c>
      <c r="U37" s="121">
        <f t="shared" si="2"/>
        <v>0.5</v>
      </c>
      <c r="W37" s="119">
        <v>34</v>
      </c>
      <c r="X37" s="133">
        <v>115</v>
      </c>
      <c r="Y37" s="133">
        <v>83</v>
      </c>
      <c r="Z37" s="121">
        <f t="shared" si="3"/>
        <v>198</v>
      </c>
      <c r="AA37" s="121">
        <f t="shared" si="4"/>
        <v>1</v>
      </c>
      <c r="AB37" s="121">
        <f>IF(AND($X$2&lt;Z37,Z37&lt;$Y$2),(Z37-$X$2)/($Y$2-$X$2),IF(AND($Y$2&lt;=Z37,Z37&lt;$Z$2),($Z$2-Z37)/($Z$2-$Y$2), IF(OR(Z37&lt;=$X$2,Z37&gt;=$Z$2),0,salah)))</f>
        <v>0</v>
      </c>
      <c r="AC37" s="121">
        <f t="shared" si="5"/>
        <v>0</v>
      </c>
      <c r="AE37" s="134">
        <v>88</v>
      </c>
      <c r="AF37" s="121">
        <f t="shared" si="6"/>
        <v>1</v>
      </c>
      <c r="AG37" s="121">
        <f t="shared" si="7"/>
        <v>0</v>
      </c>
      <c r="AI37" s="4">
        <f t="shared" si="8"/>
        <v>23.59729780446613</v>
      </c>
      <c r="AJ37" s="121">
        <f t="shared" si="9"/>
        <v>0.37807802172598554</v>
      </c>
      <c r="AK37" s="121">
        <f t="shared" si="10"/>
        <v>0.62192197827401452</v>
      </c>
      <c r="AM37" s="120" t="s">
        <v>31</v>
      </c>
      <c r="AN37" s="121">
        <f t="shared" si="11"/>
        <v>0</v>
      </c>
      <c r="AO37" s="121">
        <f t="shared" si="12"/>
        <v>0</v>
      </c>
      <c r="AP37" s="121">
        <f t="shared" si="13"/>
        <v>1</v>
      </c>
      <c r="AR37" s="134" t="s">
        <v>39</v>
      </c>
      <c r="AS37" s="121">
        <f t="shared" si="14"/>
        <v>1</v>
      </c>
      <c r="AT37" s="121">
        <f t="shared" si="15"/>
        <v>1</v>
      </c>
      <c r="AU37" s="121">
        <f t="shared" si="16"/>
        <v>0</v>
      </c>
      <c r="AW37" s="134" t="s">
        <v>27</v>
      </c>
      <c r="AX37" s="121">
        <f t="shared" si="17"/>
        <v>0</v>
      </c>
      <c r="AY37" s="121">
        <f t="shared" si="18"/>
        <v>0</v>
      </c>
      <c r="AZ37" s="121">
        <f t="shared" si="19"/>
        <v>1</v>
      </c>
      <c r="BB37" s="134" t="s">
        <v>28</v>
      </c>
      <c r="BC37" s="121">
        <f t="shared" si="20"/>
        <v>0</v>
      </c>
      <c r="BD37" s="121">
        <f t="shared" si="21"/>
        <v>0</v>
      </c>
      <c r="BE37" s="121">
        <f t="shared" si="22"/>
        <v>1</v>
      </c>
      <c r="BG37" s="134" t="s">
        <v>25</v>
      </c>
      <c r="BH37" s="121">
        <f t="shared" si="23"/>
        <v>1</v>
      </c>
      <c r="BI37" s="121">
        <f t="shared" si="24"/>
        <v>1</v>
      </c>
      <c r="BJ37" s="121">
        <f t="shared" si="25"/>
        <v>0</v>
      </c>
      <c r="BL37" s="134" t="s">
        <v>34</v>
      </c>
      <c r="BM37" s="121">
        <f t="shared" si="26"/>
        <v>0</v>
      </c>
      <c r="BN37" s="121">
        <f t="shared" si="27"/>
        <v>1</v>
      </c>
      <c r="BO37" s="121">
        <f>IF(AND($BL$2&lt;BM37,BM37&lt;$BM$2),(BM37-$BL$2)/($BM$2-$BL$2),IF(AND($BM$2&lt;=BM37,BM37&lt;$BN$2),($BN$2-BM37)/($BN$2-$BM$2), IF(OR(BM37&lt;=$BL$2,BM37&gt;=$BN$2),0,salah)))</f>
        <v>0</v>
      </c>
      <c r="BP37" s="121">
        <f t="shared" si="28"/>
        <v>0</v>
      </c>
    </row>
    <row r="38" spans="1:68" ht="15.6" x14ac:dyDescent="0.3">
      <c r="A38" s="133">
        <v>36</v>
      </c>
      <c r="B38" s="133">
        <v>32</v>
      </c>
      <c r="C38" s="6" t="s">
        <v>24</v>
      </c>
      <c r="D38" s="133">
        <v>133</v>
      </c>
      <c r="E38" s="133">
        <v>76</v>
      </c>
      <c r="F38" s="133">
        <v>88</v>
      </c>
      <c r="G38" s="133">
        <v>1.68</v>
      </c>
      <c r="H38" s="133">
        <v>74.400000000000006</v>
      </c>
      <c r="I38" s="4">
        <f t="shared" si="0"/>
        <v>26.360544217687082</v>
      </c>
      <c r="J38" s="133" t="s">
        <v>25</v>
      </c>
      <c r="K38" s="133" t="s">
        <v>26</v>
      </c>
      <c r="L38" s="133" t="s">
        <v>27</v>
      </c>
      <c r="M38" s="133" t="s">
        <v>28</v>
      </c>
      <c r="N38" s="133" t="s">
        <v>25</v>
      </c>
      <c r="O38" s="133" t="s">
        <v>29</v>
      </c>
      <c r="P38" s="133" t="s">
        <v>36</v>
      </c>
      <c r="R38" s="134" t="s">
        <v>30</v>
      </c>
      <c r="S38" s="133">
        <v>70</v>
      </c>
      <c r="T38" s="121">
        <f t="shared" si="1"/>
        <v>0</v>
      </c>
      <c r="U38" s="121">
        <f t="shared" si="2"/>
        <v>1</v>
      </c>
      <c r="W38" s="119">
        <v>35</v>
      </c>
      <c r="X38" s="133">
        <v>159</v>
      </c>
      <c r="Y38" s="133">
        <v>83</v>
      </c>
      <c r="Z38" s="121">
        <f t="shared" si="3"/>
        <v>242</v>
      </c>
      <c r="AA38" s="121">
        <f t="shared" si="4"/>
        <v>0</v>
      </c>
      <c r="AB38" s="121">
        <f>IF(AND($X$2&lt;Z38,Z38&lt;$Y$2),(Z38-$X$2)/($Y$2-$X$2),IF(AND($Y$2&lt;=Z38,Z38&lt;$Z$2),($Z$2-Z38)/($Z$2-$Y$2), IF(OR(Z38&lt;=$X$2,Z38&gt;=$Z$2),0,salah)))</f>
        <v>0.7</v>
      </c>
      <c r="AC38" s="121">
        <f t="shared" si="5"/>
        <v>0.3</v>
      </c>
      <c r="AE38" s="134">
        <v>78</v>
      </c>
      <c r="AF38" s="121">
        <f t="shared" si="6"/>
        <v>1</v>
      </c>
      <c r="AG38" s="121">
        <f t="shared" si="7"/>
        <v>0</v>
      </c>
      <c r="AI38" s="4">
        <f t="shared" si="8"/>
        <v>20.730013886133701</v>
      </c>
      <c r="AJ38" s="121">
        <f t="shared" si="9"/>
        <v>0.69666512376292211</v>
      </c>
      <c r="AK38" s="121">
        <f t="shared" si="10"/>
        <v>0.30333487623707789</v>
      </c>
      <c r="AM38" s="120" t="s">
        <v>31</v>
      </c>
      <c r="AN38" s="121">
        <f t="shared" si="11"/>
        <v>0</v>
      </c>
      <c r="AO38" s="121">
        <f t="shared" si="12"/>
        <v>0</v>
      </c>
      <c r="AP38" s="121">
        <f t="shared" si="13"/>
        <v>1</v>
      </c>
      <c r="AR38" s="134" t="s">
        <v>26</v>
      </c>
      <c r="AS38" s="121">
        <f t="shared" si="14"/>
        <v>0</v>
      </c>
      <c r="AT38" s="121">
        <f t="shared" si="15"/>
        <v>0</v>
      </c>
      <c r="AU38" s="121">
        <f t="shared" si="16"/>
        <v>1</v>
      </c>
      <c r="AW38" s="134" t="s">
        <v>27</v>
      </c>
      <c r="AX38" s="121">
        <f t="shared" si="17"/>
        <v>0</v>
      </c>
      <c r="AY38" s="121">
        <f t="shared" si="18"/>
        <v>0</v>
      </c>
      <c r="AZ38" s="121">
        <f t="shared" si="19"/>
        <v>1</v>
      </c>
      <c r="BB38" s="134" t="s">
        <v>33</v>
      </c>
      <c r="BC38" s="121">
        <f t="shared" si="20"/>
        <v>1</v>
      </c>
      <c r="BD38" s="121">
        <f t="shared" si="21"/>
        <v>1</v>
      </c>
      <c r="BE38" s="121">
        <f t="shared" si="22"/>
        <v>0</v>
      </c>
      <c r="BG38" s="134" t="s">
        <v>25</v>
      </c>
      <c r="BH38" s="121">
        <f t="shared" si="23"/>
        <v>1</v>
      </c>
      <c r="BI38" s="121">
        <f t="shared" si="24"/>
        <v>1</v>
      </c>
      <c r="BJ38" s="121">
        <f t="shared" si="25"/>
        <v>0</v>
      </c>
      <c r="BL38" s="134" t="s">
        <v>29</v>
      </c>
      <c r="BM38" s="121">
        <f t="shared" si="26"/>
        <v>0.5</v>
      </c>
      <c r="BN38" s="121">
        <f t="shared" si="27"/>
        <v>0</v>
      </c>
      <c r="BO38" s="121">
        <f>IF(AND($BL$2&lt;BM38,BM38&lt;$BM$2),(BM38-$BL$2)/($BM$2-$BL$2),IF(AND($BM$2&lt;=BM38,BM38&lt;$BN$2),($BN$2-BM38)/($BN$2-$BM$2), IF(OR(BM38&lt;=$BL$2,BM38&gt;=$BN$2),0,salah)))</f>
        <v>1</v>
      </c>
      <c r="BP38" s="121">
        <f t="shared" si="28"/>
        <v>0</v>
      </c>
    </row>
    <row r="39" spans="1:68" ht="15.6" x14ac:dyDescent="0.3">
      <c r="A39" s="133">
        <v>37</v>
      </c>
      <c r="B39" s="133">
        <v>43</v>
      </c>
      <c r="C39" s="6" t="s">
        <v>24</v>
      </c>
      <c r="D39" s="133">
        <v>149</v>
      </c>
      <c r="E39" s="133">
        <v>102</v>
      </c>
      <c r="F39" s="133">
        <v>128</v>
      </c>
      <c r="G39" s="133">
        <v>1.69</v>
      </c>
      <c r="H39" s="133">
        <v>115.3</v>
      </c>
      <c r="I39" s="4">
        <f t="shared" si="0"/>
        <v>40.369734953257947</v>
      </c>
      <c r="J39" s="133" t="s">
        <v>25</v>
      </c>
      <c r="K39" s="133" t="s">
        <v>39</v>
      </c>
      <c r="L39" s="133" t="s">
        <v>32</v>
      </c>
      <c r="M39" s="133" t="s">
        <v>33</v>
      </c>
      <c r="N39" s="133" t="s">
        <v>31</v>
      </c>
      <c r="O39" s="133" t="s">
        <v>38</v>
      </c>
      <c r="P39" s="133" t="s">
        <v>35</v>
      </c>
      <c r="R39" s="134" t="s">
        <v>36</v>
      </c>
      <c r="S39" s="133">
        <v>32</v>
      </c>
      <c r="T39" s="121">
        <f t="shared" si="1"/>
        <v>0.7</v>
      </c>
      <c r="U39" s="121">
        <f t="shared" si="2"/>
        <v>0.3</v>
      </c>
      <c r="W39" s="119">
        <v>36</v>
      </c>
      <c r="X39" s="133">
        <v>133</v>
      </c>
      <c r="Y39" s="133">
        <v>76</v>
      </c>
      <c r="Z39" s="121">
        <f t="shared" si="3"/>
        <v>209</v>
      </c>
      <c r="AA39" s="121">
        <f t="shared" si="4"/>
        <v>0.7</v>
      </c>
      <c r="AB39" s="121">
        <f>IF(AND($X$2&lt;Z39,Z39&lt;$Y$2),(Z39-$X$2)/($Y$2-$X$2),IF(AND($Y$2&lt;=Z39,Z39&lt;$Z$2),($Z$2-Z39)/($Z$2-$Y$2), IF(OR(Z39&lt;=$X$2,Z39&gt;=$Z$2),0,salah)))</f>
        <v>0.3</v>
      </c>
      <c r="AC39" s="121">
        <f t="shared" si="5"/>
        <v>0</v>
      </c>
      <c r="AE39" s="134">
        <v>88</v>
      </c>
      <c r="AF39" s="121">
        <f t="shared" si="6"/>
        <v>1</v>
      </c>
      <c r="AG39" s="121">
        <f t="shared" si="7"/>
        <v>0</v>
      </c>
      <c r="AI39" s="4">
        <f t="shared" si="8"/>
        <v>26.360544217687082</v>
      </c>
      <c r="AJ39" s="121">
        <f t="shared" si="9"/>
        <v>7.1050642479213152E-2</v>
      </c>
      <c r="AK39" s="121">
        <f t="shared" si="10"/>
        <v>0.92894935752078689</v>
      </c>
      <c r="AM39" s="134" t="s">
        <v>25</v>
      </c>
      <c r="AN39" s="121">
        <f t="shared" si="11"/>
        <v>1</v>
      </c>
      <c r="AO39" s="121">
        <f t="shared" si="12"/>
        <v>1</v>
      </c>
      <c r="AP39" s="121">
        <f t="shared" si="13"/>
        <v>0</v>
      </c>
      <c r="AR39" s="134" t="s">
        <v>26</v>
      </c>
      <c r="AS39" s="121">
        <f t="shared" si="14"/>
        <v>0</v>
      </c>
      <c r="AT39" s="121">
        <f t="shared" si="15"/>
        <v>0</v>
      </c>
      <c r="AU39" s="121">
        <f t="shared" si="16"/>
        <v>1</v>
      </c>
      <c r="AW39" s="134" t="s">
        <v>27</v>
      </c>
      <c r="AX39" s="121">
        <f t="shared" si="17"/>
        <v>0</v>
      </c>
      <c r="AY39" s="121">
        <f t="shared" si="18"/>
        <v>0</v>
      </c>
      <c r="AZ39" s="121">
        <f t="shared" si="19"/>
        <v>1</v>
      </c>
      <c r="BB39" s="134" t="s">
        <v>28</v>
      </c>
      <c r="BC39" s="121">
        <f t="shared" si="20"/>
        <v>0</v>
      </c>
      <c r="BD39" s="121">
        <f t="shared" si="21"/>
        <v>0</v>
      </c>
      <c r="BE39" s="121">
        <f t="shared" si="22"/>
        <v>1</v>
      </c>
      <c r="BG39" s="134" t="s">
        <v>25</v>
      </c>
      <c r="BH39" s="121">
        <f t="shared" si="23"/>
        <v>1</v>
      </c>
      <c r="BI39" s="121">
        <f t="shared" si="24"/>
        <v>1</v>
      </c>
      <c r="BJ39" s="121">
        <f t="shared" si="25"/>
        <v>0</v>
      </c>
      <c r="BL39" s="134" t="s">
        <v>29</v>
      </c>
      <c r="BM39" s="121">
        <f t="shared" si="26"/>
        <v>0.5</v>
      </c>
      <c r="BN39" s="121">
        <f t="shared" si="27"/>
        <v>0</v>
      </c>
      <c r="BO39" s="121">
        <f>IF(AND($BL$2&lt;BM39,BM39&lt;$BM$2),(BM39-$BL$2)/($BM$2-$BL$2),IF(AND($BM$2&lt;=BM39,BM39&lt;$BN$2),($BN$2-BM39)/($BN$2-$BM$2), IF(OR(BM39&lt;=$BL$2,BM39&gt;=$BN$2),0,salah)))</f>
        <v>1</v>
      </c>
      <c r="BP39" s="121">
        <f t="shared" si="28"/>
        <v>0</v>
      </c>
    </row>
    <row r="40" spans="1:68" ht="15.6" x14ac:dyDescent="0.3">
      <c r="A40" s="133">
        <v>38</v>
      </c>
      <c r="B40" s="133">
        <v>31</v>
      </c>
      <c r="C40" s="6" t="s">
        <v>37</v>
      </c>
      <c r="D40" s="133">
        <v>122</v>
      </c>
      <c r="E40" s="133">
        <v>83</v>
      </c>
      <c r="F40" s="133">
        <v>89</v>
      </c>
      <c r="G40" s="133">
        <v>1.4750000000000001</v>
      </c>
      <c r="H40" s="133">
        <v>68.099999999999994</v>
      </c>
      <c r="I40" s="4">
        <f t="shared" si="0"/>
        <v>31.301350186727948</v>
      </c>
      <c r="J40" s="133" t="s">
        <v>31</v>
      </c>
      <c r="K40" s="133" t="s">
        <v>39</v>
      </c>
      <c r="L40" s="133" t="s">
        <v>32</v>
      </c>
      <c r="M40" s="133" t="s">
        <v>28</v>
      </c>
      <c r="N40" s="133" t="s">
        <v>31</v>
      </c>
      <c r="O40" s="133" t="s">
        <v>29</v>
      </c>
      <c r="P40" s="133" t="s">
        <v>30</v>
      </c>
      <c r="R40" s="134" t="s">
        <v>35</v>
      </c>
      <c r="S40" s="133">
        <v>43</v>
      </c>
      <c r="T40" s="121">
        <f t="shared" si="1"/>
        <v>0.15</v>
      </c>
      <c r="U40" s="121">
        <f t="shared" si="2"/>
        <v>0.85</v>
      </c>
      <c r="W40" s="119">
        <v>37</v>
      </c>
      <c r="X40" s="133">
        <v>149</v>
      </c>
      <c r="Y40" s="133">
        <v>102</v>
      </c>
      <c r="Z40" s="121">
        <f t="shared" si="3"/>
        <v>251</v>
      </c>
      <c r="AA40" s="121">
        <f t="shared" si="4"/>
        <v>0</v>
      </c>
      <c r="AB40" s="121">
        <f>IF(AND($X$2&lt;Z40,Z40&lt;$Y$2),(Z40-$X$2)/($Y$2-$X$2),IF(AND($Y$2&lt;=Z40,Z40&lt;$Z$2),($Z$2-Z40)/($Z$2-$Y$2), IF(OR(Z40&lt;=$X$2,Z40&gt;=$Z$2),0,salah)))</f>
        <v>0.47499999999999998</v>
      </c>
      <c r="AC40" s="121">
        <f t="shared" si="5"/>
        <v>0.52500000000000002</v>
      </c>
      <c r="AE40" s="134">
        <v>128</v>
      </c>
      <c r="AF40" s="121">
        <f t="shared" si="6"/>
        <v>0</v>
      </c>
      <c r="AG40" s="121">
        <f t="shared" si="7"/>
        <v>1</v>
      </c>
      <c r="AI40" s="4">
        <f t="shared" si="8"/>
        <v>40.369734953257947</v>
      </c>
      <c r="AJ40" s="121">
        <f t="shared" si="9"/>
        <v>0</v>
      </c>
      <c r="AK40" s="121">
        <f t="shared" si="10"/>
        <v>1</v>
      </c>
      <c r="AM40" s="134" t="s">
        <v>25</v>
      </c>
      <c r="AN40" s="121">
        <f t="shared" si="11"/>
        <v>1</v>
      </c>
      <c r="AO40" s="121">
        <f t="shared" si="12"/>
        <v>1</v>
      </c>
      <c r="AP40" s="121">
        <f t="shared" si="13"/>
        <v>0</v>
      </c>
      <c r="AR40" s="134" t="s">
        <v>39</v>
      </c>
      <c r="AS40" s="121">
        <f t="shared" si="14"/>
        <v>1</v>
      </c>
      <c r="AT40" s="121">
        <f t="shared" si="15"/>
        <v>1</v>
      </c>
      <c r="AU40" s="121">
        <f t="shared" si="16"/>
        <v>0</v>
      </c>
      <c r="AW40" s="134" t="s">
        <v>32</v>
      </c>
      <c r="AX40" s="121">
        <f t="shared" si="17"/>
        <v>1</v>
      </c>
      <c r="AY40" s="121">
        <f t="shared" si="18"/>
        <v>1</v>
      </c>
      <c r="AZ40" s="121">
        <f t="shared" si="19"/>
        <v>0</v>
      </c>
      <c r="BB40" s="134" t="s">
        <v>33</v>
      </c>
      <c r="BC40" s="121">
        <f t="shared" si="20"/>
        <v>1</v>
      </c>
      <c r="BD40" s="121">
        <f t="shared" si="21"/>
        <v>1</v>
      </c>
      <c r="BE40" s="121">
        <f t="shared" si="22"/>
        <v>0</v>
      </c>
      <c r="BG40" s="134" t="s">
        <v>31</v>
      </c>
      <c r="BH40" s="121">
        <f t="shared" si="23"/>
        <v>0</v>
      </c>
      <c r="BI40" s="121">
        <f t="shared" si="24"/>
        <v>0</v>
      </c>
      <c r="BJ40" s="121">
        <f t="shared" si="25"/>
        <v>1</v>
      </c>
      <c r="BL40" s="134" t="s">
        <v>38</v>
      </c>
      <c r="BM40" s="121">
        <f t="shared" si="26"/>
        <v>1</v>
      </c>
      <c r="BN40" s="121">
        <f t="shared" si="27"/>
        <v>0</v>
      </c>
      <c r="BO40" s="121">
        <f>IF(AND($BL$2&lt;BM40,BM40&lt;$BM$2),(BM40-$BL$2)/($BM$2-$BL$2),IF(AND($BM$2&lt;=BM40,BM40&lt;$BN$2),($BN$2-BM40)/($BN$2-$BM$2), IF(OR(BM40&lt;=$BL$2,BM40&gt;=$BN$2),0,salah)))</f>
        <v>0</v>
      </c>
      <c r="BP40" s="121">
        <f t="shared" si="28"/>
        <v>1</v>
      </c>
    </row>
    <row r="41" spans="1:68" ht="15.6" x14ac:dyDescent="0.3">
      <c r="A41" s="133">
        <v>39</v>
      </c>
      <c r="B41" s="133">
        <v>40</v>
      </c>
      <c r="C41" s="6" t="s">
        <v>37</v>
      </c>
      <c r="D41" s="133">
        <v>173</v>
      </c>
      <c r="E41" s="133">
        <v>103</v>
      </c>
      <c r="F41" s="133">
        <v>95</v>
      </c>
      <c r="G41" s="133">
        <v>1.54</v>
      </c>
      <c r="H41" s="133">
        <v>68.900000000000006</v>
      </c>
      <c r="I41" s="4">
        <f t="shared" si="0"/>
        <v>29.052116714454382</v>
      </c>
      <c r="J41" s="133" t="s">
        <v>31</v>
      </c>
      <c r="K41" s="133" t="s">
        <v>39</v>
      </c>
      <c r="L41" s="133" t="s">
        <v>27</v>
      </c>
      <c r="M41" s="133" t="s">
        <v>33</v>
      </c>
      <c r="N41" s="133" t="s">
        <v>25</v>
      </c>
      <c r="O41" s="133" t="s">
        <v>29</v>
      </c>
      <c r="P41" s="133" t="s">
        <v>35</v>
      </c>
      <c r="R41" s="134" t="s">
        <v>30</v>
      </c>
      <c r="S41" s="133">
        <v>31</v>
      </c>
      <c r="T41" s="121">
        <f t="shared" si="1"/>
        <v>0.75</v>
      </c>
      <c r="U41" s="121">
        <f t="shared" si="2"/>
        <v>0.25</v>
      </c>
      <c r="W41" s="119">
        <v>38</v>
      </c>
      <c r="X41" s="133">
        <v>122</v>
      </c>
      <c r="Y41" s="133">
        <v>83</v>
      </c>
      <c r="Z41" s="121">
        <f t="shared" si="3"/>
        <v>205</v>
      </c>
      <c r="AA41" s="121">
        <f t="shared" si="4"/>
        <v>0.83333333333333337</v>
      </c>
      <c r="AB41" s="121">
        <f>IF(AND($X$2&lt;Z41,Z41&lt;$Y$2),(Z41-$X$2)/($Y$2-$X$2),IF(AND($Y$2&lt;=Z41,Z41&lt;$Z$2),($Z$2-Z41)/($Z$2-$Y$2), IF(OR(Z41&lt;=$X$2,Z41&gt;=$Z$2),0,salah)))</f>
        <v>0.16666666666666666</v>
      </c>
      <c r="AC41" s="121">
        <f t="shared" si="5"/>
        <v>0</v>
      </c>
      <c r="AE41" s="134">
        <v>89</v>
      </c>
      <c r="AF41" s="121">
        <f t="shared" si="6"/>
        <v>1</v>
      </c>
      <c r="AG41" s="121">
        <f t="shared" si="7"/>
        <v>0</v>
      </c>
      <c r="AI41" s="4">
        <f t="shared" si="8"/>
        <v>31.301350186727948</v>
      </c>
      <c r="AJ41" s="121">
        <f t="shared" si="9"/>
        <v>0</v>
      </c>
      <c r="AK41" s="121">
        <f t="shared" si="10"/>
        <v>1</v>
      </c>
      <c r="AM41" s="134" t="s">
        <v>31</v>
      </c>
      <c r="AN41" s="121">
        <f t="shared" si="11"/>
        <v>0</v>
      </c>
      <c r="AO41" s="121">
        <f t="shared" si="12"/>
        <v>0</v>
      </c>
      <c r="AP41" s="121">
        <f t="shared" si="13"/>
        <v>1</v>
      </c>
      <c r="AR41" s="134" t="s">
        <v>39</v>
      </c>
      <c r="AS41" s="121">
        <f t="shared" si="14"/>
        <v>1</v>
      </c>
      <c r="AT41" s="121">
        <f t="shared" si="15"/>
        <v>1</v>
      </c>
      <c r="AU41" s="121">
        <f t="shared" si="16"/>
        <v>0</v>
      </c>
      <c r="AW41" s="134" t="s">
        <v>32</v>
      </c>
      <c r="AX41" s="121">
        <f t="shared" si="17"/>
        <v>1</v>
      </c>
      <c r="AY41" s="121">
        <f t="shared" si="18"/>
        <v>1</v>
      </c>
      <c r="AZ41" s="121">
        <f t="shared" si="19"/>
        <v>0</v>
      </c>
      <c r="BB41" s="134" t="s">
        <v>28</v>
      </c>
      <c r="BC41" s="121">
        <f t="shared" si="20"/>
        <v>0</v>
      </c>
      <c r="BD41" s="121">
        <f t="shared" si="21"/>
        <v>0</v>
      </c>
      <c r="BE41" s="121">
        <f t="shared" si="22"/>
        <v>1</v>
      </c>
      <c r="BG41" s="134" t="s">
        <v>31</v>
      </c>
      <c r="BH41" s="121">
        <f t="shared" si="23"/>
        <v>0</v>
      </c>
      <c r="BI41" s="121">
        <f t="shared" si="24"/>
        <v>0</v>
      </c>
      <c r="BJ41" s="121">
        <f t="shared" si="25"/>
        <v>1</v>
      </c>
      <c r="BL41" s="134" t="s">
        <v>29</v>
      </c>
      <c r="BM41" s="121">
        <f t="shared" si="26"/>
        <v>0.5</v>
      </c>
      <c r="BN41" s="121">
        <f t="shared" si="27"/>
        <v>0</v>
      </c>
      <c r="BO41" s="121">
        <f>IF(AND($BL$2&lt;BM41,BM41&lt;$BM$2),(BM41-$BL$2)/($BM$2-$BL$2),IF(AND($BM$2&lt;=BM41,BM41&lt;$BN$2),($BN$2-BM41)/($BN$2-$BM$2), IF(OR(BM41&lt;=$BL$2,BM41&gt;=$BN$2),0,salah)))</f>
        <v>1</v>
      </c>
      <c r="BP41" s="121">
        <f t="shared" si="28"/>
        <v>0</v>
      </c>
    </row>
    <row r="42" spans="1:68" ht="15.6" x14ac:dyDescent="0.3">
      <c r="A42" s="133">
        <v>40</v>
      </c>
      <c r="B42" s="133">
        <v>41</v>
      </c>
      <c r="C42" s="6" t="s">
        <v>37</v>
      </c>
      <c r="D42" s="133">
        <v>132</v>
      </c>
      <c r="E42" s="133">
        <v>101</v>
      </c>
      <c r="F42" s="133">
        <v>97</v>
      </c>
      <c r="G42" s="133">
        <v>1.5</v>
      </c>
      <c r="H42" s="133">
        <v>60.5</v>
      </c>
      <c r="I42" s="4">
        <f t="shared" si="0"/>
        <v>26.888888888888889</v>
      </c>
      <c r="J42" s="133" t="s">
        <v>31</v>
      </c>
      <c r="K42" s="133" t="s">
        <v>26</v>
      </c>
      <c r="L42" s="133" t="s">
        <v>32</v>
      </c>
      <c r="M42" s="133" t="s">
        <v>28</v>
      </c>
      <c r="N42" s="133" t="s">
        <v>31</v>
      </c>
      <c r="O42" s="133" t="s">
        <v>29</v>
      </c>
      <c r="P42" s="133" t="s">
        <v>30</v>
      </c>
      <c r="R42" s="134" t="s">
        <v>35</v>
      </c>
      <c r="S42" s="133">
        <v>40</v>
      </c>
      <c r="T42" s="121">
        <f t="shared" si="1"/>
        <v>0.3</v>
      </c>
      <c r="U42" s="121">
        <f t="shared" si="2"/>
        <v>0.7</v>
      </c>
      <c r="W42" s="119">
        <v>39</v>
      </c>
      <c r="X42" s="133">
        <v>173</v>
      </c>
      <c r="Y42" s="133">
        <v>103</v>
      </c>
      <c r="Z42" s="121">
        <f t="shared" si="3"/>
        <v>276</v>
      </c>
      <c r="AA42" s="121">
        <f t="shared" si="4"/>
        <v>0</v>
      </c>
      <c r="AB42" s="121">
        <f>IF(AND($X$2&lt;Z42,Z42&lt;$Y$2),(Z42-$X$2)/($Y$2-$X$2),IF(AND($Y$2&lt;=Z42,Z42&lt;$Z$2),($Z$2-Z42)/($Z$2-$Y$2), IF(OR(Z42&lt;=$X$2,Z42&gt;=$Z$2),0,salah)))</f>
        <v>0</v>
      </c>
      <c r="AC42" s="121">
        <f t="shared" si="5"/>
        <v>1</v>
      </c>
      <c r="AE42" s="134">
        <v>95</v>
      </c>
      <c r="AF42" s="121">
        <f t="shared" si="6"/>
        <v>0.5</v>
      </c>
      <c r="AG42" s="121">
        <f t="shared" si="7"/>
        <v>0.5</v>
      </c>
      <c r="AI42" s="4">
        <f t="shared" si="8"/>
        <v>29.052116714454382</v>
      </c>
      <c r="AJ42" s="121">
        <f t="shared" si="9"/>
        <v>0</v>
      </c>
      <c r="AK42" s="121">
        <f t="shared" si="10"/>
        <v>1</v>
      </c>
      <c r="AM42" s="134" t="s">
        <v>31</v>
      </c>
      <c r="AN42" s="121">
        <f t="shared" si="11"/>
        <v>0</v>
      </c>
      <c r="AO42" s="121">
        <f t="shared" si="12"/>
        <v>0</v>
      </c>
      <c r="AP42" s="121">
        <f t="shared" si="13"/>
        <v>1</v>
      </c>
      <c r="AR42" s="134" t="s">
        <v>39</v>
      </c>
      <c r="AS42" s="121">
        <f t="shared" si="14"/>
        <v>1</v>
      </c>
      <c r="AT42" s="121">
        <f t="shared" si="15"/>
        <v>1</v>
      </c>
      <c r="AU42" s="121">
        <f t="shared" si="16"/>
        <v>0</v>
      </c>
      <c r="AW42" s="134" t="s">
        <v>27</v>
      </c>
      <c r="AX42" s="121">
        <f t="shared" si="17"/>
        <v>0</v>
      </c>
      <c r="AY42" s="121">
        <f t="shared" si="18"/>
        <v>0</v>
      </c>
      <c r="AZ42" s="121">
        <f t="shared" si="19"/>
        <v>1</v>
      </c>
      <c r="BB42" s="134" t="s">
        <v>33</v>
      </c>
      <c r="BC42" s="121">
        <f t="shared" si="20"/>
        <v>1</v>
      </c>
      <c r="BD42" s="121">
        <f t="shared" si="21"/>
        <v>1</v>
      </c>
      <c r="BE42" s="121">
        <f t="shared" si="22"/>
        <v>0</v>
      </c>
      <c r="BG42" s="134" t="s">
        <v>25</v>
      </c>
      <c r="BH42" s="121">
        <f t="shared" si="23"/>
        <v>1</v>
      </c>
      <c r="BI42" s="121">
        <f t="shared" si="24"/>
        <v>1</v>
      </c>
      <c r="BJ42" s="121">
        <f t="shared" si="25"/>
        <v>0</v>
      </c>
      <c r="BL42" s="134" t="s">
        <v>29</v>
      </c>
      <c r="BM42" s="121">
        <f t="shared" si="26"/>
        <v>0.5</v>
      </c>
      <c r="BN42" s="121">
        <f t="shared" si="27"/>
        <v>0</v>
      </c>
      <c r="BO42" s="121">
        <f>IF(AND($BL$2&lt;BM42,BM42&lt;$BM$2),(BM42-$BL$2)/($BM$2-$BL$2),IF(AND($BM$2&lt;=BM42,BM42&lt;$BN$2),($BN$2-BM42)/($BN$2-$BM$2), IF(OR(BM42&lt;=$BL$2,BM42&gt;=$BN$2),0,salah)))</f>
        <v>1</v>
      </c>
      <c r="BP42" s="121">
        <f t="shared" si="28"/>
        <v>0</v>
      </c>
    </row>
    <row r="43" spans="1:68" ht="15.6" x14ac:dyDescent="0.3">
      <c r="A43" s="133">
        <v>41</v>
      </c>
      <c r="B43" s="133">
        <v>35</v>
      </c>
      <c r="C43" s="6" t="s">
        <v>24</v>
      </c>
      <c r="D43" s="133">
        <v>123</v>
      </c>
      <c r="E43" s="133">
        <v>86</v>
      </c>
      <c r="F43" s="133">
        <v>71</v>
      </c>
      <c r="G43" s="133">
        <v>1.615</v>
      </c>
      <c r="H43" s="133">
        <v>50.7</v>
      </c>
      <c r="I43" s="4">
        <f t="shared" si="0"/>
        <v>19.438507030643446</v>
      </c>
      <c r="J43" s="133" t="s">
        <v>25</v>
      </c>
      <c r="K43" s="133" t="s">
        <v>39</v>
      </c>
      <c r="L43" s="133" t="s">
        <v>27</v>
      </c>
      <c r="M43" s="133" t="s">
        <v>28</v>
      </c>
      <c r="N43" s="133" t="s">
        <v>25</v>
      </c>
      <c r="O43" s="133" t="s">
        <v>34</v>
      </c>
      <c r="P43" s="133" t="s">
        <v>30</v>
      </c>
      <c r="R43" s="134" t="s">
        <v>30</v>
      </c>
      <c r="S43" s="133">
        <v>41</v>
      </c>
      <c r="T43" s="121">
        <f t="shared" si="1"/>
        <v>0.25</v>
      </c>
      <c r="U43" s="121">
        <f t="shared" si="2"/>
        <v>0.75</v>
      </c>
      <c r="W43" s="119">
        <v>40</v>
      </c>
      <c r="X43" s="133">
        <v>132</v>
      </c>
      <c r="Y43" s="133">
        <v>101</v>
      </c>
      <c r="Z43" s="121">
        <f t="shared" si="3"/>
        <v>233</v>
      </c>
      <c r="AA43" s="121">
        <f t="shared" si="4"/>
        <v>0</v>
      </c>
      <c r="AB43" s="121">
        <f>IF(AND($X$2&lt;Z43,Z43&lt;$Y$2),(Z43-$X$2)/($Y$2-$X$2),IF(AND($Y$2&lt;=Z43,Z43&lt;$Z$2),($Z$2-Z43)/($Z$2-$Y$2), IF(OR(Z43&lt;=$X$2,Z43&gt;=$Z$2),0,salah)))</f>
        <v>0.92500000000000004</v>
      </c>
      <c r="AC43" s="121">
        <f t="shared" si="5"/>
        <v>7.4999999999999997E-2</v>
      </c>
      <c r="AE43" s="134">
        <v>97</v>
      </c>
      <c r="AF43" s="121">
        <f t="shared" si="6"/>
        <v>0.3</v>
      </c>
      <c r="AG43" s="121">
        <f t="shared" si="7"/>
        <v>0.7</v>
      </c>
      <c r="AI43" s="4">
        <f t="shared" si="8"/>
        <v>26.888888888888889</v>
      </c>
      <c r="AJ43" s="121">
        <f t="shared" si="9"/>
        <v>1.2345679012345635E-2</v>
      </c>
      <c r="AK43" s="121">
        <f t="shared" si="10"/>
        <v>0.98765432098765438</v>
      </c>
      <c r="AM43" s="134" t="s">
        <v>31</v>
      </c>
      <c r="AN43" s="121">
        <f t="shared" si="11"/>
        <v>0</v>
      </c>
      <c r="AO43" s="121">
        <f t="shared" si="12"/>
        <v>0</v>
      </c>
      <c r="AP43" s="121">
        <f t="shared" si="13"/>
        <v>1</v>
      </c>
      <c r="AR43" s="134" t="s">
        <v>26</v>
      </c>
      <c r="AS43" s="121">
        <f t="shared" si="14"/>
        <v>0</v>
      </c>
      <c r="AT43" s="121">
        <f t="shared" si="15"/>
        <v>0</v>
      </c>
      <c r="AU43" s="121">
        <f t="shared" si="16"/>
        <v>1</v>
      </c>
      <c r="AW43" s="134" t="s">
        <v>32</v>
      </c>
      <c r="AX43" s="121">
        <f t="shared" si="17"/>
        <v>1</v>
      </c>
      <c r="AY43" s="121">
        <f t="shared" si="18"/>
        <v>1</v>
      </c>
      <c r="AZ43" s="121">
        <f t="shared" si="19"/>
        <v>0</v>
      </c>
      <c r="BB43" s="134" t="s">
        <v>28</v>
      </c>
      <c r="BC43" s="121">
        <f t="shared" si="20"/>
        <v>0</v>
      </c>
      <c r="BD43" s="121">
        <f t="shared" si="21"/>
        <v>0</v>
      </c>
      <c r="BE43" s="121">
        <f t="shared" si="22"/>
        <v>1</v>
      </c>
      <c r="BG43" s="134" t="s">
        <v>31</v>
      </c>
      <c r="BH43" s="121">
        <f t="shared" si="23"/>
        <v>0</v>
      </c>
      <c r="BI43" s="121">
        <f t="shared" si="24"/>
        <v>0</v>
      </c>
      <c r="BJ43" s="121">
        <f t="shared" si="25"/>
        <v>1</v>
      </c>
      <c r="BL43" s="134" t="s">
        <v>29</v>
      </c>
      <c r="BM43" s="121">
        <f t="shared" si="26"/>
        <v>0.5</v>
      </c>
      <c r="BN43" s="121">
        <f t="shared" si="27"/>
        <v>0</v>
      </c>
      <c r="BO43" s="121">
        <f>IF(AND($BL$2&lt;BM43,BM43&lt;$BM$2),(BM43-$BL$2)/($BM$2-$BL$2),IF(AND($BM$2&lt;=BM43,BM43&lt;$BN$2),($BN$2-BM43)/($BN$2-$BM$2), IF(OR(BM43&lt;=$BL$2,BM43&gt;=$BN$2),0,salah)))</f>
        <v>1</v>
      </c>
      <c r="BP43" s="121">
        <f t="shared" si="28"/>
        <v>0</v>
      </c>
    </row>
    <row r="44" spans="1:68" ht="15.6" x14ac:dyDescent="0.3">
      <c r="A44" s="133">
        <v>42</v>
      </c>
      <c r="B44" s="133">
        <v>36</v>
      </c>
      <c r="C44" s="6" t="s">
        <v>37</v>
      </c>
      <c r="D44" s="133">
        <v>127</v>
      </c>
      <c r="E44" s="133">
        <v>98</v>
      </c>
      <c r="F44" s="133">
        <v>101</v>
      </c>
      <c r="G44" s="133">
        <v>1.6</v>
      </c>
      <c r="H44" s="133">
        <v>75.400000000000006</v>
      </c>
      <c r="I44" s="4">
        <f t="shared" si="0"/>
        <v>29.453124999999996</v>
      </c>
      <c r="J44" s="133" t="s">
        <v>31</v>
      </c>
      <c r="K44" s="133" t="s">
        <v>39</v>
      </c>
      <c r="L44" s="133" t="s">
        <v>27</v>
      </c>
      <c r="M44" s="133" t="s">
        <v>28</v>
      </c>
      <c r="N44" s="133" t="s">
        <v>31</v>
      </c>
      <c r="O44" s="133" t="s">
        <v>34</v>
      </c>
      <c r="P44" s="133" t="s">
        <v>30</v>
      </c>
      <c r="R44" s="134" t="s">
        <v>30</v>
      </c>
      <c r="S44" s="133">
        <v>35</v>
      </c>
      <c r="T44" s="121">
        <f t="shared" si="1"/>
        <v>0.55000000000000004</v>
      </c>
      <c r="U44" s="121">
        <f t="shared" si="2"/>
        <v>0.45</v>
      </c>
      <c r="W44" s="119">
        <v>41</v>
      </c>
      <c r="X44" s="133">
        <v>123</v>
      </c>
      <c r="Y44" s="133">
        <v>86</v>
      </c>
      <c r="Z44" s="121">
        <f t="shared" si="3"/>
        <v>209</v>
      </c>
      <c r="AA44" s="121">
        <f t="shared" si="4"/>
        <v>0.7</v>
      </c>
      <c r="AB44" s="121">
        <f>IF(AND($X$2&lt;Z44,Z44&lt;$Y$2),(Z44-$X$2)/($Y$2-$X$2),IF(AND($Y$2&lt;=Z44,Z44&lt;$Z$2),($Z$2-Z44)/($Z$2-$Y$2), IF(OR(Z44&lt;=$X$2,Z44&gt;=$Z$2),0,salah)))</f>
        <v>0.3</v>
      </c>
      <c r="AC44" s="121">
        <f t="shared" si="5"/>
        <v>0</v>
      </c>
      <c r="AE44" s="134">
        <v>71</v>
      </c>
      <c r="AF44" s="121">
        <f t="shared" si="6"/>
        <v>1</v>
      </c>
      <c r="AG44" s="121">
        <f t="shared" si="7"/>
        <v>0</v>
      </c>
      <c r="AI44" s="4">
        <f t="shared" si="8"/>
        <v>19.438507030643446</v>
      </c>
      <c r="AJ44" s="121">
        <f t="shared" si="9"/>
        <v>0.84016588548406146</v>
      </c>
      <c r="AK44" s="121">
        <f t="shared" si="10"/>
        <v>0.15983411451593849</v>
      </c>
      <c r="AM44" s="134" t="s">
        <v>25</v>
      </c>
      <c r="AN44" s="121">
        <f t="shared" si="11"/>
        <v>1</v>
      </c>
      <c r="AO44" s="121">
        <f t="shared" si="12"/>
        <v>1</v>
      </c>
      <c r="AP44" s="121">
        <f t="shared" si="13"/>
        <v>0</v>
      </c>
      <c r="AR44" s="134" t="s">
        <v>39</v>
      </c>
      <c r="AS44" s="121">
        <f t="shared" si="14"/>
        <v>1</v>
      </c>
      <c r="AT44" s="121">
        <f t="shared" si="15"/>
        <v>1</v>
      </c>
      <c r="AU44" s="121">
        <f t="shared" si="16"/>
        <v>0</v>
      </c>
      <c r="AW44" s="134" t="s">
        <v>27</v>
      </c>
      <c r="AX44" s="121">
        <f t="shared" si="17"/>
        <v>0</v>
      </c>
      <c r="AY44" s="121">
        <f t="shared" si="18"/>
        <v>0</v>
      </c>
      <c r="AZ44" s="121">
        <f t="shared" si="19"/>
        <v>1</v>
      </c>
      <c r="BB44" s="134" t="s">
        <v>28</v>
      </c>
      <c r="BC44" s="121">
        <f t="shared" si="20"/>
        <v>0</v>
      </c>
      <c r="BD44" s="121">
        <f t="shared" si="21"/>
        <v>0</v>
      </c>
      <c r="BE44" s="121">
        <f t="shared" si="22"/>
        <v>1</v>
      </c>
      <c r="BG44" s="134" t="s">
        <v>25</v>
      </c>
      <c r="BH44" s="121">
        <f t="shared" si="23"/>
        <v>1</v>
      </c>
      <c r="BI44" s="121">
        <f t="shared" si="24"/>
        <v>1</v>
      </c>
      <c r="BJ44" s="121">
        <f t="shared" si="25"/>
        <v>0</v>
      </c>
      <c r="BL44" s="134" t="s">
        <v>34</v>
      </c>
      <c r="BM44" s="121">
        <f t="shared" si="26"/>
        <v>0</v>
      </c>
      <c r="BN44" s="121">
        <f t="shared" si="27"/>
        <v>1</v>
      </c>
      <c r="BO44" s="121">
        <f>IF(AND($BL$2&lt;BM44,BM44&lt;$BM$2),(BM44-$BL$2)/($BM$2-$BL$2),IF(AND($BM$2&lt;=BM44,BM44&lt;$BN$2),($BN$2-BM44)/($BN$2-$BM$2), IF(OR(BM44&lt;=$BL$2,BM44&gt;=$BN$2),0,salah)))</f>
        <v>0</v>
      </c>
      <c r="BP44" s="121">
        <f t="shared" si="28"/>
        <v>0</v>
      </c>
    </row>
    <row r="45" spans="1:68" ht="15.6" x14ac:dyDescent="0.3">
      <c r="A45" s="133">
        <v>43</v>
      </c>
      <c r="B45" s="133">
        <v>55</v>
      </c>
      <c r="C45" s="6" t="s">
        <v>37</v>
      </c>
      <c r="D45" s="133">
        <v>161</v>
      </c>
      <c r="E45" s="133">
        <v>100</v>
      </c>
      <c r="F45" s="133">
        <v>98</v>
      </c>
      <c r="G45" s="133">
        <v>1.42</v>
      </c>
      <c r="H45" s="133">
        <v>58.6</v>
      </c>
      <c r="I45" s="4">
        <f t="shared" si="0"/>
        <v>29.061694108311844</v>
      </c>
      <c r="J45" s="133" t="s">
        <v>31</v>
      </c>
      <c r="K45" s="133" t="s">
        <v>26</v>
      </c>
      <c r="L45" s="133" t="s">
        <v>32</v>
      </c>
      <c r="M45" s="133" t="s">
        <v>33</v>
      </c>
      <c r="N45" s="133" t="s">
        <v>31</v>
      </c>
      <c r="O45" s="133" t="s">
        <v>38</v>
      </c>
      <c r="P45" s="133" t="s">
        <v>35</v>
      </c>
      <c r="R45" s="134" t="s">
        <v>30</v>
      </c>
      <c r="S45" s="133">
        <v>36</v>
      </c>
      <c r="T45" s="121">
        <f t="shared" si="1"/>
        <v>0.5</v>
      </c>
      <c r="U45" s="121">
        <f t="shared" si="2"/>
        <v>0.5</v>
      </c>
      <c r="W45" s="119">
        <v>42</v>
      </c>
      <c r="X45" s="133">
        <v>127</v>
      </c>
      <c r="Y45" s="133">
        <v>98</v>
      </c>
      <c r="Z45" s="121">
        <f t="shared" si="3"/>
        <v>225</v>
      </c>
      <c r="AA45" s="121">
        <f t="shared" si="4"/>
        <v>0.16666666666666666</v>
      </c>
      <c r="AB45" s="121">
        <f>IF(AND($X$2&lt;Z45,Z45&lt;$Y$2),(Z45-$X$2)/($Y$2-$X$2),IF(AND($Y$2&lt;=Z45,Z45&lt;$Z$2),($Z$2-Z45)/($Z$2-$Y$2), IF(OR(Z45&lt;=$X$2,Z45&gt;=$Z$2),0,salah)))</f>
        <v>0.83333333333333337</v>
      </c>
      <c r="AC45" s="121">
        <f t="shared" si="5"/>
        <v>0</v>
      </c>
      <c r="AE45" s="134">
        <v>101</v>
      </c>
      <c r="AF45" s="121">
        <f t="shared" si="6"/>
        <v>0</v>
      </c>
      <c r="AG45" s="121">
        <f t="shared" si="7"/>
        <v>1</v>
      </c>
      <c r="AI45" s="4">
        <f t="shared" si="8"/>
        <v>29.453124999999996</v>
      </c>
      <c r="AJ45" s="121">
        <f t="shared" si="9"/>
        <v>0</v>
      </c>
      <c r="AK45" s="121">
        <f t="shared" si="10"/>
        <v>1</v>
      </c>
      <c r="AM45" s="134" t="s">
        <v>31</v>
      </c>
      <c r="AN45" s="121">
        <f t="shared" si="11"/>
        <v>0</v>
      </c>
      <c r="AO45" s="121">
        <f t="shared" si="12"/>
        <v>0</v>
      </c>
      <c r="AP45" s="121">
        <f t="shared" si="13"/>
        <v>1</v>
      </c>
      <c r="AR45" s="134" t="s">
        <v>39</v>
      </c>
      <c r="AS45" s="121">
        <f t="shared" si="14"/>
        <v>1</v>
      </c>
      <c r="AT45" s="121">
        <f t="shared" si="15"/>
        <v>1</v>
      </c>
      <c r="AU45" s="121">
        <f t="shared" si="16"/>
        <v>0</v>
      </c>
      <c r="AW45" s="134" t="s">
        <v>27</v>
      </c>
      <c r="AX45" s="121">
        <f t="shared" si="17"/>
        <v>0</v>
      </c>
      <c r="AY45" s="121">
        <f t="shared" si="18"/>
        <v>0</v>
      </c>
      <c r="AZ45" s="121">
        <f t="shared" si="19"/>
        <v>1</v>
      </c>
      <c r="BB45" s="134" t="s">
        <v>28</v>
      </c>
      <c r="BC45" s="121">
        <f t="shared" si="20"/>
        <v>0</v>
      </c>
      <c r="BD45" s="121">
        <f t="shared" si="21"/>
        <v>0</v>
      </c>
      <c r="BE45" s="121">
        <f t="shared" si="22"/>
        <v>1</v>
      </c>
      <c r="BG45" s="134" t="s">
        <v>31</v>
      </c>
      <c r="BH45" s="121">
        <f t="shared" si="23"/>
        <v>0</v>
      </c>
      <c r="BI45" s="121">
        <f t="shared" si="24"/>
        <v>0</v>
      </c>
      <c r="BJ45" s="121">
        <f t="shared" si="25"/>
        <v>1</v>
      </c>
      <c r="BL45" s="134" t="s">
        <v>34</v>
      </c>
      <c r="BM45" s="121">
        <f t="shared" si="26"/>
        <v>0</v>
      </c>
      <c r="BN45" s="121">
        <f t="shared" si="27"/>
        <v>1</v>
      </c>
      <c r="BO45" s="121">
        <f>IF(AND($BL$2&lt;BM45,BM45&lt;$BM$2),(BM45-$BL$2)/($BM$2-$BL$2),IF(AND($BM$2&lt;=BM45,BM45&lt;$BN$2),($BN$2-BM45)/($BN$2-$BM$2), IF(OR(BM45&lt;=$BL$2,BM45&gt;=$BN$2),0,salah)))</f>
        <v>0</v>
      </c>
      <c r="BP45" s="121">
        <f t="shared" si="28"/>
        <v>0</v>
      </c>
    </row>
    <row r="46" spans="1:68" ht="15.6" x14ac:dyDescent="0.3">
      <c r="A46" s="133">
        <v>44</v>
      </c>
      <c r="B46" s="133">
        <v>37</v>
      </c>
      <c r="C46" s="6" t="s">
        <v>37</v>
      </c>
      <c r="D46" s="133">
        <v>165</v>
      </c>
      <c r="E46" s="133">
        <v>90</v>
      </c>
      <c r="F46" s="133">
        <v>85</v>
      </c>
      <c r="G46" s="133">
        <v>1.4450000000000001</v>
      </c>
      <c r="H46" s="133">
        <v>53.3</v>
      </c>
      <c r="I46" s="4">
        <f t="shared" si="0"/>
        <v>25.526514289819325</v>
      </c>
      <c r="J46" s="133" t="s">
        <v>31</v>
      </c>
      <c r="K46" s="133" t="s">
        <v>26</v>
      </c>
      <c r="L46" s="133" t="s">
        <v>27</v>
      </c>
      <c r="M46" s="133" t="s">
        <v>33</v>
      </c>
      <c r="N46" s="133" t="s">
        <v>25</v>
      </c>
      <c r="O46" s="133" t="s">
        <v>38</v>
      </c>
      <c r="P46" s="133" t="s">
        <v>35</v>
      </c>
      <c r="R46" s="134" t="s">
        <v>35</v>
      </c>
      <c r="S46" s="133">
        <v>55</v>
      </c>
      <c r="T46" s="121">
        <f t="shared" si="1"/>
        <v>0</v>
      </c>
      <c r="U46" s="121">
        <f t="shared" si="2"/>
        <v>1</v>
      </c>
      <c r="W46" s="119">
        <v>43</v>
      </c>
      <c r="X46" s="133">
        <v>161</v>
      </c>
      <c r="Y46" s="133">
        <v>100</v>
      </c>
      <c r="Z46" s="121">
        <f t="shared" si="3"/>
        <v>261</v>
      </c>
      <c r="AA46" s="121">
        <f t="shared" si="4"/>
        <v>0</v>
      </c>
      <c r="AB46" s="121">
        <f>IF(AND($X$2&lt;Z46,Z46&lt;$Y$2),(Z46-$X$2)/($Y$2-$X$2),IF(AND($Y$2&lt;=Z46,Z46&lt;$Z$2),($Z$2-Z46)/($Z$2-$Y$2), IF(OR(Z46&lt;=$X$2,Z46&gt;=$Z$2),0,salah)))</f>
        <v>0.22500000000000001</v>
      </c>
      <c r="AC46" s="121">
        <f t="shared" si="5"/>
        <v>0.77500000000000002</v>
      </c>
      <c r="AE46" s="134">
        <v>98</v>
      </c>
      <c r="AF46" s="121">
        <f t="shared" si="6"/>
        <v>0.2</v>
      </c>
      <c r="AG46" s="121">
        <f t="shared" si="7"/>
        <v>0.8</v>
      </c>
      <c r="AI46" s="4">
        <f t="shared" si="8"/>
        <v>29.061694108311844</v>
      </c>
      <c r="AJ46" s="121">
        <f t="shared" si="9"/>
        <v>0</v>
      </c>
      <c r="AK46" s="121">
        <f t="shared" si="10"/>
        <v>1</v>
      </c>
      <c r="AM46" s="134" t="s">
        <v>31</v>
      </c>
      <c r="AN46" s="121">
        <f t="shared" si="11"/>
        <v>0</v>
      </c>
      <c r="AO46" s="121">
        <f t="shared" si="12"/>
        <v>0</v>
      </c>
      <c r="AP46" s="121">
        <f t="shared" si="13"/>
        <v>1</v>
      </c>
      <c r="AR46" s="134" t="s">
        <v>26</v>
      </c>
      <c r="AS46" s="121">
        <f t="shared" si="14"/>
        <v>0</v>
      </c>
      <c r="AT46" s="121">
        <f t="shared" si="15"/>
        <v>0</v>
      </c>
      <c r="AU46" s="121">
        <f t="shared" si="16"/>
        <v>1</v>
      </c>
      <c r="AW46" s="134" t="s">
        <v>32</v>
      </c>
      <c r="AX46" s="121">
        <f t="shared" si="17"/>
        <v>1</v>
      </c>
      <c r="AY46" s="121">
        <f t="shared" si="18"/>
        <v>1</v>
      </c>
      <c r="AZ46" s="121">
        <f t="shared" si="19"/>
        <v>0</v>
      </c>
      <c r="BB46" s="134" t="s">
        <v>33</v>
      </c>
      <c r="BC46" s="121">
        <f t="shared" si="20"/>
        <v>1</v>
      </c>
      <c r="BD46" s="121">
        <f t="shared" si="21"/>
        <v>1</v>
      </c>
      <c r="BE46" s="121">
        <f t="shared" si="22"/>
        <v>0</v>
      </c>
      <c r="BG46" s="134" t="s">
        <v>31</v>
      </c>
      <c r="BH46" s="121">
        <f t="shared" si="23"/>
        <v>0</v>
      </c>
      <c r="BI46" s="121">
        <f t="shared" si="24"/>
        <v>0</v>
      </c>
      <c r="BJ46" s="121">
        <f t="shared" si="25"/>
        <v>1</v>
      </c>
      <c r="BL46" s="134" t="s">
        <v>38</v>
      </c>
      <c r="BM46" s="121">
        <f t="shared" si="26"/>
        <v>1</v>
      </c>
      <c r="BN46" s="121">
        <f t="shared" si="27"/>
        <v>0</v>
      </c>
      <c r="BO46" s="121">
        <f>IF(AND($BL$2&lt;BM46,BM46&lt;$BM$2),(BM46-$BL$2)/($BM$2-$BL$2),IF(AND($BM$2&lt;=BM46,BM46&lt;$BN$2),($BN$2-BM46)/($BN$2-$BM$2), IF(OR(BM46&lt;=$BL$2,BM46&gt;=$BN$2),0,salah)))</f>
        <v>0</v>
      </c>
      <c r="BP46" s="121">
        <f t="shared" si="28"/>
        <v>1</v>
      </c>
    </row>
    <row r="47" spans="1:68" ht="15.6" x14ac:dyDescent="0.3">
      <c r="A47" s="133">
        <v>45</v>
      </c>
      <c r="B47" s="133">
        <v>70</v>
      </c>
      <c r="C47" s="6" t="s">
        <v>37</v>
      </c>
      <c r="D47" s="133">
        <v>166</v>
      </c>
      <c r="E47" s="133">
        <v>87</v>
      </c>
      <c r="F47" s="133">
        <v>85</v>
      </c>
      <c r="G47" s="133">
        <v>1.405</v>
      </c>
      <c r="H47" s="133">
        <v>38.9</v>
      </c>
      <c r="I47" s="4">
        <f t="shared" si="0"/>
        <v>19.705930775952684</v>
      </c>
      <c r="J47" s="133" t="s">
        <v>31</v>
      </c>
      <c r="K47" s="133" t="s">
        <v>39</v>
      </c>
      <c r="L47" s="133" t="s">
        <v>27</v>
      </c>
      <c r="M47" s="133" t="s">
        <v>33</v>
      </c>
      <c r="N47" s="133" t="s">
        <v>25</v>
      </c>
      <c r="O47" s="133" t="s">
        <v>38</v>
      </c>
      <c r="P47" s="133" t="s">
        <v>35</v>
      </c>
      <c r="R47" s="134" t="s">
        <v>35</v>
      </c>
      <c r="S47" s="133">
        <v>37</v>
      </c>
      <c r="T47" s="121">
        <f t="shared" si="1"/>
        <v>0.45</v>
      </c>
      <c r="U47" s="121">
        <f t="shared" si="2"/>
        <v>0.55000000000000004</v>
      </c>
      <c r="W47" s="119">
        <v>44</v>
      </c>
      <c r="X47" s="133">
        <v>165</v>
      </c>
      <c r="Y47" s="133">
        <v>90</v>
      </c>
      <c r="Z47" s="121">
        <f t="shared" si="3"/>
        <v>255</v>
      </c>
      <c r="AA47" s="121">
        <f t="shared" si="4"/>
        <v>0</v>
      </c>
      <c r="AB47" s="121">
        <f>IF(AND($X$2&lt;Z47,Z47&lt;$Y$2),(Z47-$X$2)/($Y$2-$X$2),IF(AND($Y$2&lt;=Z47,Z47&lt;$Z$2),($Z$2-Z47)/($Z$2-$Y$2), IF(OR(Z47&lt;=$X$2,Z47&gt;=$Z$2),0,salah)))</f>
        <v>0.375</v>
      </c>
      <c r="AC47" s="121">
        <f t="shared" si="5"/>
        <v>0.625</v>
      </c>
      <c r="AE47" s="134">
        <v>85</v>
      </c>
      <c r="AF47" s="121">
        <f t="shared" si="6"/>
        <v>1</v>
      </c>
      <c r="AG47" s="121">
        <f t="shared" si="7"/>
        <v>0</v>
      </c>
      <c r="AI47" s="4">
        <f t="shared" si="8"/>
        <v>25.526514289819325</v>
      </c>
      <c r="AJ47" s="121">
        <f t="shared" si="9"/>
        <v>0.16372063446451948</v>
      </c>
      <c r="AK47" s="121">
        <f t="shared" si="10"/>
        <v>0.83627936553548055</v>
      </c>
      <c r="AM47" s="134" t="s">
        <v>31</v>
      </c>
      <c r="AN47" s="121">
        <f t="shared" si="11"/>
        <v>0</v>
      </c>
      <c r="AO47" s="121">
        <f t="shared" si="12"/>
        <v>0</v>
      </c>
      <c r="AP47" s="121">
        <f t="shared" si="13"/>
        <v>1</v>
      </c>
      <c r="AR47" s="134" t="s">
        <v>26</v>
      </c>
      <c r="AS47" s="121">
        <f t="shared" si="14"/>
        <v>0</v>
      </c>
      <c r="AT47" s="121">
        <f t="shared" si="15"/>
        <v>0</v>
      </c>
      <c r="AU47" s="121">
        <f t="shared" si="16"/>
        <v>1</v>
      </c>
      <c r="AW47" s="134" t="s">
        <v>27</v>
      </c>
      <c r="AX47" s="121">
        <f t="shared" si="17"/>
        <v>0</v>
      </c>
      <c r="AY47" s="121">
        <f t="shared" si="18"/>
        <v>0</v>
      </c>
      <c r="AZ47" s="121">
        <f t="shared" si="19"/>
        <v>1</v>
      </c>
      <c r="BB47" s="134" t="s">
        <v>33</v>
      </c>
      <c r="BC47" s="121">
        <f t="shared" si="20"/>
        <v>1</v>
      </c>
      <c r="BD47" s="121">
        <f t="shared" si="21"/>
        <v>1</v>
      </c>
      <c r="BE47" s="121">
        <f t="shared" si="22"/>
        <v>0</v>
      </c>
      <c r="BG47" s="134" t="s">
        <v>25</v>
      </c>
      <c r="BH47" s="121">
        <f t="shared" si="23"/>
        <v>1</v>
      </c>
      <c r="BI47" s="121">
        <f t="shared" si="24"/>
        <v>1</v>
      </c>
      <c r="BJ47" s="121">
        <f t="shared" si="25"/>
        <v>0</v>
      </c>
      <c r="BL47" s="134" t="s">
        <v>38</v>
      </c>
      <c r="BM47" s="121">
        <f t="shared" si="26"/>
        <v>1</v>
      </c>
      <c r="BN47" s="121">
        <f t="shared" si="27"/>
        <v>0</v>
      </c>
      <c r="BO47" s="121">
        <f>IF(AND($BL$2&lt;BM47,BM47&lt;$BM$2),(BM47-$BL$2)/($BM$2-$BL$2),IF(AND($BM$2&lt;=BM47,BM47&lt;$BN$2),($BN$2-BM47)/($BN$2-$BM$2), IF(OR(BM47&lt;=$BL$2,BM47&gt;=$BN$2),0,salah)))</f>
        <v>0</v>
      </c>
      <c r="BP47" s="121">
        <f t="shared" si="28"/>
        <v>1</v>
      </c>
    </row>
    <row r="48" spans="1:68" ht="15.6" x14ac:dyDescent="0.3">
      <c r="A48" s="133">
        <v>46</v>
      </c>
      <c r="B48" s="133">
        <v>32</v>
      </c>
      <c r="C48" s="6" t="s">
        <v>37</v>
      </c>
      <c r="D48" s="133">
        <v>113</v>
      </c>
      <c r="E48" s="133">
        <v>80</v>
      </c>
      <c r="F48" s="133">
        <v>82</v>
      </c>
      <c r="G48" s="133">
        <v>1.48</v>
      </c>
      <c r="H48" s="133">
        <v>43.7</v>
      </c>
      <c r="I48" s="4">
        <f t="shared" si="0"/>
        <v>19.950693937180425</v>
      </c>
      <c r="J48" s="133" t="s">
        <v>31</v>
      </c>
      <c r="K48" s="133" t="s">
        <v>26</v>
      </c>
      <c r="L48" s="133" t="s">
        <v>27</v>
      </c>
      <c r="M48" s="133" t="s">
        <v>28</v>
      </c>
      <c r="N48" s="133" t="s">
        <v>25</v>
      </c>
      <c r="O48" s="133" t="s">
        <v>29</v>
      </c>
      <c r="P48" s="133" t="s">
        <v>36</v>
      </c>
      <c r="R48" s="134" t="s">
        <v>35</v>
      </c>
      <c r="S48" s="133">
        <v>70</v>
      </c>
      <c r="T48" s="121">
        <f t="shared" si="1"/>
        <v>0</v>
      </c>
      <c r="U48" s="121">
        <f t="shared" si="2"/>
        <v>1</v>
      </c>
      <c r="W48" s="119">
        <v>45</v>
      </c>
      <c r="X48" s="133">
        <v>166</v>
      </c>
      <c r="Y48" s="133">
        <v>87</v>
      </c>
      <c r="Z48" s="121">
        <f t="shared" si="3"/>
        <v>253</v>
      </c>
      <c r="AA48" s="121">
        <f t="shared" si="4"/>
        <v>0</v>
      </c>
      <c r="AB48" s="121">
        <f>IF(AND($X$2&lt;Z48,Z48&lt;$Y$2),(Z48-$X$2)/($Y$2-$X$2),IF(AND($Y$2&lt;=Z48,Z48&lt;$Z$2),($Z$2-Z48)/($Z$2-$Y$2), IF(OR(Z48&lt;=$X$2,Z48&gt;=$Z$2),0,salah)))</f>
        <v>0.42499999999999999</v>
      </c>
      <c r="AC48" s="121">
        <f t="shared" si="5"/>
        <v>0.57499999999999996</v>
      </c>
      <c r="AE48" s="134">
        <v>85</v>
      </c>
      <c r="AF48" s="121">
        <f t="shared" si="6"/>
        <v>1</v>
      </c>
      <c r="AG48" s="121">
        <f t="shared" si="7"/>
        <v>0</v>
      </c>
      <c r="AI48" s="4">
        <f t="shared" si="8"/>
        <v>19.705930775952684</v>
      </c>
      <c r="AJ48" s="121">
        <f t="shared" si="9"/>
        <v>0.81045213600525734</v>
      </c>
      <c r="AK48" s="121">
        <f t="shared" si="10"/>
        <v>0.18954786399474266</v>
      </c>
      <c r="AM48" s="134" t="s">
        <v>31</v>
      </c>
      <c r="AN48" s="121">
        <f t="shared" si="11"/>
        <v>0</v>
      </c>
      <c r="AO48" s="121">
        <f t="shared" si="12"/>
        <v>0</v>
      </c>
      <c r="AP48" s="121">
        <f t="shared" si="13"/>
        <v>1</v>
      </c>
      <c r="AR48" s="134" t="s">
        <v>39</v>
      </c>
      <c r="AS48" s="121">
        <f t="shared" si="14"/>
        <v>1</v>
      </c>
      <c r="AT48" s="121">
        <f t="shared" si="15"/>
        <v>1</v>
      </c>
      <c r="AU48" s="121">
        <f t="shared" si="16"/>
        <v>0</v>
      </c>
      <c r="AW48" s="134" t="s">
        <v>27</v>
      </c>
      <c r="AX48" s="121">
        <f t="shared" si="17"/>
        <v>0</v>
      </c>
      <c r="AY48" s="121">
        <f t="shared" si="18"/>
        <v>0</v>
      </c>
      <c r="AZ48" s="121">
        <f t="shared" si="19"/>
        <v>1</v>
      </c>
      <c r="BB48" s="134" t="s">
        <v>33</v>
      </c>
      <c r="BC48" s="121">
        <f t="shared" si="20"/>
        <v>1</v>
      </c>
      <c r="BD48" s="121">
        <f t="shared" si="21"/>
        <v>1</v>
      </c>
      <c r="BE48" s="121">
        <f t="shared" si="22"/>
        <v>0</v>
      </c>
      <c r="BG48" s="134" t="s">
        <v>25</v>
      </c>
      <c r="BH48" s="121">
        <f t="shared" si="23"/>
        <v>1</v>
      </c>
      <c r="BI48" s="121">
        <f t="shared" si="24"/>
        <v>1</v>
      </c>
      <c r="BJ48" s="121">
        <f t="shared" si="25"/>
        <v>0</v>
      </c>
      <c r="BL48" s="134" t="s">
        <v>38</v>
      </c>
      <c r="BM48" s="121">
        <f t="shared" si="26"/>
        <v>1</v>
      </c>
      <c r="BN48" s="121">
        <f t="shared" si="27"/>
        <v>0</v>
      </c>
      <c r="BO48" s="121">
        <f>IF(AND($BL$2&lt;BM48,BM48&lt;$BM$2),(BM48-$BL$2)/($BM$2-$BL$2),IF(AND($BM$2&lt;=BM48,BM48&lt;$BN$2),($BN$2-BM48)/($BN$2-$BM$2), IF(OR(BM48&lt;=$BL$2,BM48&gt;=$BN$2),0,salah)))</f>
        <v>0</v>
      </c>
      <c r="BP48" s="121">
        <f t="shared" si="28"/>
        <v>1</v>
      </c>
    </row>
    <row r="49" spans="1:68" ht="15.6" x14ac:dyDescent="0.3">
      <c r="A49" s="133">
        <v>47</v>
      </c>
      <c r="B49" s="133">
        <v>61</v>
      </c>
      <c r="C49" s="6" t="s">
        <v>24</v>
      </c>
      <c r="D49" s="133">
        <v>167</v>
      </c>
      <c r="E49" s="133">
        <v>103</v>
      </c>
      <c r="F49" s="133">
        <v>81</v>
      </c>
      <c r="G49" s="133">
        <v>1.52</v>
      </c>
      <c r="H49" s="133">
        <v>44</v>
      </c>
      <c r="I49" s="4">
        <f t="shared" si="0"/>
        <v>19.044321329639889</v>
      </c>
      <c r="J49" s="133" t="s">
        <v>25</v>
      </c>
      <c r="K49" s="133" t="s">
        <v>26</v>
      </c>
      <c r="L49" s="133" t="s">
        <v>27</v>
      </c>
      <c r="M49" s="133" t="s">
        <v>33</v>
      </c>
      <c r="N49" s="133" t="s">
        <v>31</v>
      </c>
      <c r="O49" s="133" t="s">
        <v>29</v>
      </c>
      <c r="P49" s="133" t="s">
        <v>35</v>
      </c>
      <c r="R49" s="134" t="s">
        <v>36</v>
      </c>
      <c r="S49" s="133">
        <v>32</v>
      </c>
      <c r="T49" s="121">
        <f t="shared" si="1"/>
        <v>0.7</v>
      </c>
      <c r="U49" s="121">
        <f t="shared" si="2"/>
        <v>0.3</v>
      </c>
      <c r="W49" s="119">
        <v>46</v>
      </c>
      <c r="X49" s="133">
        <v>113</v>
      </c>
      <c r="Y49" s="133">
        <v>80</v>
      </c>
      <c r="Z49" s="121">
        <f t="shared" si="3"/>
        <v>193</v>
      </c>
      <c r="AA49" s="121">
        <f t="shared" si="4"/>
        <v>1</v>
      </c>
      <c r="AB49" s="121">
        <f>IF(AND($X$2&lt;Z49,Z49&lt;$Y$2),(Z49-$X$2)/($Y$2-$X$2),IF(AND($Y$2&lt;=Z49,Z49&lt;$Z$2),($Z$2-Z49)/($Z$2-$Y$2), IF(OR(Z49&lt;=$X$2,Z49&gt;=$Z$2),0,salah)))</f>
        <v>0</v>
      </c>
      <c r="AC49" s="121">
        <f t="shared" si="5"/>
        <v>0</v>
      </c>
      <c r="AE49" s="134">
        <v>82</v>
      </c>
      <c r="AF49" s="121">
        <f t="shared" si="6"/>
        <v>1</v>
      </c>
      <c r="AG49" s="121">
        <f t="shared" si="7"/>
        <v>0</v>
      </c>
      <c r="AI49" s="4">
        <f t="shared" si="8"/>
        <v>19.950693937180425</v>
      </c>
      <c r="AJ49" s="121">
        <f t="shared" si="9"/>
        <v>0.78325622920217497</v>
      </c>
      <c r="AK49" s="121">
        <f t="shared" si="10"/>
        <v>0.216743770797825</v>
      </c>
      <c r="AM49" s="134" t="s">
        <v>31</v>
      </c>
      <c r="AN49" s="121">
        <f t="shared" si="11"/>
        <v>0</v>
      </c>
      <c r="AO49" s="121">
        <f t="shared" si="12"/>
        <v>0</v>
      </c>
      <c r="AP49" s="121">
        <f t="shared" si="13"/>
        <v>1</v>
      </c>
      <c r="AR49" s="134" t="s">
        <v>26</v>
      </c>
      <c r="AS49" s="121">
        <f t="shared" si="14"/>
        <v>0</v>
      </c>
      <c r="AT49" s="121">
        <f t="shared" si="15"/>
        <v>0</v>
      </c>
      <c r="AU49" s="121">
        <f t="shared" si="16"/>
        <v>1</v>
      </c>
      <c r="AW49" s="134" t="s">
        <v>27</v>
      </c>
      <c r="AX49" s="121">
        <f t="shared" si="17"/>
        <v>0</v>
      </c>
      <c r="AY49" s="121">
        <f t="shared" si="18"/>
        <v>0</v>
      </c>
      <c r="AZ49" s="121">
        <f t="shared" si="19"/>
        <v>1</v>
      </c>
      <c r="BB49" s="134" t="s">
        <v>28</v>
      </c>
      <c r="BC49" s="121">
        <f t="shared" si="20"/>
        <v>0</v>
      </c>
      <c r="BD49" s="121">
        <f t="shared" si="21"/>
        <v>0</v>
      </c>
      <c r="BE49" s="121">
        <f t="shared" si="22"/>
        <v>1</v>
      </c>
      <c r="BG49" s="134" t="s">
        <v>25</v>
      </c>
      <c r="BH49" s="121">
        <f t="shared" si="23"/>
        <v>1</v>
      </c>
      <c r="BI49" s="121">
        <f t="shared" si="24"/>
        <v>1</v>
      </c>
      <c r="BJ49" s="121">
        <f t="shared" si="25"/>
        <v>0</v>
      </c>
      <c r="BL49" s="134" t="s">
        <v>29</v>
      </c>
      <c r="BM49" s="121">
        <f t="shared" si="26"/>
        <v>0.5</v>
      </c>
      <c r="BN49" s="121">
        <f t="shared" si="27"/>
        <v>0</v>
      </c>
      <c r="BO49" s="121">
        <f>IF(AND($BL$2&lt;BM49,BM49&lt;$BM$2),(BM49-$BL$2)/($BM$2-$BL$2),IF(AND($BM$2&lt;=BM49,BM49&lt;$BN$2),($BN$2-BM49)/($BN$2-$BM$2), IF(OR(BM49&lt;=$BL$2,BM49&gt;=$BN$2),0,salah)))</f>
        <v>1</v>
      </c>
      <c r="BP49" s="121">
        <f t="shared" si="28"/>
        <v>0</v>
      </c>
    </row>
    <row r="50" spans="1:68" ht="15.6" x14ac:dyDescent="0.3">
      <c r="A50" s="133">
        <v>48</v>
      </c>
      <c r="B50" s="133">
        <v>32</v>
      </c>
      <c r="C50" s="6" t="s">
        <v>37</v>
      </c>
      <c r="D50" s="133">
        <v>160</v>
      </c>
      <c r="E50" s="133">
        <v>118</v>
      </c>
      <c r="F50" s="133">
        <v>98</v>
      </c>
      <c r="G50" s="133">
        <v>1.5049999999999999</v>
      </c>
      <c r="H50" s="133">
        <v>64.3</v>
      </c>
      <c r="I50" s="4">
        <f t="shared" si="0"/>
        <v>28.388207635677315</v>
      </c>
      <c r="J50" s="133" t="s">
        <v>31</v>
      </c>
      <c r="K50" s="133" t="s">
        <v>26</v>
      </c>
      <c r="L50" s="133" t="s">
        <v>27</v>
      </c>
      <c r="M50" s="133" t="s">
        <v>33</v>
      </c>
      <c r="N50" s="133" t="s">
        <v>31</v>
      </c>
      <c r="O50" s="133" t="s">
        <v>38</v>
      </c>
      <c r="P50" s="133" t="s">
        <v>35</v>
      </c>
      <c r="R50" s="134" t="s">
        <v>35</v>
      </c>
      <c r="S50" s="133">
        <v>61</v>
      </c>
      <c r="T50" s="121">
        <f t="shared" si="1"/>
        <v>0</v>
      </c>
      <c r="U50" s="121">
        <f t="shared" si="2"/>
        <v>1</v>
      </c>
      <c r="W50" s="119">
        <v>47</v>
      </c>
      <c r="X50" s="133">
        <v>167</v>
      </c>
      <c r="Y50" s="133">
        <v>103</v>
      </c>
      <c r="Z50" s="121">
        <f t="shared" si="3"/>
        <v>270</v>
      </c>
      <c r="AA50" s="121">
        <f t="shared" si="4"/>
        <v>0</v>
      </c>
      <c r="AB50" s="121">
        <f>IF(AND($X$2&lt;Z50,Z50&lt;$Y$2),(Z50-$X$2)/($Y$2-$X$2),IF(AND($Y$2&lt;=Z50,Z50&lt;$Z$2),($Z$2-Z50)/($Z$2-$Y$2), IF(OR(Z50&lt;=$X$2,Z50&gt;=$Z$2),0,salah)))</f>
        <v>0</v>
      </c>
      <c r="AC50" s="121">
        <f t="shared" si="5"/>
        <v>1</v>
      </c>
      <c r="AE50" s="134">
        <v>81</v>
      </c>
      <c r="AF50" s="121">
        <f t="shared" si="6"/>
        <v>1</v>
      </c>
      <c r="AG50" s="121">
        <f t="shared" si="7"/>
        <v>0</v>
      </c>
      <c r="AI50" s="4">
        <f t="shared" si="8"/>
        <v>19.044321329639889</v>
      </c>
      <c r="AJ50" s="121">
        <f t="shared" si="9"/>
        <v>0.88396429670667898</v>
      </c>
      <c r="AK50" s="121">
        <f t="shared" si="10"/>
        <v>0.11603570329332097</v>
      </c>
      <c r="AM50" s="134" t="s">
        <v>25</v>
      </c>
      <c r="AN50" s="121">
        <f t="shared" si="11"/>
        <v>1</v>
      </c>
      <c r="AO50" s="121">
        <f t="shared" si="12"/>
        <v>1</v>
      </c>
      <c r="AP50" s="121">
        <f t="shared" si="13"/>
        <v>0</v>
      </c>
      <c r="AR50" s="134" t="s">
        <v>26</v>
      </c>
      <c r="AS50" s="121">
        <f t="shared" si="14"/>
        <v>0</v>
      </c>
      <c r="AT50" s="121">
        <f t="shared" si="15"/>
        <v>0</v>
      </c>
      <c r="AU50" s="121">
        <f t="shared" si="16"/>
        <v>1</v>
      </c>
      <c r="AW50" s="134" t="s">
        <v>27</v>
      </c>
      <c r="AX50" s="121">
        <f t="shared" si="17"/>
        <v>0</v>
      </c>
      <c r="AY50" s="121">
        <f t="shared" si="18"/>
        <v>0</v>
      </c>
      <c r="AZ50" s="121">
        <f t="shared" si="19"/>
        <v>1</v>
      </c>
      <c r="BB50" s="134" t="s">
        <v>33</v>
      </c>
      <c r="BC50" s="121">
        <f t="shared" si="20"/>
        <v>1</v>
      </c>
      <c r="BD50" s="121">
        <f t="shared" si="21"/>
        <v>1</v>
      </c>
      <c r="BE50" s="121">
        <f t="shared" si="22"/>
        <v>0</v>
      </c>
      <c r="BG50" s="134" t="s">
        <v>31</v>
      </c>
      <c r="BH50" s="121">
        <f t="shared" si="23"/>
        <v>0</v>
      </c>
      <c r="BI50" s="121">
        <f t="shared" si="24"/>
        <v>0</v>
      </c>
      <c r="BJ50" s="121">
        <f t="shared" si="25"/>
        <v>1</v>
      </c>
      <c r="BL50" s="134" t="s">
        <v>29</v>
      </c>
      <c r="BM50" s="121">
        <f t="shared" si="26"/>
        <v>0.5</v>
      </c>
      <c r="BN50" s="121">
        <f t="shared" si="27"/>
        <v>0</v>
      </c>
      <c r="BO50" s="121">
        <f>IF(AND($BL$2&lt;BM50,BM50&lt;$BM$2),(BM50-$BL$2)/($BM$2-$BL$2),IF(AND($BM$2&lt;=BM50,BM50&lt;$BN$2),($BN$2-BM50)/($BN$2-$BM$2), IF(OR(BM50&lt;=$BL$2,BM50&gt;=$BN$2),0,salah)))</f>
        <v>1</v>
      </c>
      <c r="BP50" s="121">
        <f t="shared" si="28"/>
        <v>0</v>
      </c>
    </row>
    <row r="51" spans="1:68" ht="15.6" x14ac:dyDescent="0.3">
      <c r="A51" s="133">
        <v>49</v>
      </c>
      <c r="B51" s="133">
        <v>39</v>
      </c>
      <c r="C51" s="6" t="s">
        <v>37</v>
      </c>
      <c r="D51" s="133">
        <v>167</v>
      </c>
      <c r="E51" s="133">
        <v>111</v>
      </c>
      <c r="F51" s="133">
        <v>93</v>
      </c>
      <c r="G51" s="133">
        <v>1.49</v>
      </c>
      <c r="H51" s="133">
        <v>46.7</v>
      </c>
      <c r="I51" s="4">
        <f t="shared" si="0"/>
        <v>21.035088509526599</v>
      </c>
      <c r="J51" s="133" t="s">
        <v>31</v>
      </c>
      <c r="K51" s="133" t="s">
        <v>39</v>
      </c>
      <c r="L51" s="133" t="s">
        <v>27</v>
      </c>
      <c r="M51" s="133" t="s">
        <v>33</v>
      </c>
      <c r="N51" s="133" t="s">
        <v>25</v>
      </c>
      <c r="O51" s="133" t="s">
        <v>38</v>
      </c>
      <c r="P51" s="133" t="s">
        <v>35</v>
      </c>
      <c r="R51" s="134" t="s">
        <v>35</v>
      </c>
      <c r="S51" s="133">
        <v>32</v>
      </c>
      <c r="T51" s="121">
        <f t="shared" si="1"/>
        <v>0.7</v>
      </c>
      <c r="U51" s="121">
        <f t="shared" si="2"/>
        <v>0.3</v>
      </c>
      <c r="W51" s="119">
        <v>48</v>
      </c>
      <c r="X51" s="133">
        <v>160</v>
      </c>
      <c r="Y51" s="133">
        <v>118</v>
      </c>
      <c r="Z51" s="121">
        <f t="shared" si="3"/>
        <v>278</v>
      </c>
      <c r="AA51" s="121">
        <f t="shared" si="4"/>
        <v>0</v>
      </c>
      <c r="AB51" s="121">
        <f>IF(AND($X$2&lt;Z51,Z51&lt;$Y$2),(Z51-$X$2)/($Y$2-$X$2),IF(AND($Y$2&lt;=Z51,Z51&lt;$Z$2),($Z$2-Z51)/($Z$2-$Y$2), IF(OR(Z51&lt;=$X$2,Z51&gt;=$Z$2),0,salah)))</f>
        <v>0</v>
      </c>
      <c r="AC51" s="121">
        <f t="shared" si="5"/>
        <v>1</v>
      </c>
      <c r="AE51" s="134">
        <v>98</v>
      </c>
      <c r="AF51" s="121">
        <f t="shared" si="6"/>
        <v>0.2</v>
      </c>
      <c r="AG51" s="121">
        <f t="shared" si="7"/>
        <v>0.8</v>
      </c>
      <c r="AI51" s="4">
        <f t="shared" si="8"/>
        <v>28.388207635677315</v>
      </c>
      <c r="AJ51" s="121">
        <f t="shared" si="9"/>
        <v>0</v>
      </c>
      <c r="AK51" s="121">
        <f t="shared" si="10"/>
        <v>1</v>
      </c>
      <c r="AM51" s="134" t="s">
        <v>31</v>
      </c>
      <c r="AN51" s="121">
        <f t="shared" si="11"/>
        <v>0</v>
      </c>
      <c r="AO51" s="121">
        <f t="shared" si="12"/>
        <v>0</v>
      </c>
      <c r="AP51" s="121">
        <f t="shared" si="13"/>
        <v>1</v>
      </c>
      <c r="AR51" s="134" t="s">
        <v>26</v>
      </c>
      <c r="AS51" s="121">
        <f t="shared" si="14"/>
        <v>0</v>
      </c>
      <c r="AT51" s="121">
        <f t="shared" si="15"/>
        <v>0</v>
      </c>
      <c r="AU51" s="121">
        <f t="shared" si="16"/>
        <v>1</v>
      </c>
      <c r="AW51" s="134" t="s">
        <v>27</v>
      </c>
      <c r="AX51" s="121">
        <f t="shared" si="17"/>
        <v>0</v>
      </c>
      <c r="AY51" s="121">
        <f t="shared" si="18"/>
        <v>0</v>
      </c>
      <c r="AZ51" s="121">
        <f t="shared" si="19"/>
        <v>1</v>
      </c>
      <c r="BB51" s="134" t="s">
        <v>33</v>
      </c>
      <c r="BC51" s="121">
        <f t="shared" si="20"/>
        <v>1</v>
      </c>
      <c r="BD51" s="121">
        <f t="shared" si="21"/>
        <v>1</v>
      </c>
      <c r="BE51" s="121">
        <f t="shared" si="22"/>
        <v>0</v>
      </c>
      <c r="BG51" s="134" t="s">
        <v>31</v>
      </c>
      <c r="BH51" s="121">
        <f t="shared" si="23"/>
        <v>0</v>
      </c>
      <c r="BI51" s="121">
        <f t="shared" si="24"/>
        <v>0</v>
      </c>
      <c r="BJ51" s="121">
        <f t="shared" si="25"/>
        <v>1</v>
      </c>
      <c r="BL51" s="134" t="s">
        <v>38</v>
      </c>
      <c r="BM51" s="121">
        <f t="shared" si="26"/>
        <v>1</v>
      </c>
      <c r="BN51" s="121">
        <f t="shared" si="27"/>
        <v>0</v>
      </c>
      <c r="BO51" s="121">
        <f>IF(AND($BL$2&lt;BM51,BM51&lt;$BM$2),(BM51-$BL$2)/($BM$2-$BL$2),IF(AND($BM$2&lt;=BM51,BM51&lt;$BN$2),($BN$2-BM51)/($BN$2-$BM$2), IF(OR(BM51&lt;=$BL$2,BM51&gt;=$BN$2),0,salah)))</f>
        <v>0</v>
      </c>
      <c r="BP51" s="121">
        <f t="shared" si="28"/>
        <v>1</v>
      </c>
    </row>
    <row r="52" spans="1:68" ht="15.6" x14ac:dyDescent="0.3">
      <c r="A52" s="133">
        <v>50</v>
      </c>
      <c r="B52" s="133">
        <v>27</v>
      </c>
      <c r="C52" s="6" t="s">
        <v>37</v>
      </c>
      <c r="D52" s="133">
        <v>148</v>
      </c>
      <c r="E52" s="133">
        <v>123</v>
      </c>
      <c r="F52" s="133">
        <v>106</v>
      </c>
      <c r="G52" s="133">
        <v>1.45</v>
      </c>
      <c r="H52" s="133">
        <v>78.8</v>
      </c>
      <c r="I52" s="4">
        <f t="shared" si="0"/>
        <v>37.479191438763372</v>
      </c>
      <c r="J52" s="133" t="s">
        <v>31</v>
      </c>
      <c r="K52" s="133" t="s">
        <v>39</v>
      </c>
      <c r="L52" s="133" t="s">
        <v>32</v>
      </c>
      <c r="M52" s="133" t="s">
        <v>28</v>
      </c>
      <c r="N52" s="133" t="s">
        <v>31</v>
      </c>
      <c r="O52" s="133" t="s">
        <v>38</v>
      </c>
      <c r="P52" s="133" t="s">
        <v>35</v>
      </c>
      <c r="R52" s="134" t="s">
        <v>35</v>
      </c>
      <c r="S52" s="133">
        <v>39</v>
      </c>
      <c r="T52" s="121">
        <f t="shared" si="1"/>
        <v>0.35</v>
      </c>
      <c r="U52" s="121">
        <f t="shared" si="2"/>
        <v>0.65</v>
      </c>
      <c r="W52" s="119">
        <v>49</v>
      </c>
      <c r="X52" s="133">
        <v>167</v>
      </c>
      <c r="Y52" s="133">
        <v>111</v>
      </c>
      <c r="Z52" s="121">
        <f t="shared" si="3"/>
        <v>278</v>
      </c>
      <c r="AA52" s="121">
        <f t="shared" si="4"/>
        <v>0</v>
      </c>
      <c r="AB52" s="121">
        <f>IF(AND($X$2&lt;Z52,Z52&lt;$Y$2),(Z52-$X$2)/($Y$2-$X$2),IF(AND($Y$2&lt;=Z52,Z52&lt;$Z$2),($Z$2-Z52)/($Z$2-$Y$2), IF(OR(Z52&lt;=$X$2,Z52&gt;=$Z$2),0,salah)))</f>
        <v>0</v>
      </c>
      <c r="AC52" s="121">
        <f t="shared" si="5"/>
        <v>1</v>
      </c>
      <c r="AE52" s="134">
        <v>93</v>
      </c>
      <c r="AF52" s="121">
        <f t="shared" si="6"/>
        <v>0.7</v>
      </c>
      <c r="AG52" s="121">
        <f t="shared" si="7"/>
        <v>0.3</v>
      </c>
      <c r="AI52" s="4">
        <f t="shared" si="8"/>
        <v>21.035088509526599</v>
      </c>
      <c r="AJ52" s="121">
        <f t="shared" si="9"/>
        <v>0.66276794338593348</v>
      </c>
      <c r="AK52" s="121">
        <f t="shared" si="10"/>
        <v>0.33723205661406652</v>
      </c>
      <c r="AM52" s="134" t="s">
        <v>31</v>
      </c>
      <c r="AN52" s="121">
        <f t="shared" si="11"/>
        <v>0</v>
      </c>
      <c r="AO52" s="121">
        <f t="shared" si="12"/>
        <v>0</v>
      </c>
      <c r="AP52" s="121">
        <f t="shared" si="13"/>
        <v>1</v>
      </c>
      <c r="AR52" s="134" t="s">
        <v>39</v>
      </c>
      <c r="AS52" s="121">
        <f t="shared" si="14"/>
        <v>1</v>
      </c>
      <c r="AT52" s="121">
        <f t="shared" si="15"/>
        <v>1</v>
      </c>
      <c r="AU52" s="121">
        <f t="shared" si="16"/>
        <v>0</v>
      </c>
      <c r="AW52" s="134" t="s">
        <v>27</v>
      </c>
      <c r="AX52" s="121">
        <f t="shared" si="17"/>
        <v>0</v>
      </c>
      <c r="AY52" s="121">
        <f t="shared" si="18"/>
        <v>0</v>
      </c>
      <c r="AZ52" s="121">
        <f t="shared" si="19"/>
        <v>1</v>
      </c>
      <c r="BB52" s="134" t="s">
        <v>33</v>
      </c>
      <c r="BC52" s="121">
        <f t="shared" si="20"/>
        <v>1</v>
      </c>
      <c r="BD52" s="121">
        <f t="shared" si="21"/>
        <v>1</v>
      </c>
      <c r="BE52" s="121">
        <f t="shared" si="22"/>
        <v>0</v>
      </c>
      <c r="BG52" s="134" t="s">
        <v>25</v>
      </c>
      <c r="BH52" s="121">
        <f t="shared" si="23"/>
        <v>1</v>
      </c>
      <c r="BI52" s="121">
        <f t="shared" si="24"/>
        <v>1</v>
      </c>
      <c r="BJ52" s="121">
        <f t="shared" si="25"/>
        <v>0</v>
      </c>
      <c r="BL52" s="134" t="s">
        <v>38</v>
      </c>
      <c r="BM52" s="121">
        <f t="shared" si="26"/>
        <v>1</v>
      </c>
      <c r="BN52" s="121">
        <f t="shared" si="27"/>
        <v>0</v>
      </c>
      <c r="BO52" s="121">
        <f>IF(AND($BL$2&lt;BM52,BM52&lt;$BM$2),(BM52-$BL$2)/($BM$2-$BL$2),IF(AND($BM$2&lt;=BM52,BM52&lt;$BN$2),($BN$2-BM52)/($BN$2-$BM$2), IF(OR(BM52&lt;=$BL$2,BM52&gt;=$BN$2),0,salah)))</f>
        <v>0</v>
      </c>
      <c r="BP52" s="121">
        <f t="shared" si="28"/>
        <v>1</v>
      </c>
    </row>
    <row r="53" spans="1:68" ht="15.6" x14ac:dyDescent="0.3">
      <c r="A53" s="133">
        <v>51</v>
      </c>
      <c r="B53" s="133">
        <v>27</v>
      </c>
      <c r="C53" s="6" t="s">
        <v>37</v>
      </c>
      <c r="D53" s="133">
        <v>127</v>
      </c>
      <c r="E53" s="133">
        <v>100</v>
      </c>
      <c r="F53" s="133">
        <v>83</v>
      </c>
      <c r="G53" s="133">
        <v>1.4750000000000001</v>
      </c>
      <c r="H53" s="133">
        <v>51.7</v>
      </c>
      <c r="I53" s="4">
        <f t="shared" si="0"/>
        <v>23.763286411950588</v>
      </c>
      <c r="J53" s="133" t="s">
        <v>25</v>
      </c>
      <c r="K53" s="133" t="s">
        <v>26</v>
      </c>
      <c r="L53" s="133" t="s">
        <v>27</v>
      </c>
      <c r="M53" s="133" t="s">
        <v>33</v>
      </c>
      <c r="N53" s="133" t="s">
        <v>25</v>
      </c>
      <c r="O53" s="133" t="s">
        <v>34</v>
      </c>
      <c r="P53" s="133" t="s">
        <v>36</v>
      </c>
      <c r="R53" s="134" t="s">
        <v>35</v>
      </c>
      <c r="S53" s="133">
        <v>27</v>
      </c>
      <c r="T53" s="121">
        <f t="shared" si="1"/>
        <v>0.95</v>
      </c>
      <c r="U53" s="121">
        <f t="shared" si="2"/>
        <v>0.05</v>
      </c>
      <c r="W53" s="119">
        <v>50</v>
      </c>
      <c r="X53" s="133">
        <v>148</v>
      </c>
      <c r="Y53" s="133">
        <v>123</v>
      </c>
      <c r="Z53" s="121">
        <f t="shared" si="3"/>
        <v>271</v>
      </c>
      <c r="AA53" s="121">
        <f t="shared" si="4"/>
        <v>0</v>
      </c>
      <c r="AB53" s="121">
        <f>IF(AND($X$2&lt;Z53,Z53&lt;$Y$2),(Z53-$X$2)/($Y$2-$X$2),IF(AND($Y$2&lt;=Z53,Z53&lt;$Z$2),($Z$2-Z53)/($Z$2-$Y$2), IF(OR(Z53&lt;=$X$2,Z53&gt;=$Z$2),0,salah)))</f>
        <v>0</v>
      </c>
      <c r="AC53" s="121">
        <f t="shared" si="5"/>
        <v>1</v>
      </c>
      <c r="AE53" s="134">
        <v>106</v>
      </c>
      <c r="AF53" s="121">
        <f t="shared" si="6"/>
        <v>0</v>
      </c>
      <c r="AG53" s="121">
        <f t="shared" si="7"/>
        <v>1</v>
      </c>
      <c r="AI53" s="4">
        <f t="shared" si="8"/>
        <v>37.479191438763372</v>
      </c>
      <c r="AJ53" s="121">
        <f t="shared" si="9"/>
        <v>0</v>
      </c>
      <c r="AK53" s="121">
        <f t="shared" si="10"/>
        <v>1</v>
      </c>
      <c r="AM53" s="134" t="s">
        <v>31</v>
      </c>
      <c r="AN53" s="121">
        <f t="shared" si="11"/>
        <v>0</v>
      </c>
      <c r="AO53" s="121">
        <f t="shared" si="12"/>
        <v>0</v>
      </c>
      <c r="AP53" s="121">
        <f t="shared" si="13"/>
        <v>1</v>
      </c>
      <c r="AR53" s="134" t="s">
        <v>39</v>
      </c>
      <c r="AS53" s="121">
        <f t="shared" si="14"/>
        <v>1</v>
      </c>
      <c r="AT53" s="121">
        <f t="shared" si="15"/>
        <v>1</v>
      </c>
      <c r="AU53" s="121">
        <f t="shared" si="16"/>
        <v>0</v>
      </c>
      <c r="AW53" s="134" t="s">
        <v>32</v>
      </c>
      <c r="AX53" s="121">
        <f t="shared" si="17"/>
        <v>1</v>
      </c>
      <c r="AY53" s="121">
        <f t="shared" si="18"/>
        <v>1</v>
      </c>
      <c r="AZ53" s="121">
        <f t="shared" si="19"/>
        <v>0</v>
      </c>
      <c r="BB53" s="134" t="s">
        <v>28</v>
      </c>
      <c r="BC53" s="121">
        <f t="shared" si="20"/>
        <v>0</v>
      </c>
      <c r="BD53" s="121">
        <f t="shared" si="21"/>
        <v>0</v>
      </c>
      <c r="BE53" s="121">
        <f t="shared" si="22"/>
        <v>1</v>
      </c>
      <c r="BG53" s="134" t="s">
        <v>31</v>
      </c>
      <c r="BH53" s="121">
        <f t="shared" si="23"/>
        <v>0</v>
      </c>
      <c r="BI53" s="121">
        <f t="shared" si="24"/>
        <v>0</v>
      </c>
      <c r="BJ53" s="121">
        <f t="shared" si="25"/>
        <v>1</v>
      </c>
      <c r="BL53" s="134" t="s">
        <v>38</v>
      </c>
      <c r="BM53" s="121">
        <f t="shared" si="26"/>
        <v>1</v>
      </c>
      <c r="BN53" s="121">
        <f t="shared" si="27"/>
        <v>0</v>
      </c>
      <c r="BO53" s="121">
        <f>IF(AND($BL$2&lt;BM53,BM53&lt;$BM$2),(BM53-$BL$2)/($BM$2-$BL$2),IF(AND($BM$2&lt;=BM53,BM53&lt;$BN$2),($BN$2-BM53)/($BN$2-$BM$2), IF(OR(BM53&lt;=$BL$2,BM53&gt;=$BN$2),0,salah)))</f>
        <v>0</v>
      </c>
      <c r="BP53" s="121">
        <f t="shared" si="28"/>
        <v>1</v>
      </c>
    </row>
    <row r="54" spans="1:68" ht="15.6" x14ac:dyDescent="0.3">
      <c r="A54" s="133">
        <v>52</v>
      </c>
      <c r="B54" s="133">
        <v>80</v>
      </c>
      <c r="C54" s="6" t="s">
        <v>37</v>
      </c>
      <c r="D54" s="133">
        <v>156</v>
      </c>
      <c r="E54" s="133">
        <v>79</v>
      </c>
      <c r="F54" s="133">
        <v>87</v>
      </c>
      <c r="G54" s="133">
        <v>1.42</v>
      </c>
      <c r="H54" s="133">
        <v>40.4</v>
      </c>
      <c r="I54" s="4">
        <f t="shared" si="0"/>
        <v>20.035707200952192</v>
      </c>
      <c r="J54" s="133" t="s">
        <v>31</v>
      </c>
      <c r="K54" s="133" t="s">
        <v>39</v>
      </c>
      <c r="L54" s="133" t="s">
        <v>27</v>
      </c>
      <c r="M54" s="133" t="s">
        <v>33</v>
      </c>
      <c r="N54" s="133" t="s">
        <v>31</v>
      </c>
      <c r="O54" s="133" t="s">
        <v>34</v>
      </c>
      <c r="P54" s="133" t="s">
        <v>35</v>
      </c>
      <c r="R54" s="134" t="s">
        <v>36</v>
      </c>
      <c r="S54" s="133">
        <v>27</v>
      </c>
      <c r="T54" s="121">
        <f t="shared" si="1"/>
        <v>0.95</v>
      </c>
      <c r="U54" s="121">
        <f t="shared" si="2"/>
        <v>0.05</v>
      </c>
      <c r="W54" s="119">
        <v>51</v>
      </c>
      <c r="X54" s="133">
        <v>127</v>
      </c>
      <c r="Y54" s="133">
        <v>100</v>
      </c>
      <c r="Z54" s="121">
        <f t="shared" si="3"/>
        <v>227</v>
      </c>
      <c r="AA54" s="121">
        <f t="shared" si="4"/>
        <v>0.1</v>
      </c>
      <c r="AB54" s="121">
        <f>IF(AND($X$2&lt;Z54,Z54&lt;$Y$2),(Z54-$X$2)/($Y$2-$X$2),IF(AND($Y$2&lt;=Z54,Z54&lt;$Z$2),($Z$2-Z54)/($Z$2-$Y$2), IF(OR(Z54&lt;=$X$2,Z54&gt;=$Z$2),0,salah)))</f>
        <v>0.9</v>
      </c>
      <c r="AC54" s="121">
        <f t="shared" si="5"/>
        <v>0</v>
      </c>
      <c r="AE54" s="134">
        <v>83</v>
      </c>
      <c r="AF54" s="121">
        <f t="shared" si="6"/>
        <v>1</v>
      </c>
      <c r="AG54" s="121">
        <f t="shared" si="7"/>
        <v>0</v>
      </c>
      <c r="AI54" s="4">
        <f t="shared" si="8"/>
        <v>23.763286411950588</v>
      </c>
      <c r="AJ54" s="121">
        <f t="shared" si="9"/>
        <v>0.35963484311660132</v>
      </c>
      <c r="AK54" s="121">
        <f t="shared" si="10"/>
        <v>0.64036515688339868</v>
      </c>
      <c r="AM54" s="134" t="s">
        <v>25</v>
      </c>
      <c r="AN54" s="121">
        <f t="shared" si="11"/>
        <v>1</v>
      </c>
      <c r="AO54" s="121">
        <f t="shared" si="12"/>
        <v>1</v>
      </c>
      <c r="AP54" s="121">
        <f t="shared" si="13"/>
        <v>0</v>
      </c>
      <c r="AR54" s="134" t="s">
        <v>26</v>
      </c>
      <c r="AS54" s="121">
        <f t="shared" si="14"/>
        <v>0</v>
      </c>
      <c r="AT54" s="121">
        <f t="shared" si="15"/>
        <v>0</v>
      </c>
      <c r="AU54" s="121">
        <f t="shared" si="16"/>
        <v>1</v>
      </c>
      <c r="AW54" s="134" t="s">
        <v>27</v>
      </c>
      <c r="AX54" s="121">
        <f t="shared" si="17"/>
        <v>0</v>
      </c>
      <c r="AY54" s="121">
        <f t="shared" si="18"/>
        <v>0</v>
      </c>
      <c r="AZ54" s="121">
        <f t="shared" si="19"/>
        <v>1</v>
      </c>
      <c r="BB54" s="134" t="s">
        <v>33</v>
      </c>
      <c r="BC54" s="121">
        <f t="shared" si="20"/>
        <v>1</v>
      </c>
      <c r="BD54" s="121">
        <f t="shared" si="21"/>
        <v>1</v>
      </c>
      <c r="BE54" s="121">
        <f t="shared" si="22"/>
        <v>0</v>
      </c>
      <c r="BG54" s="134" t="s">
        <v>25</v>
      </c>
      <c r="BH54" s="121">
        <f t="shared" si="23"/>
        <v>1</v>
      </c>
      <c r="BI54" s="121">
        <f t="shared" si="24"/>
        <v>1</v>
      </c>
      <c r="BJ54" s="121">
        <f t="shared" si="25"/>
        <v>0</v>
      </c>
      <c r="BL54" s="134" t="s">
        <v>34</v>
      </c>
      <c r="BM54" s="121">
        <f t="shared" si="26"/>
        <v>0</v>
      </c>
      <c r="BN54" s="121">
        <f t="shared" si="27"/>
        <v>1</v>
      </c>
      <c r="BO54" s="121">
        <f>IF(AND($BL$2&lt;BM54,BM54&lt;$BM$2),(BM54-$BL$2)/($BM$2-$BL$2),IF(AND($BM$2&lt;=BM54,BM54&lt;$BN$2),($BN$2-BM54)/($BN$2-$BM$2), IF(OR(BM54&lt;=$BL$2,BM54&gt;=$BN$2),0,salah)))</f>
        <v>0</v>
      </c>
      <c r="BP54" s="121">
        <f t="shared" si="28"/>
        <v>0</v>
      </c>
    </row>
    <row r="55" spans="1:68" ht="15.6" x14ac:dyDescent="0.3">
      <c r="A55" s="133">
        <v>53</v>
      </c>
      <c r="B55" s="133">
        <v>39</v>
      </c>
      <c r="C55" s="6" t="s">
        <v>37</v>
      </c>
      <c r="D55" s="133">
        <v>166</v>
      </c>
      <c r="E55" s="133">
        <v>110</v>
      </c>
      <c r="F55" s="133">
        <v>94</v>
      </c>
      <c r="G55" s="133">
        <v>1.58</v>
      </c>
      <c r="H55" s="133">
        <v>68.099999999999994</v>
      </c>
      <c r="I55" s="4">
        <f t="shared" si="0"/>
        <v>27.279282166319494</v>
      </c>
      <c r="J55" s="133" t="s">
        <v>31</v>
      </c>
      <c r="K55" s="133" t="s">
        <v>39</v>
      </c>
      <c r="L55" s="133" t="s">
        <v>27</v>
      </c>
      <c r="M55" s="133" t="s">
        <v>33</v>
      </c>
      <c r="N55" s="133" t="s">
        <v>31</v>
      </c>
      <c r="O55" s="133" t="s">
        <v>34</v>
      </c>
      <c r="P55" s="133" t="s">
        <v>35</v>
      </c>
      <c r="R55" s="134" t="s">
        <v>35</v>
      </c>
      <c r="S55" s="133">
        <v>80</v>
      </c>
      <c r="T55" s="121">
        <f t="shared" si="1"/>
        <v>0</v>
      </c>
      <c r="U55" s="121">
        <f t="shared" si="2"/>
        <v>1</v>
      </c>
      <c r="W55" s="119">
        <v>52</v>
      </c>
      <c r="X55" s="133">
        <v>156</v>
      </c>
      <c r="Y55" s="133">
        <v>79</v>
      </c>
      <c r="Z55" s="121">
        <f t="shared" si="3"/>
        <v>235</v>
      </c>
      <c r="AA55" s="121">
        <f t="shared" si="4"/>
        <v>0</v>
      </c>
      <c r="AB55" s="121">
        <f>IF(AND($X$2&lt;Z55,Z55&lt;$Y$2),(Z55-$X$2)/($Y$2-$X$2),IF(AND($Y$2&lt;=Z55,Z55&lt;$Z$2),($Z$2-Z55)/($Z$2-$Y$2), IF(OR(Z55&lt;=$X$2,Z55&gt;=$Z$2),0,salah)))</f>
        <v>0.875</v>
      </c>
      <c r="AC55" s="121">
        <f t="shared" si="5"/>
        <v>0.125</v>
      </c>
      <c r="AE55" s="134">
        <v>87</v>
      </c>
      <c r="AF55" s="121">
        <f t="shared" si="6"/>
        <v>1</v>
      </c>
      <c r="AG55" s="121">
        <f t="shared" si="7"/>
        <v>0</v>
      </c>
      <c r="AI55" s="4">
        <f t="shared" si="8"/>
        <v>20.035707200952192</v>
      </c>
      <c r="AJ55" s="121">
        <f t="shared" si="9"/>
        <v>0.77381031100531195</v>
      </c>
      <c r="AK55" s="121">
        <f t="shared" si="10"/>
        <v>0.22618968899468803</v>
      </c>
      <c r="AM55" s="134" t="s">
        <v>31</v>
      </c>
      <c r="AN55" s="121">
        <f t="shared" si="11"/>
        <v>0</v>
      </c>
      <c r="AO55" s="121">
        <f t="shared" si="12"/>
        <v>0</v>
      </c>
      <c r="AP55" s="121">
        <f t="shared" si="13"/>
        <v>1</v>
      </c>
      <c r="AR55" s="134" t="s">
        <v>39</v>
      </c>
      <c r="AS55" s="121">
        <f t="shared" si="14"/>
        <v>1</v>
      </c>
      <c r="AT55" s="121">
        <f t="shared" si="15"/>
        <v>1</v>
      </c>
      <c r="AU55" s="121">
        <f t="shared" si="16"/>
        <v>0</v>
      </c>
      <c r="AW55" s="134" t="s">
        <v>27</v>
      </c>
      <c r="AX55" s="121">
        <f t="shared" si="17"/>
        <v>0</v>
      </c>
      <c r="AY55" s="121">
        <f t="shared" si="18"/>
        <v>0</v>
      </c>
      <c r="AZ55" s="121">
        <f t="shared" si="19"/>
        <v>1</v>
      </c>
      <c r="BB55" s="134" t="s">
        <v>33</v>
      </c>
      <c r="BC55" s="121">
        <f t="shared" si="20"/>
        <v>1</v>
      </c>
      <c r="BD55" s="121">
        <f t="shared" si="21"/>
        <v>1</v>
      </c>
      <c r="BE55" s="121">
        <f t="shared" si="22"/>
        <v>0</v>
      </c>
      <c r="BG55" s="134" t="s">
        <v>31</v>
      </c>
      <c r="BH55" s="121">
        <f t="shared" si="23"/>
        <v>0</v>
      </c>
      <c r="BI55" s="121">
        <f t="shared" si="24"/>
        <v>0</v>
      </c>
      <c r="BJ55" s="121">
        <f t="shared" si="25"/>
        <v>1</v>
      </c>
      <c r="BL55" s="134" t="s">
        <v>34</v>
      </c>
      <c r="BM55" s="121">
        <f t="shared" si="26"/>
        <v>0</v>
      </c>
      <c r="BN55" s="121">
        <f t="shared" si="27"/>
        <v>1</v>
      </c>
      <c r="BO55" s="121">
        <f>IF(AND($BL$2&lt;BM55,BM55&lt;$BM$2),(BM55-$BL$2)/($BM$2-$BL$2),IF(AND($BM$2&lt;=BM55,BM55&lt;$BN$2),($BN$2-BM55)/($BN$2-$BM$2), IF(OR(BM55&lt;=$BL$2,BM55&gt;=$BN$2),0,salah)))</f>
        <v>0</v>
      </c>
      <c r="BP55" s="121">
        <f t="shared" si="28"/>
        <v>0</v>
      </c>
    </row>
    <row r="56" spans="1:68" ht="15.6" x14ac:dyDescent="0.3">
      <c r="A56" s="133">
        <v>54</v>
      </c>
      <c r="B56" s="133">
        <v>80</v>
      </c>
      <c r="C56" s="6" t="s">
        <v>24</v>
      </c>
      <c r="D56" s="133">
        <v>167</v>
      </c>
      <c r="E56" s="133">
        <v>89</v>
      </c>
      <c r="F56" s="133">
        <v>78</v>
      </c>
      <c r="G56" s="133">
        <v>1.55</v>
      </c>
      <c r="H56" s="133">
        <v>50.2</v>
      </c>
      <c r="I56" s="4">
        <f t="shared" si="0"/>
        <v>20.894901144640997</v>
      </c>
      <c r="J56" s="133" t="s">
        <v>31</v>
      </c>
      <c r="K56" s="133" t="s">
        <v>26</v>
      </c>
      <c r="L56" s="133" t="s">
        <v>27</v>
      </c>
      <c r="M56" s="133" t="s">
        <v>28</v>
      </c>
      <c r="N56" s="133" t="s">
        <v>31</v>
      </c>
      <c r="O56" s="133" t="s">
        <v>29</v>
      </c>
      <c r="P56" s="133" t="s">
        <v>30</v>
      </c>
      <c r="R56" s="134" t="s">
        <v>35</v>
      </c>
      <c r="S56" s="133">
        <v>39</v>
      </c>
      <c r="T56" s="121">
        <f t="shared" si="1"/>
        <v>0.35</v>
      </c>
      <c r="U56" s="121">
        <f t="shared" si="2"/>
        <v>0.65</v>
      </c>
      <c r="W56" s="119">
        <v>53</v>
      </c>
      <c r="X56" s="133">
        <v>166</v>
      </c>
      <c r="Y56" s="133">
        <v>110</v>
      </c>
      <c r="Z56" s="121">
        <f t="shared" si="3"/>
        <v>276</v>
      </c>
      <c r="AA56" s="121">
        <f t="shared" si="4"/>
        <v>0</v>
      </c>
      <c r="AB56" s="121">
        <f>IF(AND($X$2&lt;Z56,Z56&lt;$Y$2),(Z56-$X$2)/($Y$2-$X$2),IF(AND($Y$2&lt;=Z56,Z56&lt;$Z$2),($Z$2-Z56)/($Z$2-$Y$2), IF(OR(Z56&lt;=$X$2,Z56&gt;=$Z$2),0,salah)))</f>
        <v>0</v>
      </c>
      <c r="AC56" s="121">
        <f t="shared" si="5"/>
        <v>1</v>
      </c>
      <c r="AE56" s="134">
        <v>94</v>
      </c>
      <c r="AF56" s="121">
        <f t="shared" si="6"/>
        <v>0.6</v>
      </c>
      <c r="AG56" s="121">
        <f t="shared" si="7"/>
        <v>0.4</v>
      </c>
      <c r="AI56" s="4">
        <f t="shared" si="8"/>
        <v>27.279282166319494</v>
      </c>
      <c r="AJ56" s="121">
        <f t="shared" si="9"/>
        <v>0</v>
      </c>
      <c r="AK56" s="121">
        <f t="shared" si="10"/>
        <v>1</v>
      </c>
      <c r="AM56" s="134" t="s">
        <v>31</v>
      </c>
      <c r="AN56" s="121">
        <f t="shared" si="11"/>
        <v>0</v>
      </c>
      <c r="AO56" s="121">
        <f t="shared" si="12"/>
        <v>0</v>
      </c>
      <c r="AP56" s="121">
        <f t="shared" si="13"/>
        <v>1</v>
      </c>
      <c r="AR56" s="134" t="s">
        <v>39</v>
      </c>
      <c r="AS56" s="121">
        <f t="shared" si="14"/>
        <v>1</v>
      </c>
      <c r="AT56" s="121">
        <f t="shared" si="15"/>
        <v>1</v>
      </c>
      <c r="AU56" s="121">
        <f t="shared" si="16"/>
        <v>0</v>
      </c>
      <c r="AW56" s="134" t="s">
        <v>27</v>
      </c>
      <c r="AX56" s="121">
        <f t="shared" si="17"/>
        <v>0</v>
      </c>
      <c r="AY56" s="121">
        <f t="shared" si="18"/>
        <v>0</v>
      </c>
      <c r="AZ56" s="121">
        <f t="shared" si="19"/>
        <v>1</v>
      </c>
      <c r="BB56" s="134" t="s">
        <v>33</v>
      </c>
      <c r="BC56" s="121">
        <f t="shared" si="20"/>
        <v>1</v>
      </c>
      <c r="BD56" s="121">
        <f t="shared" si="21"/>
        <v>1</v>
      </c>
      <c r="BE56" s="121">
        <f t="shared" si="22"/>
        <v>0</v>
      </c>
      <c r="BG56" s="134" t="s">
        <v>31</v>
      </c>
      <c r="BH56" s="121">
        <f t="shared" si="23"/>
        <v>0</v>
      </c>
      <c r="BI56" s="121">
        <f t="shared" si="24"/>
        <v>0</v>
      </c>
      <c r="BJ56" s="121">
        <f t="shared" si="25"/>
        <v>1</v>
      </c>
      <c r="BL56" s="134" t="s">
        <v>34</v>
      </c>
      <c r="BM56" s="121">
        <f t="shared" si="26"/>
        <v>0</v>
      </c>
      <c r="BN56" s="121">
        <f t="shared" si="27"/>
        <v>1</v>
      </c>
      <c r="BO56" s="121">
        <f>IF(AND($BL$2&lt;BM56,BM56&lt;$BM$2),(BM56-$BL$2)/($BM$2-$BL$2),IF(AND($BM$2&lt;=BM56,BM56&lt;$BN$2),($BN$2-BM56)/($BN$2-$BM$2), IF(OR(BM56&lt;=$BL$2,BM56&gt;=$BN$2),0,salah)))</f>
        <v>0</v>
      </c>
      <c r="BP56" s="121">
        <f t="shared" si="28"/>
        <v>0</v>
      </c>
    </row>
    <row r="57" spans="1:68" ht="15.6" x14ac:dyDescent="0.3">
      <c r="A57" s="133">
        <v>55</v>
      </c>
      <c r="B57" s="133">
        <v>24</v>
      </c>
      <c r="C57" s="6" t="s">
        <v>37</v>
      </c>
      <c r="D57" s="133">
        <v>109</v>
      </c>
      <c r="E57" s="133">
        <v>78</v>
      </c>
      <c r="F57" s="133">
        <v>68</v>
      </c>
      <c r="G57" s="133">
        <v>1.5149999999999999</v>
      </c>
      <c r="H57" s="133">
        <v>40.4</v>
      </c>
      <c r="I57" s="4">
        <f t="shared" si="0"/>
        <v>17.601760176017603</v>
      </c>
      <c r="J57" s="133" t="s">
        <v>31</v>
      </c>
      <c r="K57" s="133" t="s">
        <v>26</v>
      </c>
      <c r="L57" s="133" t="s">
        <v>27</v>
      </c>
      <c r="M57" s="133" t="s">
        <v>28</v>
      </c>
      <c r="N57" s="133" t="s">
        <v>25</v>
      </c>
      <c r="O57" s="133" t="s">
        <v>38</v>
      </c>
      <c r="P57" s="133" t="s">
        <v>36</v>
      </c>
      <c r="R57" s="134" t="s">
        <v>30</v>
      </c>
      <c r="S57" s="133">
        <v>80</v>
      </c>
      <c r="T57" s="121">
        <f t="shared" si="1"/>
        <v>0</v>
      </c>
      <c r="U57" s="121">
        <f t="shared" si="2"/>
        <v>1</v>
      </c>
      <c r="W57" s="119">
        <v>54</v>
      </c>
      <c r="X57" s="133">
        <v>167</v>
      </c>
      <c r="Y57" s="133">
        <v>89</v>
      </c>
      <c r="Z57" s="121">
        <f t="shared" si="3"/>
        <v>256</v>
      </c>
      <c r="AA57" s="121">
        <f t="shared" si="4"/>
        <v>0</v>
      </c>
      <c r="AB57" s="121">
        <f>IF(AND($X$2&lt;Z57,Z57&lt;$Y$2),(Z57-$X$2)/($Y$2-$X$2),IF(AND($Y$2&lt;=Z57,Z57&lt;$Z$2),($Z$2-Z57)/($Z$2-$Y$2), IF(OR(Z57&lt;=$X$2,Z57&gt;=$Z$2),0,salah)))</f>
        <v>0.35</v>
      </c>
      <c r="AC57" s="121">
        <f t="shared" si="5"/>
        <v>0.65</v>
      </c>
      <c r="AE57" s="134">
        <v>78</v>
      </c>
      <c r="AF57" s="121">
        <f t="shared" si="6"/>
        <v>1</v>
      </c>
      <c r="AG57" s="121">
        <f t="shared" si="7"/>
        <v>0</v>
      </c>
      <c r="AI57" s="4">
        <f t="shared" si="8"/>
        <v>20.894901144640997</v>
      </c>
      <c r="AJ57" s="121">
        <f t="shared" si="9"/>
        <v>0.67834431726211142</v>
      </c>
      <c r="AK57" s="121">
        <f t="shared" si="10"/>
        <v>0.32165568273788853</v>
      </c>
      <c r="AM57" s="134" t="s">
        <v>31</v>
      </c>
      <c r="AN57" s="121">
        <f t="shared" si="11"/>
        <v>0</v>
      </c>
      <c r="AO57" s="121">
        <f t="shared" si="12"/>
        <v>0</v>
      </c>
      <c r="AP57" s="121">
        <f t="shared" si="13"/>
        <v>1</v>
      </c>
      <c r="AR57" s="134" t="s">
        <v>26</v>
      </c>
      <c r="AS57" s="121">
        <f t="shared" si="14"/>
        <v>0</v>
      </c>
      <c r="AT57" s="121">
        <f t="shared" si="15"/>
        <v>0</v>
      </c>
      <c r="AU57" s="121">
        <f t="shared" si="16"/>
        <v>1</v>
      </c>
      <c r="AW57" s="134" t="s">
        <v>27</v>
      </c>
      <c r="AX57" s="121">
        <f t="shared" si="17"/>
        <v>0</v>
      </c>
      <c r="AY57" s="121">
        <f t="shared" si="18"/>
        <v>0</v>
      </c>
      <c r="AZ57" s="121">
        <f t="shared" si="19"/>
        <v>1</v>
      </c>
      <c r="BB57" s="134" t="s">
        <v>28</v>
      </c>
      <c r="BC57" s="121">
        <f t="shared" si="20"/>
        <v>0</v>
      </c>
      <c r="BD57" s="121">
        <f t="shared" si="21"/>
        <v>0</v>
      </c>
      <c r="BE57" s="121">
        <f t="shared" si="22"/>
        <v>1</v>
      </c>
      <c r="BG57" s="134" t="s">
        <v>31</v>
      </c>
      <c r="BH57" s="121">
        <f t="shared" si="23"/>
        <v>0</v>
      </c>
      <c r="BI57" s="121">
        <f t="shared" si="24"/>
        <v>0</v>
      </c>
      <c r="BJ57" s="121">
        <f t="shared" si="25"/>
        <v>1</v>
      </c>
      <c r="BL57" s="134" t="s">
        <v>29</v>
      </c>
      <c r="BM57" s="121">
        <f t="shared" si="26"/>
        <v>0.5</v>
      </c>
      <c r="BN57" s="121">
        <f t="shared" si="27"/>
        <v>0</v>
      </c>
      <c r="BO57" s="121">
        <f>IF(AND($BL$2&lt;BM57,BM57&lt;$BM$2),(BM57-$BL$2)/($BM$2-$BL$2),IF(AND($BM$2&lt;=BM57,BM57&lt;$BN$2),($BN$2-BM57)/($BN$2-$BM$2), IF(OR(BM57&lt;=$BL$2,BM57&gt;=$BN$2),0,salah)))</f>
        <v>1</v>
      </c>
      <c r="BP57" s="121">
        <f t="shared" si="28"/>
        <v>0</v>
      </c>
    </row>
    <row r="58" spans="1:68" ht="15.6" x14ac:dyDescent="0.3">
      <c r="A58" s="133">
        <v>56</v>
      </c>
      <c r="B58" s="133">
        <v>51</v>
      </c>
      <c r="C58" s="6" t="s">
        <v>37</v>
      </c>
      <c r="D58" s="133">
        <v>161</v>
      </c>
      <c r="E58" s="133">
        <v>98</v>
      </c>
      <c r="F58" s="133">
        <v>85</v>
      </c>
      <c r="G58" s="133">
        <v>1.42</v>
      </c>
      <c r="H58" s="133">
        <v>46</v>
      </c>
      <c r="I58" s="4">
        <f t="shared" si="0"/>
        <v>22.812933941678239</v>
      </c>
      <c r="J58" s="133" t="s">
        <v>31</v>
      </c>
      <c r="K58" s="133" t="s">
        <v>39</v>
      </c>
      <c r="L58" s="133" t="s">
        <v>27</v>
      </c>
      <c r="M58" s="133" t="s">
        <v>33</v>
      </c>
      <c r="N58" s="133" t="s">
        <v>31</v>
      </c>
      <c r="O58" s="133" t="s">
        <v>29</v>
      </c>
      <c r="P58" s="133" t="s">
        <v>35</v>
      </c>
      <c r="R58" s="134" t="s">
        <v>36</v>
      </c>
      <c r="S58" s="133">
        <v>24</v>
      </c>
      <c r="T58" s="121">
        <f t="shared" si="1"/>
        <v>1</v>
      </c>
      <c r="U58" s="121">
        <f t="shared" si="2"/>
        <v>0</v>
      </c>
      <c r="W58" s="119">
        <v>55</v>
      </c>
      <c r="X58" s="133">
        <v>109</v>
      </c>
      <c r="Y58" s="133">
        <v>78</v>
      </c>
      <c r="Z58" s="121">
        <f t="shared" si="3"/>
        <v>187</v>
      </c>
      <c r="AA58" s="121">
        <f t="shared" si="4"/>
        <v>1</v>
      </c>
      <c r="AB58" s="121">
        <f>IF(AND($X$2&lt;Z58,Z58&lt;$Y$2),(Z58-$X$2)/($Y$2-$X$2),IF(AND($Y$2&lt;=Z58,Z58&lt;$Z$2),($Z$2-Z58)/($Z$2-$Y$2), IF(OR(Z58&lt;=$X$2,Z58&gt;=$Z$2),0,salah)))</f>
        <v>0</v>
      </c>
      <c r="AC58" s="121">
        <f t="shared" si="5"/>
        <v>0</v>
      </c>
      <c r="AE58" s="134">
        <v>68</v>
      </c>
      <c r="AF58" s="121">
        <f t="shared" si="6"/>
        <v>1</v>
      </c>
      <c r="AG58" s="121">
        <f t="shared" si="7"/>
        <v>0</v>
      </c>
      <c r="AI58" s="4">
        <f t="shared" si="8"/>
        <v>17.601760176017603</v>
      </c>
      <c r="AJ58" s="121">
        <f t="shared" si="9"/>
        <v>1</v>
      </c>
      <c r="AK58" s="121">
        <f t="shared" si="10"/>
        <v>0</v>
      </c>
      <c r="AM58" s="134" t="s">
        <v>31</v>
      </c>
      <c r="AN58" s="121">
        <f t="shared" si="11"/>
        <v>0</v>
      </c>
      <c r="AO58" s="121">
        <f t="shared" si="12"/>
        <v>0</v>
      </c>
      <c r="AP58" s="121">
        <f t="shared" si="13"/>
        <v>1</v>
      </c>
      <c r="AR58" s="134" t="s">
        <v>26</v>
      </c>
      <c r="AS58" s="121">
        <f t="shared" si="14"/>
        <v>0</v>
      </c>
      <c r="AT58" s="121">
        <f t="shared" si="15"/>
        <v>0</v>
      </c>
      <c r="AU58" s="121">
        <f t="shared" si="16"/>
        <v>1</v>
      </c>
      <c r="AW58" s="134" t="s">
        <v>27</v>
      </c>
      <c r="AX58" s="121">
        <f t="shared" si="17"/>
        <v>0</v>
      </c>
      <c r="AY58" s="121">
        <f t="shared" si="18"/>
        <v>0</v>
      </c>
      <c r="AZ58" s="121">
        <f t="shared" si="19"/>
        <v>1</v>
      </c>
      <c r="BB58" s="134" t="s">
        <v>28</v>
      </c>
      <c r="BC58" s="121">
        <f t="shared" si="20"/>
        <v>0</v>
      </c>
      <c r="BD58" s="121">
        <f t="shared" si="21"/>
        <v>0</v>
      </c>
      <c r="BE58" s="121">
        <f t="shared" si="22"/>
        <v>1</v>
      </c>
      <c r="BG58" s="134" t="s">
        <v>25</v>
      </c>
      <c r="BH58" s="121">
        <f t="shared" si="23"/>
        <v>1</v>
      </c>
      <c r="BI58" s="121">
        <f t="shared" si="24"/>
        <v>1</v>
      </c>
      <c r="BJ58" s="121">
        <f t="shared" si="25"/>
        <v>0</v>
      </c>
      <c r="BL58" s="134" t="s">
        <v>38</v>
      </c>
      <c r="BM58" s="121">
        <f t="shared" si="26"/>
        <v>1</v>
      </c>
      <c r="BN58" s="121">
        <f t="shared" si="27"/>
        <v>0</v>
      </c>
      <c r="BO58" s="121">
        <f>IF(AND($BL$2&lt;BM58,BM58&lt;$BM$2),(BM58-$BL$2)/($BM$2-$BL$2),IF(AND($BM$2&lt;=BM58,BM58&lt;$BN$2),($BN$2-BM58)/($BN$2-$BM$2), IF(OR(BM58&lt;=$BL$2,BM58&gt;=$BN$2),0,salah)))</f>
        <v>0</v>
      </c>
      <c r="BP58" s="121">
        <f t="shared" si="28"/>
        <v>1</v>
      </c>
    </row>
    <row r="59" spans="1:68" ht="15.6" x14ac:dyDescent="0.3">
      <c r="A59" s="133">
        <v>57</v>
      </c>
      <c r="B59" s="133">
        <v>22</v>
      </c>
      <c r="C59" s="6" t="s">
        <v>37</v>
      </c>
      <c r="D59" s="133">
        <v>133</v>
      </c>
      <c r="E59" s="133">
        <v>89</v>
      </c>
      <c r="F59" s="133">
        <v>70</v>
      </c>
      <c r="G59" s="133">
        <v>1.49</v>
      </c>
      <c r="H59" s="133">
        <v>41.6</v>
      </c>
      <c r="I59" s="4">
        <f t="shared" si="0"/>
        <v>18.737894689428405</v>
      </c>
      <c r="J59" s="133" t="s">
        <v>31</v>
      </c>
      <c r="K59" s="133" t="s">
        <v>26</v>
      </c>
      <c r="L59" s="133" t="s">
        <v>27</v>
      </c>
      <c r="M59" s="133" t="s">
        <v>28</v>
      </c>
      <c r="N59" s="133" t="s">
        <v>25</v>
      </c>
      <c r="O59" s="133" t="s">
        <v>34</v>
      </c>
      <c r="P59" s="133" t="s">
        <v>36</v>
      </c>
      <c r="R59" s="134" t="s">
        <v>35</v>
      </c>
      <c r="S59" s="133">
        <v>51</v>
      </c>
      <c r="T59" s="121">
        <f t="shared" si="1"/>
        <v>0</v>
      </c>
      <c r="U59" s="121">
        <f t="shared" si="2"/>
        <v>1</v>
      </c>
      <c r="W59" s="119">
        <v>56</v>
      </c>
      <c r="X59" s="133">
        <v>161</v>
      </c>
      <c r="Y59" s="133">
        <v>98</v>
      </c>
      <c r="Z59" s="121">
        <f t="shared" si="3"/>
        <v>259</v>
      </c>
      <c r="AA59" s="121">
        <f t="shared" si="4"/>
        <v>0</v>
      </c>
      <c r="AB59" s="121">
        <f>IF(AND($X$2&lt;Z59,Z59&lt;$Y$2),(Z59-$X$2)/($Y$2-$X$2),IF(AND($Y$2&lt;=Z59,Z59&lt;$Z$2),($Z$2-Z59)/($Z$2-$Y$2), IF(OR(Z59&lt;=$X$2,Z59&gt;=$Z$2),0,salah)))</f>
        <v>0.27500000000000002</v>
      </c>
      <c r="AC59" s="121">
        <f t="shared" si="5"/>
        <v>0.72499999999999998</v>
      </c>
      <c r="AE59" s="134">
        <v>85</v>
      </c>
      <c r="AF59" s="121">
        <f t="shared" si="6"/>
        <v>1</v>
      </c>
      <c r="AG59" s="121">
        <f t="shared" si="7"/>
        <v>0</v>
      </c>
      <c r="AI59" s="4">
        <f t="shared" si="8"/>
        <v>22.812933941678239</v>
      </c>
      <c r="AJ59" s="121">
        <f t="shared" si="9"/>
        <v>0.46522956203575128</v>
      </c>
      <c r="AK59" s="121">
        <f t="shared" si="10"/>
        <v>0.53477043796424872</v>
      </c>
      <c r="AM59" s="134" t="s">
        <v>31</v>
      </c>
      <c r="AN59" s="121">
        <f t="shared" si="11"/>
        <v>0</v>
      </c>
      <c r="AO59" s="121">
        <f t="shared" si="12"/>
        <v>0</v>
      </c>
      <c r="AP59" s="121">
        <f t="shared" si="13"/>
        <v>1</v>
      </c>
      <c r="AR59" s="134" t="s">
        <v>39</v>
      </c>
      <c r="AS59" s="121">
        <f t="shared" si="14"/>
        <v>1</v>
      </c>
      <c r="AT59" s="121">
        <f t="shared" si="15"/>
        <v>1</v>
      </c>
      <c r="AU59" s="121">
        <f t="shared" si="16"/>
        <v>0</v>
      </c>
      <c r="AW59" s="134" t="s">
        <v>27</v>
      </c>
      <c r="AX59" s="121">
        <f t="shared" si="17"/>
        <v>0</v>
      </c>
      <c r="AY59" s="121">
        <f t="shared" si="18"/>
        <v>0</v>
      </c>
      <c r="AZ59" s="121">
        <f t="shared" si="19"/>
        <v>1</v>
      </c>
      <c r="BB59" s="134" t="s">
        <v>33</v>
      </c>
      <c r="BC59" s="121">
        <f t="shared" si="20"/>
        <v>1</v>
      </c>
      <c r="BD59" s="121">
        <f t="shared" si="21"/>
        <v>1</v>
      </c>
      <c r="BE59" s="121">
        <f t="shared" si="22"/>
        <v>0</v>
      </c>
      <c r="BG59" s="134" t="s">
        <v>31</v>
      </c>
      <c r="BH59" s="121">
        <f t="shared" si="23"/>
        <v>0</v>
      </c>
      <c r="BI59" s="121">
        <f t="shared" si="24"/>
        <v>0</v>
      </c>
      <c r="BJ59" s="121">
        <f t="shared" si="25"/>
        <v>1</v>
      </c>
      <c r="BL59" s="134" t="s">
        <v>29</v>
      </c>
      <c r="BM59" s="121">
        <f t="shared" si="26"/>
        <v>0.5</v>
      </c>
      <c r="BN59" s="121">
        <f t="shared" si="27"/>
        <v>0</v>
      </c>
      <c r="BO59" s="121">
        <f>IF(AND($BL$2&lt;BM59,BM59&lt;$BM$2),(BM59-$BL$2)/($BM$2-$BL$2),IF(AND($BM$2&lt;=BM59,BM59&lt;$BN$2),($BN$2-BM59)/($BN$2-$BM$2), IF(OR(BM59&lt;=$BL$2,BM59&gt;=$BN$2),0,salah)))</f>
        <v>1</v>
      </c>
      <c r="BP59" s="121">
        <f t="shared" si="28"/>
        <v>0</v>
      </c>
    </row>
    <row r="60" spans="1:68" ht="15.6" x14ac:dyDescent="0.3">
      <c r="A60" s="133">
        <v>58</v>
      </c>
      <c r="B60" s="133">
        <v>65</v>
      </c>
      <c r="C60" s="6" t="s">
        <v>24</v>
      </c>
      <c r="D60" s="133">
        <v>138</v>
      </c>
      <c r="E60" s="133">
        <v>81</v>
      </c>
      <c r="F60" s="133">
        <v>91</v>
      </c>
      <c r="G60" s="133">
        <v>1.63</v>
      </c>
      <c r="H60" s="133">
        <v>65.8</v>
      </c>
      <c r="I60" s="4">
        <f t="shared" si="0"/>
        <v>24.765704392336936</v>
      </c>
      <c r="J60" s="133" t="s">
        <v>25</v>
      </c>
      <c r="K60" s="133" t="s">
        <v>26</v>
      </c>
      <c r="L60" s="133" t="s">
        <v>27</v>
      </c>
      <c r="M60" s="133" t="s">
        <v>33</v>
      </c>
      <c r="N60" s="133" t="s">
        <v>25</v>
      </c>
      <c r="O60" s="133" t="s">
        <v>29</v>
      </c>
      <c r="P60" s="133" t="s">
        <v>30</v>
      </c>
      <c r="R60" s="134" t="s">
        <v>36</v>
      </c>
      <c r="S60" s="133">
        <v>22</v>
      </c>
      <c r="T60" s="121">
        <f t="shared" si="1"/>
        <v>1</v>
      </c>
      <c r="U60" s="121">
        <f t="shared" si="2"/>
        <v>0</v>
      </c>
      <c r="W60" s="119">
        <v>57</v>
      </c>
      <c r="X60" s="133">
        <v>133</v>
      </c>
      <c r="Y60" s="133">
        <v>89</v>
      </c>
      <c r="Z60" s="121">
        <f t="shared" si="3"/>
        <v>222</v>
      </c>
      <c r="AA60" s="121">
        <f t="shared" si="4"/>
        <v>0.26666666666666666</v>
      </c>
      <c r="AB60" s="121">
        <f>IF(AND($X$2&lt;Z60,Z60&lt;$Y$2),(Z60-$X$2)/($Y$2-$X$2),IF(AND($Y$2&lt;=Z60,Z60&lt;$Z$2),($Z$2-Z60)/($Z$2-$Y$2), IF(OR(Z60&lt;=$X$2,Z60&gt;=$Z$2),0,salah)))</f>
        <v>0.73333333333333328</v>
      </c>
      <c r="AC60" s="121">
        <f t="shared" si="5"/>
        <v>0</v>
      </c>
      <c r="AE60" s="134">
        <v>70</v>
      </c>
      <c r="AF60" s="121">
        <f t="shared" si="6"/>
        <v>1</v>
      </c>
      <c r="AG60" s="121">
        <f t="shared" si="7"/>
        <v>0</v>
      </c>
      <c r="AI60" s="4">
        <f t="shared" si="8"/>
        <v>18.737894689428405</v>
      </c>
      <c r="AJ60" s="121">
        <f t="shared" si="9"/>
        <v>0.91801170117462172</v>
      </c>
      <c r="AK60" s="121">
        <f t="shared" si="10"/>
        <v>8.1988298825378322E-2</v>
      </c>
      <c r="AM60" s="134" t="s">
        <v>31</v>
      </c>
      <c r="AN60" s="121">
        <f t="shared" si="11"/>
        <v>0</v>
      </c>
      <c r="AO60" s="121">
        <f t="shared" si="12"/>
        <v>0</v>
      </c>
      <c r="AP60" s="121">
        <f t="shared" si="13"/>
        <v>1</v>
      </c>
      <c r="AR60" s="134" t="s">
        <v>26</v>
      </c>
      <c r="AS60" s="121">
        <f t="shared" si="14"/>
        <v>0</v>
      </c>
      <c r="AT60" s="121">
        <f t="shared" si="15"/>
        <v>0</v>
      </c>
      <c r="AU60" s="121">
        <f t="shared" si="16"/>
        <v>1</v>
      </c>
      <c r="AW60" s="134" t="s">
        <v>27</v>
      </c>
      <c r="AX60" s="121">
        <f t="shared" si="17"/>
        <v>0</v>
      </c>
      <c r="AY60" s="121">
        <f t="shared" si="18"/>
        <v>0</v>
      </c>
      <c r="AZ60" s="121">
        <f t="shared" si="19"/>
        <v>1</v>
      </c>
      <c r="BB60" s="134" t="s">
        <v>28</v>
      </c>
      <c r="BC60" s="121">
        <f t="shared" si="20"/>
        <v>0</v>
      </c>
      <c r="BD60" s="121">
        <f t="shared" si="21"/>
        <v>0</v>
      </c>
      <c r="BE60" s="121">
        <f t="shared" si="22"/>
        <v>1</v>
      </c>
      <c r="BG60" s="134" t="s">
        <v>25</v>
      </c>
      <c r="BH60" s="121">
        <f t="shared" si="23"/>
        <v>1</v>
      </c>
      <c r="BI60" s="121">
        <f t="shared" si="24"/>
        <v>1</v>
      </c>
      <c r="BJ60" s="121">
        <f t="shared" si="25"/>
        <v>0</v>
      </c>
      <c r="BL60" s="134" t="s">
        <v>34</v>
      </c>
      <c r="BM60" s="121">
        <f t="shared" si="26"/>
        <v>0</v>
      </c>
      <c r="BN60" s="121">
        <f t="shared" si="27"/>
        <v>1</v>
      </c>
      <c r="BO60" s="121">
        <f>IF(AND($BL$2&lt;BM60,BM60&lt;$BM$2),(BM60-$BL$2)/($BM$2-$BL$2),IF(AND($BM$2&lt;=BM60,BM60&lt;$BN$2),($BN$2-BM60)/($BN$2-$BM$2), IF(OR(BM60&lt;=$BL$2,BM60&gt;=$BN$2),0,salah)))</f>
        <v>0</v>
      </c>
      <c r="BP60" s="121">
        <f t="shared" si="28"/>
        <v>0</v>
      </c>
    </row>
    <row r="61" spans="1:68" ht="15.6" x14ac:dyDescent="0.3">
      <c r="A61" s="133">
        <v>59</v>
      </c>
      <c r="B61" s="133">
        <v>23</v>
      </c>
      <c r="C61" s="6" t="s">
        <v>37</v>
      </c>
      <c r="D61" s="133">
        <v>141</v>
      </c>
      <c r="E61" s="133">
        <v>96</v>
      </c>
      <c r="F61" s="133">
        <v>85</v>
      </c>
      <c r="G61" s="133">
        <v>1.5</v>
      </c>
      <c r="H61" s="133">
        <v>51.7</v>
      </c>
      <c r="I61" s="4">
        <f t="shared" si="0"/>
        <v>22.977777777777778</v>
      </c>
      <c r="J61" s="133" t="s">
        <v>31</v>
      </c>
      <c r="K61" s="133" t="s">
        <v>26</v>
      </c>
      <c r="L61" s="133" t="s">
        <v>27</v>
      </c>
      <c r="M61" s="133" t="s">
        <v>28</v>
      </c>
      <c r="N61" s="133" t="s">
        <v>25</v>
      </c>
      <c r="O61" s="133" t="s">
        <v>29</v>
      </c>
      <c r="P61" s="133" t="s">
        <v>36</v>
      </c>
      <c r="R61" s="134" t="s">
        <v>30</v>
      </c>
      <c r="S61" s="133">
        <v>65</v>
      </c>
      <c r="T61" s="121">
        <f t="shared" si="1"/>
        <v>0</v>
      </c>
      <c r="U61" s="121">
        <f t="shared" si="2"/>
        <v>1</v>
      </c>
      <c r="W61" s="119">
        <v>58</v>
      </c>
      <c r="X61" s="133">
        <v>138</v>
      </c>
      <c r="Y61" s="133">
        <v>81</v>
      </c>
      <c r="Z61" s="121">
        <f t="shared" si="3"/>
        <v>219</v>
      </c>
      <c r="AA61" s="121">
        <f t="shared" si="4"/>
        <v>0.36666666666666664</v>
      </c>
      <c r="AB61" s="121">
        <f>IF(AND($X$2&lt;Z61,Z61&lt;$Y$2),(Z61-$X$2)/($Y$2-$X$2),IF(AND($Y$2&lt;=Z61,Z61&lt;$Z$2),($Z$2-Z61)/($Z$2-$Y$2), IF(OR(Z61&lt;=$X$2,Z61&gt;=$Z$2),0,salah)))</f>
        <v>0.6333333333333333</v>
      </c>
      <c r="AC61" s="121">
        <f t="shared" si="5"/>
        <v>0</v>
      </c>
      <c r="AE61" s="134">
        <v>91</v>
      </c>
      <c r="AF61" s="121">
        <f t="shared" si="6"/>
        <v>0.9</v>
      </c>
      <c r="AG61" s="121">
        <f t="shared" si="7"/>
        <v>0.1</v>
      </c>
      <c r="AI61" s="4">
        <f t="shared" si="8"/>
        <v>24.765704392336936</v>
      </c>
      <c r="AJ61" s="121">
        <f t="shared" si="9"/>
        <v>0.24825506751811824</v>
      </c>
      <c r="AK61" s="121">
        <f t="shared" si="10"/>
        <v>0.75174493248188179</v>
      </c>
      <c r="AM61" s="134" t="s">
        <v>25</v>
      </c>
      <c r="AN61" s="121">
        <f t="shared" si="11"/>
        <v>1</v>
      </c>
      <c r="AO61" s="121">
        <f t="shared" si="12"/>
        <v>1</v>
      </c>
      <c r="AP61" s="121">
        <f t="shared" si="13"/>
        <v>0</v>
      </c>
      <c r="AR61" s="134" t="s">
        <v>26</v>
      </c>
      <c r="AS61" s="121">
        <f t="shared" si="14"/>
        <v>0</v>
      </c>
      <c r="AT61" s="121">
        <f t="shared" si="15"/>
        <v>0</v>
      </c>
      <c r="AU61" s="121">
        <f t="shared" si="16"/>
        <v>1</v>
      </c>
      <c r="AW61" s="134" t="s">
        <v>27</v>
      </c>
      <c r="AX61" s="121">
        <f t="shared" si="17"/>
        <v>0</v>
      </c>
      <c r="AY61" s="121">
        <f t="shared" si="18"/>
        <v>0</v>
      </c>
      <c r="AZ61" s="121">
        <f t="shared" si="19"/>
        <v>1</v>
      </c>
      <c r="BB61" s="134" t="s">
        <v>33</v>
      </c>
      <c r="BC61" s="121">
        <f t="shared" si="20"/>
        <v>1</v>
      </c>
      <c r="BD61" s="121">
        <f t="shared" si="21"/>
        <v>1</v>
      </c>
      <c r="BE61" s="121">
        <f t="shared" si="22"/>
        <v>0</v>
      </c>
      <c r="BG61" s="134" t="s">
        <v>25</v>
      </c>
      <c r="BH61" s="121">
        <f t="shared" si="23"/>
        <v>1</v>
      </c>
      <c r="BI61" s="121">
        <f t="shared" si="24"/>
        <v>1</v>
      </c>
      <c r="BJ61" s="121">
        <f t="shared" si="25"/>
        <v>0</v>
      </c>
      <c r="BL61" s="134" t="s">
        <v>29</v>
      </c>
      <c r="BM61" s="121">
        <f t="shared" si="26"/>
        <v>0.5</v>
      </c>
      <c r="BN61" s="121">
        <f t="shared" si="27"/>
        <v>0</v>
      </c>
      <c r="BO61" s="121">
        <f>IF(AND($BL$2&lt;BM61,BM61&lt;$BM$2),(BM61-$BL$2)/($BM$2-$BL$2),IF(AND($BM$2&lt;=BM61,BM61&lt;$BN$2),($BN$2-BM61)/($BN$2-$BM$2), IF(OR(BM61&lt;=$BL$2,BM61&gt;=$BN$2),0,salah)))</f>
        <v>1</v>
      </c>
      <c r="BP61" s="121">
        <f t="shared" si="28"/>
        <v>0</v>
      </c>
    </row>
    <row r="62" spans="1:68" ht="15.6" x14ac:dyDescent="0.3">
      <c r="A62" s="133">
        <v>60</v>
      </c>
      <c r="B62" s="133">
        <v>64</v>
      </c>
      <c r="C62" s="6" t="s">
        <v>37</v>
      </c>
      <c r="D62" s="133">
        <v>179</v>
      </c>
      <c r="E62" s="133">
        <v>113</v>
      </c>
      <c r="F62" s="133">
        <v>91</v>
      </c>
      <c r="G62" s="133">
        <v>1.46</v>
      </c>
      <c r="H62" s="133">
        <v>59.6</v>
      </c>
      <c r="I62" s="4">
        <f t="shared" si="0"/>
        <v>27.960217676862456</v>
      </c>
      <c r="J62" s="133" t="s">
        <v>31</v>
      </c>
      <c r="K62" s="133" t="s">
        <v>39</v>
      </c>
      <c r="L62" s="133" t="s">
        <v>27</v>
      </c>
      <c r="M62" s="133" t="s">
        <v>33</v>
      </c>
      <c r="N62" s="133" t="s">
        <v>31</v>
      </c>
      <c r="O62" s="133" t="s">
        <v>29</v>
      </c>
      <c r="P62" s="133" t="s">
        <v>35</v>
      </c>
      <c r="R62" s="134" t="s">
        <v>36</v>
      </c>
      <c r="S62" s="133">
        <v>23</v>
      </c>
      <c r="T62" s="121">
        <f t="shared" si="1"/>
        <v>1</v>
      </c>
      <c r="U62" s="121">
        <f t="shared" si="2"/>
        <v>0</v>
      </c>
      <c r="W62" s="119">
        <v>59</v>
      </c>
      <c r="X62" s="133">
        <v>141</v>
      </c>
      <c r="Y62" s="133">
        <v>96</v>
      </c>
      <c r="Z62" s="121">
        <f t="shared" si="3"/>
        <v>237</v>
      </c>
      <c r="AA62" s="121">
        <f t="shared" si="4"/>
        <v>0</v>
      </c>
      <c r="AB62" s="121">
        <f>IF(AND($X$2&lt;Z62,Z62&lt;$Y$2),(Z62-$X$2)/($Y$2-$X$2),IF(AND($Y$2&lt;=Z62,Z62&lt;$Z$2),($Z$2-Z62)/($Z$2-$Y$2), IF(OR(Z62&lt;=$X$2,Z62&gt;=$Z$2),0,salah)))</f>
        <v>0.82499999999999996</v>
      </c>
      <c r="AC62" s="121">
        <f t="shared" si="5"/>
        <v>0.17499999999999999</v>
      </c>
      <c r="AE62" s="134">
        <v>85</v>
      </c>
      <c r="AF62" s="121">
        <f t="shared" si="6"/>
        <v>1</v>
      </c>
      <c r="AG62" s="121">
        <f t="shared" si="7"/>
        <v>0</v>
      </c>
      <c r="AI62" s="4">
        <f t="shared" si="8"/>
        <v>22.977777777777778</v>
      </c>
      <c r="AJ62" s="121">
        <f t="shared" si="9"/>
        <v>0.44691358024691358</v>
      </c>
      <c r="AK62" s="121">
        <f t="shared" si="10"/>
        <v>0.55308641975308648</v>
      </c>
      <c r="AM62" s="134" t="s">
        <v>31</v>
      </c>
      <c r="AN62" s="121">
        <f t="shared" si="11"/>
        <v>0</v>
      </c>
      <c r="AO62" s="121">
        <f t="shared" si="12"/>
        <v>0</v>
      </c>
      <c r="AP62" s="121">
        <f t="shared" si="13"/>
        <v>1</v>
      </c>
      <c r="AR62" s="134" t="s">
        <v>26</v>
      </c>
      <c r="AS62" s="121">
        <f t="shared" si="14"/>
        <v>0</v>
      </c>
      <c r="AT62" s="121">
        <f t="shared" si="15"/>
        <v>0</v>
      </c>
      <c r="AU62" s="121">
        <f t="shared" si="16"/>
        <v>1</v>
      </c>
      <c r="AW62" s="134" t="s">
        <v>27</v>
      </c>
      <c r="AX62" s="121">
        <f t="shared" si="17"/>
        <v>0</v>
      </c>
      <c r="AY62" s="121">
        <f t="shared" si="18"/>
        <v>0</v>
      </c>
      <c r="AZ62" s="121">
        <f t="shared" si="19"/>
        <v>1</v>
      </c>
      <c r="BB62" s="134" t="s">
        <v>28</v>
      </c>
      <c r="BC62" s="121">
        <f t="shared" si="20"/>
        <v>0</v>
      </c>
      <c r="BD62" s="121">
        <f t="shared" si="21"/>
        <v>0</v>
      </c>
      <c r="BE62" s="121">
        <f t="shared" si="22"/>
        <v>1</v>
      </c>
      <c r="BG62" s="134" t="s">
        <v>25</v>
      </c>
      <c r="BH62" s="121">
        <f t="shared" si="23"/>
        <v>1</v>
      </c>
      <c r="BI62" s="121">
        <f t="shared" si="24"/>
        <v>1</v>
      </c>
      <c r="BJ62" s="121">
        <f t="shared" si="25"/>
        <v>0</v>
      </c>
      <c r="BL62" s="134" t="s">
        <v>29</v>
      </c>
      <c r="BM62" s="121">
        <f t="shared" si="26"/>
        <v>0.5</v>
      </c>
      <c r="BN62" s="121">
        <f t="shared" si="27"/>
        <v>0</v>
      </c>
      <c r="BO62" s="121">
        <f>IF(AND($BL$2&lt;BM62,BM62&lt;$BM$2),(BM62-$BL$2)/($BM$2-$BL$2),IF(AND($BM$2&lt;=BM62,BM62&lt;$BN$2),($BN$2-BM62)/($BN$2-$BM$2), IF(OR(BM62&lt;=$BL$2,BM62&gt;=$BN$2),0,salah)))</f>
        <v>1</v>
      </c>
      <c r="BP62" s="121">
        <f t="shared" si="28"/>
        <v>0</v>
      </c>
    </row>
    <row r="63" spans="1:68" ht="15.6" x14ac:dyDescent="0.3">
      <c r="A63" s="24">
        <v>61</v>
      </c>
      <c r="B63" s="24">
        <v>30</v>
      </c>
      <c r="C63" s="26" t="s">
        <v>37</v>
      </c>
      <c r="D63" s="24">
        <v>113</v>
      </c>
      <c r="E63" s="24">
        <v>79</v>
      </c>
      <c r="F63" s="24">
        <v>94</v>
      </c>
      <c r="G63" s="24">
        <v>1.54</v>
      </c>
      <c r="H63" s="24">
        <v>65.099999999999994</v>
      </c>
      <c r="I63" s="143">
        <f t="shared" si="0"/>
        <v>27.449822904368357</v>
      </c>
      <c r="J63" s="24" t="s">
        <v>31</v>
      </c>
      <c r="K63" s="24" t="s">
        <v>39</v>
      </c>
      <c r="L63" s="24" t="s">
        <v>27</v>
      </c>
      <c r="M63" s="24" t="s">
        <v>33</v>
      </c>
      <c r="N63" s="24" t="s">
        <v>31</v>
      </c>
      <c r="O63" s="24" t="s">
        <v>34</v>
      </c>
      <c r="P63" s="24" t="s">
        <v>30</v>
      </c>
      <c r="Q63" s="90"/>
      <c r="R63" s="134" t="s">
        <v>35</v>
      </c>
      <c r="S63" s="120">
        <v>64</v>
      </c>
      <c r="T63" s="123">
        <f t="shared" si="1"/>
        <v>0</v>
      </c>
      <c r="U63" s="123">
        <f t="shared" si="2"/>
        <v>1</v>
      </c>
      <c r="V63" s="90"/>
      <c r="W63" s="119">
        <v>60</v>
      </c>
      <c r="X63" s="120">
        <v>179</v>
      </c>
      <c r="Y63" s="120">
        <v>113</v>
      </c>
      <c r="Z63" s="123">
        <f t="shared" si="3"/>
        <v>292</v>
      </c>
      <c r="AA63" s="123">
        <f t="shared" si="4"/>
        <v>0</v>
      </c>
      <c r="AB63" s="123">
        <f>IF(AND($X$2&lt;Z63,Z63&lt;$Y$2),(Z63-$X$2)/($Y$2-$X$2),IF(AND($Y$2&lt;=Z63,Z63&lt;$Z$2),($Z$2-Z63)/($Z$2-$Y$2), IF(OR(Z63&lt;=$X$2,Z63&gt;=$Z$2),0,salah)))</f>
        <v>0</v>
      </c>
      <c r="AC63" s="123">
        <f t="shared" si="5"/>
        <v>1</v>
      </c>
      <c r="AD63" s="90"/>
      <c r="AE63" s="120">
        <v>91</v>
      </c>
      <c r="AF63" s="123">
        <f t="shared" si="6"/>
        <v>0.9</v>
      </c>
      <c r="AG63" s="123">
        <f t="shared" si="7"/>
        <v>0.1</v>
      </c>
      <c r="AH63" s="90"/>
      <c r="AI63" s="144">
        <f t="shared" si="8"/>
        <v>27.960217676862456</v>
      </c>
      <c r="AJ63" s="123">
        <f t="shared" si="9"/>
        <v>0</v>
      </c>
      <c r="AK63" s="123">
        <f t="shared" si="10"/>
        <v>1</v>
      </c>
      <c r="AL63" s="90"/>
      <c r="AM63" s="120" t="s">
        <v>31</v>
      </c>
      <c r="AN63" s="123">
        <f t="shared" si="11"/>
        <v>0</v>
      </c>
      <c r="AO63" s="123">
        <f t="shared" si="12"/>
        <v>0</v>
      </c>
      <c r="AP63" s="123">
        <f t="shared" si="13"/>
        <v>1</v>
      </c>
      <c r="AQ63" s="90"/>
      <c r="AR63" s="120" t="s">
        <v>39</v>
      </c>
      <c r="AS63" s="123">
        <f t="shared" si="14"/>
        <v>1</v>
      </c>
      <c r="AT63" s="123">
        <f t="shared" si="15"/>
        <v>1</v>
      </c>
      <c r="AU63" s="123">
        <f t="shared" si="16"/>
        <v>0</v>
      </c>
      <c r="AV63" s="90"/>
      <c r="AW63" s="120" t="s">
        <v>27</v>
      </c>
      <c r="AX63" s="123">
        <f t="shared" si="17"/>
        <v>0</v>
      </c>
      <c r="AY63" s="123">
        <f t="shared" si="18"/>
        <v>0</v>
      </c>
      <c r="AZ63" s="123">
        <f t="shared" si="19"/>
        <v>1</v>
      </c>
      <c r="BA63" s="90"/>
      <c r="BB63" s="120" t="s">
        <v>33</v>
      </c>
      <c r="BC63" s="123">
        <f t="shared" si="20"/>
        <v>1</v>
      </c>
      <c r="BD63" s="123">
        <f t="shared" si="21"/>
        <v>1</v>
      </c>
      <c r="BE63" s="123">
        <f t="shared" si="22"/>
        <v>0</v>
      </c>
      <c r="BF63" s="90"/>
      <c r="BG63" s="120" t="s">
        <v>31</v>
      </c>
      <c r="BH63" s="123">
        <f t="shared" si="23"/>
        <v>0</v>
      </c>
      <c r="BI63" s="123">
        <f t="shared" si="24"/>
        <v>0</v>
      </c>
      <c r="BJ63" s="123">
        <f t="shared" si="25"/>
        <v>1</v>
      </c>
      <c r="BK63" s="90"/>
      <c r="BL63" s="120" t="s">
        <v>29</v>
      </c>
      <c r="BM63" s="123">
        <f t="shared" si="26"/>
        <v>0.5</v>
      </c>
      <c r="BN63" s="123">
        <f t="shared" si="27"/>
        <v>0</v>
      </c>
      <c r="BO63" s="123">
        <f>IF(AND($BL$2&lt;BM63,BM63&lt;$BM$2),(BM63-$BL$2)/($BM$2-$BL$2),IF(AND($BM$2&lt;=BM63,BM63&lt;$BN$2),($BN$2-BM63)/($BN$2-$BM$2), IF(OR(BM63&lt;=$BL$2,BM63&gt;=$BN$2),0,salah)))</f>
        <v>1</v>
      </c>
      <c r="BP63" s="123">
        <f t="shared" si="28"/>
        <v>0</v>
      </c>
    </row>
    <row r="64" spans="1:68" ht="15.6" x14ac:dyDescent="0.3">
      <c r="A64" s="24">
        <v>62</v>
      </c>
      <c r="B64" s="24">
        <v>27</v>
      </c>
      <c r="C64" s="26" t="s">
        <v>37</v>
      </c>
      <c r="D64" s="24">
        <v>143</v>
      </c>
      <c r="E64" s="24">
        <v>107</v>
      </c>
      <c r="F64" s="24">
        <v>106</v>
      </c>
      <c r="G64" s="24">
        <v>1.44</v>
      </c>
      <c r="H64" s="24">
        <v>76.5</v>
      </c>
      <c r="I64" s="143">
        <f t="shared" si="0"/>
        <v>36.892361111111114</v>
      </c>
      <c r="J64" s="24" t="s">
        <v>25</v>
      </c>
      <c r="K64" s="24" t="s">
        <v>26</v>
      </c>
      <c r="L64" s="24" t="s">
        <v>32</v>
      </c>
      <c r="M64" s="24" t="s">
        <v>33</v>
      </c>
      <c r="N64" s="24" t="s">
        <v>31</v>
      </c>
      <c r="O64" s="24" t="s">
        <v>34</v>
      </c>
      <c r="P64" s="24" t="s">
        <v>35</v>
      </c>
      <c r="Q64" s="90"/>
      <c r="R64" s="90"/>
      <c r="S64" s="24">
        <v>30</v>
      </c>
      <c r="T64" s="32">
        <f t="shared" si="1"/>
        <v>0.8</v>
      </c>
      <c r="U64" s="32">
        <f t="shared" si="2"/>
        <v>0.2</v>
      </c>
      <c r="V64" s="90"/>
      <c r="W64" s="90"/>
      <c r="X64" s="24">
        <v>113</v>
      </c>
      <c r="Y64" s="24">
        <v>79</v>
      </c>
      <c r="Z64" s="32">
        <f t="shared" si="3"/>
        <v>192</v>
      </c>
      <c r="AA64" s="32">
        <f t="shared" si="4"/>
        <v>1</v>
      </c>
      <c r="AB64" s="32">
        <f>IF(AND($X$2&lt;Z64,Z64&lt;$Y$2),(Z64-$X$2)/($Y$2-$X$2),IF(AND($Y$2&lt;=Z64,Z64&lt;$Z$2),($Z$2-Z64)/($Z$2-$Y$2), IF(OR(Z64&lt;=$X$2,Z64&gt;=$Z$2),0,salah)))</f>
        <v>0</v>
      </c>
      <c r="AC64" s="32">
        <f t="shared" si="5"/>
        <v>0</v>
      </c>
      <c r="AD64" s="90"/>
      <c r="AE64" s="24">
        <v>94</v>
      </c>
      <c r="AF64" s="32">
        <f t="shared" si="6"/>
        <v>0.6</v>
      </c>
      <c r="AG64" s="32">
        <f t="shared" si="7"/>
        <v>0.4</v>
      </c>
      <c r="AH64" s="90"/>
      <c r="AI64" s="143">
        <f t="shared" si="8"/>
        <v>27.449822904368357</v>
      </c>
      <c r="AJ64" s="32">
        <f t="shared" si="9"/>
        <v>0</v>
      </c>
      <c r="AK64" s="32">
        <f t="shared" si="10"/>
        <v>1</v>
      </c>
      <c r="AL64" s="90"/>
      <c r="AM64" s="24" t="s">
        <v>31</v>
      </c>
      <c r="AN64" s="32">
        <f t="shared" si="11"/>
        <v>0</v>
      </c>
      <c r="AO64" s="32">
        <f t="shared" si="12"/>
        <v>0</v>
      </c>
      <c r="AP64" s="32">
        <f t="shared" si="13"/>
        <v>1</v>
      </c>
      <c r="AQ64" s="90"/>
      <c r="AR64" s="24" t="s">
        <v>39</v>
      </c>
      <c r="AS64" s="32">
        <f t="shared" si="14"/>
        <v>1</v>
      </c>
      <c r="AT64" s="32">
        <f t="shared" si="15"/>
        <v>1</v>
      </c>
      <c r="AU64" s="32">
        <f t="shared" si="16"/>
        <v>0</v>
      </c>
      <c r="AV64" s="90"/>
      <c r="AW64" s="24" t="s">
        <v>27</v>
      </c>
      <c r="AX64" s="32">
        <f t="shared" si="17"/>
        <v>0</v>
      </c>
      <c r="AY64" s="32">
        <f t="shared" si="18"/>
        <v>0</v>
      </c>
      <c r="AZ64" s="32">
        <f t="shared" si="19"/>
        <v>1</v>
      </c>
      <c r="BA64" s="90"/>
      <c r="BB64" s="24" t="s">
        <v>33</v>
      </c>
      <c r="BC64" s="32">
        <f t="shared" si="20"/>
        <v>1</v>
      </c>
      <c r="BD64" s="32">
        <f t="shared" si="21"/>
        <v>1</v>
      </c>
      <c r="BE64" s="32">
        <f t="shared" si="22"/>
        <v>0</v>
      </c>
      <c r="BF64" s="90"/>
      <c r="BG64" s="24" t="s">
        <v>31</v>
      </c>
      <c r="BH64" s="32">
        <f t="shared" si="23"/>
        <v>0</v>
      </c>
      <c r="BI64" s="32">
        <f t="shared" si="24"/>
        <v>0</v>
      </c>
      <c r="BJ64" s="32">
        <f t="shared" si="25"/>
        <v>1</v>
      </c>
      <c r="BK64" s="90"/>
      <c r="BL64" s="24" t="s">
        <v>34</v>
      </c>
      <c r="BM64" s="32">
        <f t="shared" si="26"/>
        <v>0</v>
      </c>
      <c r="BN64" s="32">
        <f t="shared" si="27"/>
        <v>1</v>
      </c>
      <c r="BO64" s="32">
        <f>IF(AND($BL$2&lt;BM64,BM64&lt;$BM$2),(BM64-$BL$2)/($BM$2-$BL$2),IF(AND($BM$2&lt;=BM64,BM64&lt;$BN$2),($BN$2-BM64)/($BN$2-$BM$2), IF(OR(BM64&lt;=$BL$2,BM64&gt;=$BN$2),0,salah)))</f>
        <v>0</v>
      </c>
      <c r="BP64" s="32">
        <f t="shared" si="28"/>
        <v>0</v>
      </c>
    </row>
    <row r="65" spans="1:68" ht="15.6" x14ac:dyDescent="0.3">
      <c r="A65" s="24">
        <v>63</v>
      </c>
      <c r="B65" s="24">
        <v>53</v>
      </c>
      <c r="C65" s="26" t="s">
        <v>37</v>
      </c>
      <c r="D65" s="24">
        <v>208</v>
      </c>
      <c r="E65" s="24">
        <v>113</v>
      </c>
      <c r="F65" s="24">
        <v>92</v>
      </c>
      <c r="G65" s="24">
        <v>1.45</v>
      </c>
      <c r="H65" s="24">
        <v>45</v>
      </c>
      <c r="I65" s="143">
        <f t="shared" si="0"/>
        <v>21.403091557669441</v>
      </c>
      <c r="J65" s="24" t="s">
        <v>31</v>
      </c>
      <c r="K65" s="24" t="s">
        <v>39</v>
      </c>
      <c r="L65" s="24" t="s">
        <v>27</v>
      </c>
      <c r="M65" s="24" t="s">
        <v>33</v>
      </c>
      <c r="N65" s="24" t="s">
        <v>31</v>
      </c>
      <c r="O65" s="24" t="s">
        <v>34</v>
      </c>
      <c r="P65" s="24" t="s">
        <v>35</v>
      </c>
      <c r="Q65" s="90"/>
      <c r="R65" s="90"/>
      <c r="S65" s="24">
        <v>27</v>
      </c>
      <c r="T65" s="32">
        <f t="shared" si="1"/>
        <v>0.95</v>
      </c>
      <c r="U65" s="32">
        <f t="shared" si="2"/>
        <v>0.05</v>
      </c>
      <c r="V65" s="90"/>
      <c r="W65" s="90"/>
      <c r="X65" s="24">
        <v>143</v>
      </c>
      <c r="Y65" s="24">
        <v>107</v>
      </c>
      <c r="Z65" s="32">
        <f t="shared" si="3"/>
        <v>250</v>
      </c>
      <c r="AA65" s="32">
        <f t="shared" si="4"/>
        <v>0</v>
      </c>
      <c r="AB65" s="32">
        <f>IF(AND($X$2&lt;Z65,Z65&lt;$Y$2),(Z65-$X$2)/($Y$2-$X$2),IF(AND($Y$2&lt;=Z65,Z65&lt;$Z$2),($Z$2-Z65)/($Z$2-$Y$2), IF(OR(Z65&lt;=$X$2,Z65&gt;=$Z$2),0,salah)))</f>
        <v>0.5</v>
      </c>
      <c r="AC65" s="32">
        <f t="shared" si="5"/>
        <v>0.5</v>
      </c>
      <c r="AD65" s="90"/>
      <c r="AE65" s="24">
        <v>106</v>
      </c>
      <c r="AF65" s="32">
        <f t="shared" si="6"/>
        <v>0</v>
      </c>
      <c r="AG65" s="32">
        <f t="shared" si="7"/>
        <v>1</v>
      </c>
      <c r="AH65" s="90"/>
      <c r="AI65" s="143">
        <f t="shared" si="8"/>
        <v>36.892361111111114</v>
      </c>
      <c r="AJ65" s="32">
        <f t="shared" si="9"/>
        <v>0</v>
      </c>
      <c r="AK65" s="32">
        <f t="shared" si="10"/>
        <v>1</v>
      </c>
      <c r="AL65" s="90"/>
      <c r="AM65" s="24" t="s">
        <v>25</v>
      </c>
      <c r="AN65" s="32">
        <f t="shared" si="11"/>
        <v>1</v>
      </c>
      <c r="AO65" s="32">
        <f t="shared" si="12"/>
        <v>1</v>
      </c>
      <c r="AP65" s="32">
        <f t="shared" si="13"/>
        <v>0</v>
      </c>
      <c r="AQ65" s="90"/>
      <c r="AR65" s="24" t="s">
        <v>26</v>
      </c>
      <c r="AS65" s="32">
        <f t="shared" si="14"/>
        <v>0</v>
      </c>
      <c r="AT65" s="32">
        <f t="shared" si="15"/>
        <v>0</v>
      </c>
      <c r="AU65" s="32">
        <f t="shared" si="16"/>
        <v>1</v>
      </c>
      <c r="AV65" s="90"/>
      <c r="AW65" s="24" t="s">
        <v>32</v>
      </c>
      <c r="AX65" s="32">
        <f t="shared" si="17"/>
        <v>1</v>
      </c>
      <c r="AY65" s="32">
        <f t="shared" si="18"/>
        <v>1</v>
      </c>
      <c r="AZ65" s="32">
        <f t="shared" si="19"/>
        <v>0</v>
      </c>
      <c r="BA65" s="90"/>
      <c r="BB65" s="24" t="s">
        <v>33</v>
      </c>
      <c r="BC65" s="32">
        <f t="shared" si="20"/>
        <v>1</v>
      </c>
      <c r="BD65" s="32">
        <f t="shared" si="21"/>
        <v>1</v>
      </c>
      <c r="BE65" s="32">
        <f t="shared" si="22"/>
        <v>0</v>
      </c>
      <c r="BF65" s="90"/>
      <c r="BG65" s="24" t="s">
        <v>31</v>
      </c>
      <c r="BH65" s="32">
        <f t="shared" si="23"/>
        <v>0</v>
      </c>
      <c r="BI65" s="32">
        <f t="shared" si="24"/>
        <v>0</v>
      </c>
      <c r="BJ65" s="32">
        <f t="shared" si="25"/>
        <v>1</v>
      </c>
      <c r="BK65" s="90"/>
      <c r="BL65" s="24" t="s">
        <v>34</v>
      </c>
      <c r="BM65" s="32">
        <f t="shared" si="26"/>
        <v>0</v>
      </c>
      <c r="BN65" s="32">
        <f t="shared" si="27"/>
        <v>1</v>
      </c>
      <c r="BO65" s="32">
        <f>IF(AND($BL$2&lt;BM65,BM65&lt;$BM$2),(BM65-$BL$2)/($BM$2-$BL$2),IF(AND($BM$2&lt;=BM65,BM65&lt;$BN$2),($BN$2-BM65)/($BN$2-$BM$2), IF(OR(BM65&lt;=$BL$2,BM65&gt;=$BN$2),0,salah)))</f>
        <v>0</v>
      </c>
      <c r="BP65" s="32">
        <f t="shared" si="28"/>
        <v>0</v>
      </c>
    </row>
    <row r="66" spans="1:68" ht="15.6" x14ac:dyDescent="0.3">
      <c r="A66" s="24">
        <v>64</v>
      </c>
      <c r="B66" s="24">
        <v>34</v>
      </c>
      <c r="C66" s="26" t="s">
        <v>37</v>
      </c>
      <c r="D66" s="24">
        <v>126</v>
      </c>
      <c r="E66" s="24">
        <v>86</v>
      </c>
      <c r="F66" s="24">
        <v>108</v>
      </c>
      <c r="G66" s="24">
        <v>1.45</v>
      </c>
      <c r="H66" s="24">
        <v>62.1</v>
      </c>
      <c r="I66" s="143">
        <f t="shared" si="0"/>
        <v>29.53626634958383</v>
      </c>
      <c r="J66" s="24" t="s">
        <v>31</v>
      </c>
      <c r="K66" s="24" t="s">
        <v>39</v>
      </c>
      <c r="L66" s="24" t="s">
        <v>27</v>
      </c>
      <c r="M66" s="24" t="s">
        <v>33</v>
      </c>
      <c r="N66" s="24" t="s">
        <v>25</v>
      </c>
      <c r="O66" s="24" t="s">
        <v>34</v>
      </c>
      <c r="P66" s="24" t="s">
        <v>30</v>
      </c>
      <c r="Q66" s="90"/>
      <c r="R66" s="90"/>
      <c r="S66" s="24">
        <v>53</v>
      </c>
      <c r="T66" s="32">
        <f t="shared" si="1"/>
        <v>0</v>
      </c>
      <c r="U66" s="32">
        <f t="shared" si="2"/>
        <v>1</v>
      </c>
      <c r="V66" s="90"/>
      <c r="W66" s="90"/>
      <c r="X66" s="24">
        <v>208</v>
      </c>
      <c r="Y66" s="24">
        <v>113</v>
      </c>
      <c r="Z66" s="32">
        <f t="shared" si="3"/>
        <v>321</v>
      </c>
      <c r="AA66" s="32">
        <f t="shared" si="4"/>
        <v>0</v>
      </c>
      <c r="AB66" s="32">
        <f>IF(AND($X$2&lt;Z66,Z66&lt;$Y$2),(Z66-$X$2)/($Y$2-$X$2),IF(AND($Y$2&lt;=Z66,Z66&lt;$Z$2),($Z$2-Z66)/($Z$2-$Y$2), IF(OR(Z66&lt;=$X$2,Z66&gt;=$Z$2),0,salah)))</f>
        <v>0</v>
      </c>
      <c r="AC66" s="32">
        <f t="shared" si="5"/>
        <v>1</v>
      </c>
      <c r="AD66" s="90"/>
      <c r="AE66" s="24">
        <v>92</v>
      </c>
      <c r="AF66" s="32">
        <f t="shared" si="6"/>
        <v>0.8</v>
      </c>
      <c r="AG66" s="32">
        <f t="shared" si="7"/>
        <v>0.2</v>
      </c>
      <c r="AH66" s="90"/>
      <c r="AI66" s="143">
        <f t="shared" si="8"/>
        <v>21.403091557669441</v>
      </c>
      <c r="AJ66" s="32">
        <f t="shared" si="9"/>
        <v>0.62187871581450649</v>
      </c>
      <c r="AK66" s="32">
        <f t="shared" si="10"/>
        <v>0.37812128418549346</v>
      </c>
      <c r="AL66" s="90"/>
      <c r="AM66" s="24" t="s">
        <v>31</v>
      </c>
      <c r="AN66" s="32">
        <f t="shared" si="11"/>
        <v>0</v>
      </c>
      <c r="AO66" s="32">
        <f t="shared" si="12"/>
        <v>0</v>
      </c>
      <c r="AP66" s="32">
        <f t="shared" si="13"/>
        <v>1</v>
      </c>
      <c r="AQ66" s="90"/>
      <c r="AR66" s="24" t="s">
        <v>39</v>
      </c>
      <c r="AS66" s="32">
        <f t="shared" si="14"/>
        <v>1</v>
      </c>
      <c r="AT66" s="32">
        <f t="shared" si="15"/>
        <v>1</v>
      </c>
      <c r="AU66" s="32">
        <f t="shared" si="16"/>
        <v>0</v>
      </c>
      <c r="AV66" s="90"/>
      <c r="AW66" s="24" t="s">
        <v>27</v>
      </c>
      <c r="AX66" s="32">
        <f t="shared" si="17"/>
        <v>0</v>
      </c>
      <c r="AY66" s="32">
        <f t="shared" si="18"/>
        <v>0</v>
      </c>
      <c r="AZ66" s="32">
        <f t="shared" si="19"/>
        <v>1</v>
      </c>
      <c r="BA66" s="90"/>
      <c r="BB66" s="24" t="s">
        <v>33</v>
      </c>
      <c r="BC66" s="32">
        <f t="shared" si="20"/>
        <v>1</v>
      </c>
      <c r="BD66" s="32">
        <f t="shared" si="21"/>
        <v>1</v>
      </c>
      <c r="BE66" s="32">
        <f t="shared" si="22"/>
        <v>0</v>
      </c>
      <c r="BF66" s="90"/>
      <c r="BG66" s="24" t="s">
        <v>31</v>
      </c>
      <c r="BH66" s="32">
        <f t="shared" si="23"/>
        <v>0</v>
      </c>
      <c r="BI66" s="32">
        <f t="shared" si="24"/>
        <v>0</v>
      </c>
      <c r="BJ66" s="32">
        <f t="shared" si="25"/>
        <v>1</v>
      </c>
      <c r="BK66" s="90"/>
      <c r="BL66" s="24" t="s">
        <v>34</v>
      </c>
      <c r="BM66" s="32">
        <f t="shared" si="26"/>
        <v>0</v>
      </c>
      <c r="BN66" s="32">
        <f t="shared" si="27"/>
        <v>1</v>
      </c>
      <c r="BO66" s="32">
        <f>IF(AND($BL$2&lt;BM66,BM66&lt;$BM$2),(BM66-$BL$2)/($BM$2-$BL$2),IF(AND($BM$2&lt;=BM66,BM66&lt;$BN$2),($BN$2-BM66)/($BN$2-$BM$2), IF(OR(BM66&lt;=$BL$2,BM66&gt;=$BN$2),0,salah)))</f>
        <v>0</v>
      </c>
      <c r="BP66" s="32">
        <f t="shared" si="28"/>
        <v>0</v>
      </c>
    </row>
    <row r="67" spans="1:68" ht="15.6" x14ac:dyDescent="0.3">
      <c r="A67" s="24">
        <v>65</v>
      </c>
      <c r="B67" s="24">
        <v>43</v>
      </c>
      <c r="C67" s="26" t="s">
        <v>37</v>
      </c>
      <c r="D67" s="24">
        <v>130</v>
      </c>
      <c r="E67" s="24">
        <v>82</v>
      </c>
      <c r="F67" s="24">
        <v>80</v>
      </c>
      <c r="G67" s="24">
        <v>1.44</v>
      </c>
      <c r="H67" s="24">
        <v>43.9</v>
      </c>
      <c r="I67" s="143">
        <f t="shared" si="0"/>
        <v>21.170910493827162</v>
      </c>
      <c r="J67" s="24" t="s">
        <v>31</v>
      </c>
      <c r="K67" s="24" t="s">
        <v>26</v>
      </c>
      <c r="L67" s="24" t="s">
        <v>27</v>
      </c>
      <c r="M67" s="24" t="s">
        <v>33</v>
      </c>
      <c r="N67" s="24" t="s">
        <v>25</v>
      </c>
      <c r="O67" s="24" t="s">
        <v>34</v>
      </c>
      <c r="P67" s="24" t="s">
        <v>36</v>
      </c>
      <c r="Q67" s="90"/>
      <c r="R67" s="90"/>
      <c r="S67" s="24">
        <v>34</v>
      </c>
      <c r="T67" s="32">
        <f t="shared" si="1"/>
        <v>0.6</v>
      </c>
      <c r="U67" s="32">
        <f t="shared" si="2"/>
        <v>0.4</v>
      </c>
      <c r="V67" s="90"/>
      <c r="W67" s="90"/>
      <c r="X67" s="24">
        <v>126</v>
      </c>
      <c r="Y67" s="24">
        <v>86</v>
      </c>
      <c r="Z67" s="32">
        <f t="shared" si="3"/>
        <v>212</v>
      </c>
      <c r="AA67" s="32">
        <f t="shared" si="4"/>
        <v>0.6</v>
      </c>
      <c r="AB67" s="32">
        <f>IF(AND($X$2&lt;Z67,Z67&lt;$Y$2),(Z67-$X$2)/($Y$2-$X$2),IF(AND($Y$2&lt;=Z67,Z67&lt;$Z$2),($Z$2-Z67)/($Z$2-$Y$2), IF(OR(Z67&lt;=$X$2,Z67&gt;=$Z$2),0,salah)))</f>
        <v>0.4</v>
      </c>
      <c r="AC67" s="32">
        <f t="shared" si="5"/>
        <v>0</v>
      </c>
      <c r="AD67" s="90"/>
      <c r="AE67" s="24">
        <v>108</v>
      </c>
      <c r="AF67" s="32">
        <f t="shared" si="6"/>
        <v>0</v>
      </c>
      <c r="AG67" s="32">
        <f t="shared" si="7"/>
        <v>1</v>
      </c>
      <c r="AH67" s="90"/>
      <c r="AI67" s="143">
        <f t="shared" si="8"/>
        <v>29.53626634958383</v>
      </c>
      <c r="AJ67" s="32">
        <f t="shared" si="9"/>
        <v>0</v>
      </c>
      <c r="AK67" s="32">
        <f t="shared" si="10"/>
        <v>1</v>
      </c>
      <c r="AL67" s="90"/>
      <c r="AM67" s="24" t="s">
        <v>31</v>
      </c>
      <c r="AN67" s="32">
        <f t="shared" si="11"/>
        <v>0</v>
      </c>
      <c r="AO67" s="32">
        <f t="shared" si="12"/>
        <v>0</v>
      </c>
      <c r="AP67" s="32">
        <f t="shared" si="13"/>
        <v>1</v>
      </c>
      <c r="AQ67" s="90"/>
      <c r="AR67" s="24" t="s">
        <v>39</v>
      </c>
      <c r="AS67" s="32">
        <f t="shared" si="14"/>
        <v>1</v>
      </c>
      <c r="AT67" s="32">
        <f t="shared" si="15"/>
        <v>1</v>
      </c>
      <c r="AU67" s="32">
        <f t="shared" si="16"/>
        <v>0</v>
      </c>
      <c r="AV67" s="90"/>
      <c r="AW67" s="24" t="s">
        <v>27</v>
      </c>
      <c r="AX67" s="32">
        <f t="shared" si="17"/>
        <v>0</v>
      </c>
      <c r="AY67" s="32">
        <f t="shared" si="18"/>
        <v>0</v>
      </c>
      <c r="AZ67" s="32">
        <f t="shared" si="19"/>
        <v>1</v>
      </c>
      <c r="BA67" s="90"/>
      <c r="BB67" s="24" t="s">
        <v>33</v>
      </c>
      <c r="BC67" s="32">
        <f t="shared" si="20"/>
        <v>1</v>
      </c>
      <c r="BD67" s="32">
        <f t="shared" si="21"/>
        <v>1</v>
      </c>
      <c r="BE67" s="32">
        <f t="shared" si="22"/>
        <v>0</v>
      </c>
      <c r="BF67" s="90"/>
      <c r="BG67" s="24" t="s">
        <v>25</v>
      </c>
      <c r="BH67" s="32">
        <f t="shared" si="23"/>
        <v>1</v>
      </c>
      <c r="BI67" s="32">
        <f t="shared" si="24"/>
        <v>1</v>
      </c>
      <c r="BJ67" s="32">
        <f t="shared" si="25"/>
        <v>0</v>
      </c>
      <c r="BK67" s="90"/>
      <c r="BL67" s="24" t="s">
        <v>34</v>
      </c>
      <c r="BM67" s="32">
        <f t="shared" si="26"/>
        <v>0</v>
      </c>
      <c r="BN67" s="32">
        <f t="shared" si="27"/>
        <v>1</v>
      </c>
      <c r="BO67" s="32">
        <f>IF(AND($BL$2&lt;BM67,BM67&lt;$BM$2),(BM67-$BL$2)/($BM$2-$BL$2),IF(AND($BM$2&lt;=BM67,BM67&lt;$BN$2),($BN$2-BM67)/($BN$2-$BM$2), IF(OR(BM67&lt;=$BL$2,BM67&gt;=$BN$2),0,salah)))</f>
        <v>0</v>
      </c>
      <c r="BP67" s="32">
        <f t="shared" si="28"/>
        <v>0</v>
      </c>
    </row>
    <row r="68" spans="1:68" ht="15.6" x14ac:dyDescent="0.3">
      <c r="A68" s="24">
        <v>66</v>
      </c>
      <c r="B68" s="24">
        <v>41</v>
      </c>
      <c r="C68" s="26" t="s">
        <v>37</v>
      </c>
      <c r="D68" s="24">
        <v>198</v>
      </c>
      <c r="E68" s="24">
        <v>122</v>
      </c>
      <c r="F68" s="24">
        <v>77</v>
      </c>
      <c r="G68" s="24">
        <v>1.43</v>
      </c>
      <c r="H68" s="24">
        <v>43.8</v>
      </c>
      <c r="I68" s="143">
        <f t="shared" ref="I68:I77" si="29">H68/(G68*G68)</f>
        <v>21.419140300259183</v>
      </c>
      <c r="J68" s="24" t="s">
        <v>31</v>
      </c>
      <c r="K68" s="24" t="s">
        <v>39</v>
      </c>
      <c r="L68" s="24" t="s">
        <v>27</v>
      </c>
      <c r="M68" s="24" t="s">
        <v>28</v>
      </c>
      <c r="N68" s="24" t="s">
        <v>31</v>
      </c>
      <c r="O68" s="24" t="s">
        <v>38</v>
      </c>
      <c r="P68" s="24" t="s">
        <v>35</v>
      </c>
      <c r="Q68" s="90"/>
      <c r="R68" s="90"/>
      <c r="S68" s="24">
        <v>43</v>
      </c>
      <c r="T68" s="32">
        <f t="shared" si="1"/>
        <v>0.15</v>
      </c>
      <c r="U68" s="32">
        <f t="shared" si="2"/>
        <v>0.85</v>
      </c>
      <c r="V68" s="90"/>
      <c r="W68" s="90"/>
      <c r="X68" s="24">
        <v>130</v>
      </c>
      <c r="Y68" s="24">
        <v>82</v>
      </c>
      <c r="Z68" s="32">
        <f t="shared" si="3"/>
        <v>212</v>
      </c>
      <c r="AA68" s="32">
        <f t="shared" si="4"/>
        <v>0.6</v>
      </c>
      <c r="AB68" s="32">
        <f>IF(AND($X$2&lt;Z68,Z68&lt;$Y$2),(Z68-$X$2)/($Y$2-$X$2),IF(AND($Y$2&lt;=Z68,Z68&lt;$Z$2),($Z$2-Z68)/($Z$2-$Y$2), IF(OR(Z68&lt;=$X$2,Z68&gt;=$Z$2),0,salah)))</f>
        <v>0.4</v>
      </c>
      <c r="AC68" s="32">
        <f t="shared" si="5"/>
        <v>0</v>
      </c>
      <c r="AD68" s="90"/>
      <c r="AE68" s="24">
        <v>80</v>
      </c>
      <c r="AF68" s="32">
        <f t="shared" si="6"/>
        <v>1</v>
      </c>
      <c r="AG68" s="32">
        <f t="shared" si="7"/>
        <v>0</v>
      </c>
      <c r="AH68" s="90"/>
      <c r="AI68" s="143">
        <f t="shared" si="8"/>
        <v>21.170910493827162</v>
      </c>
      <c r="AJ68" s="32">
        <f t="shared" si="9"/>
        <v>0.6476766117969821</v>
      </c>
      <c r="AK68" s="32">
        <f t="shared" si="10"/>
        <v>0.35232338820301795</v>
      </c>
      <c r="AL68" s="90"/>
      <c r="AM68" s="24" t="s">
        <v>31</v>
      </c>
      <c r="AN68" s="32">
        <f t="shared" si="11"/>
        <v>0</v>
      </c>
      <c r="AO68" s="32">
        <f t="shared" si="12"/>
        <v>0</v>
      </c>
      <c r="AP68" s="32">
        <f t="shared" si="13"/>
        <v>1</v>
      </c>
      <c r="AQ68" s="90"/>
      <c r="AR68" s="24" t="s">
        <v>26</v>
      </c>
      <c r="AS68" s="32">
        <f t="shared" si="14"/>
        <v>0</v>
      </c>
      <c r="AT68" s="32">
        <f t="shared" si="15"/>
        <v>0</v>
      </c>
      <c r="AU68" s="32">
        <f t="shared" si="16"/>
        <v>1</v>
      </c>
      <c r="AV68" s="90"/>
      <c r="AW68" s="24" t="s">
        <v>27</v>
      </c>
      <c r="AX68" s="32">
        <f t="shared" si="17"/>
        <v>0</v>
      </c>
      <c r="AY68" s="32">
        <f t="shared" si="18"/>
        <v>0</v>
      </c>
      <c r="AZ68" s="32">
        <f t="shared" si="19"/>
        <v>1</v>
      </c>
      <c r="BA68" s="90"/>
      <c r="BB68" s="24" t="s">
        <v>33</v>
      </c>
      <c r="BC68" s="32">
        <f t="shared" si="20"/>
        <v>1</v>
      </c>
      <c r="BD68" s="32">
        <f t="shared" si="21"/>
        <v>1</v>
      </c>
      <c r="BE68" s="32">
        <f t="shared" si="22"/>
        <v>0</v>
      </c>
      <c r="BF68" s="90"/>
      <c r="BG68" s="24" t="s">
        <v>25</v>
      </c>
      <c r="BH68" s="32">
        <f t="shared" si="23"/>
        <v>1</v>
      </c>
      <c r="BI68" s="32">
        <f t="shared" si="24"/>
        <v>1</v>
      </c>
      <c r="BJ68" s="32">
        <f t="shared" si="25"/>
        <v>0</v>
      </c>
      <c r="BK68" s="90"/>
      <c r="BL68" s="24" t="s">
        <v>34</v>
      </c>
      <c r="BM68" s="32">
        <f t="shared" si="26"/>
        <v>0</v>
      </c>
      <c r="BN68" s="32">
        <f t="shared" si="27"/>
        <v>1</v>
      </c>
      <c r="BO68" s="32">
        <f>IF(AND($BL$2&lt;BM68,BM68&lt;$BM$2),(BM68-$BL$2)/($BM$2-$BL$2),IF(AND($BM$2&lt;=BM68,BM68&lt;$BN$2),($BN$2-BM68)/($BN$2-$BM$2), IF(OR(BM68&lt;=$BL$2,BM68&gt;=$BN$2),0,salah)))</f>
        <v>0</v>
      </c>
      <c r="BP68" s="32">
        <f t="shared" si="28"/>
        <v>0</v>
      </c>
    </row>
    <row r="69" spans="1:68" ht="15.6" x14ac:dyDescent="0.3">
      <c r="A69" s="24">
        <v>67</v>
      </c>
      <c r="B69" s="24">
        <v>53</v>
      </c>
      <c r="C69" s="26" t="s">
        <v>37</v>
      </c>
      <c r="D69" s="24">
        <v>181</v>
      </c>
      <c r="E69" s="24">
        <v>115</v>
      </c>
      <c r="F69" s="24">
        <v>87</v>
      </c>
      <c r="G69" s="24">
        <v>1.425</v>
      </c>
      <c r="H69" s="24">
        <v>45.2</v>
      </c>
      <c r="I69" s="143">
        <f t="shared" si="29"/>
        <v>22.259156663588797</v>
      </c>
      <c r="J69" s="24" t="s">
        <v>31</v>
      </c>
      <c r="K69" s="24" t="s">
        <v>39</v>
      </c>
      <c r="L69" s="24" t="s">
        <v>27</v>
      </c>
      <c r="M69" s="24" t="s">
        <v>28</v>
      </c>
      <c r="N69" s="24" t="s">
        <v>31</v>
      </c>
      <c r="O69" s="24" t="s">
        <v>38</v>
      </c>
      <c r="P69" s="24" t="s">
        <v>35</v>
      </c>
      <c r="Q69" s="90"/>
      <c r="R69" s="90"/>
      <c r="S69" s="24">
        <v>41</v>
      </c>
      <c r="T69" s="32">
        <f t="shared" ref="T69:T78" si="30">IF(S69&lt;=$T$1,1,IF(AND($T$1&lt;S69,S69&lt;$T$2),($T$2-S69)/($T$2-$T$1),IF(S69&gt;=$T$2,0)))</f>
        <v>0.25</v>
      </c>
      <c r="U69" s="32">
        <f t="shared" ref="U69:U78" si="31">IF(S69&lt;=$T$1,0,IF(AND($T$1&lt;S69,S69&lt;$T$2),(S69-$T$1)/($T$2-$T$1),IF(S69&gt;=$T$2,1)))</f>
        <v>0.75</v>
      </c>
      <c r="V69" s="90"/>
      <c r="W69" s="90"/>
      <c r="X69" s="24">
        <v>198</v>
      </c>
      <c r="Y69" s="24">
        <v>122</v>
      </c>
      <c r="Z69" s="32">
        <f t="shared" ref="Z69:Z78" si="32">SUM(X69:Y69)</f>
        <v>320</v>
      </c>
      <c r="AA69" s="32">
        <f t="shared" ref="AA69:AA78" si="33">IF(Z69&lt;=$X$2,1,IF(AND($X$2&lt;Z69,Z69&lt;$Y$2),($Y$2-Z69)/($Y$2-$X$2),IF(Z69&gt;=$Y$2,0)))</f>
        <v>0</v>
      </c>
      <c r="AB69" s="32">
        <f>IF(AND($X$2&lt;Z69,Z69&lt;$Y$2),(Z69-$X$2)/($Y$2-$X$2),IF(AND($Y$2&lt;=Z69,Z69&lt;$Z$2),($Z$2-Z69)/($Z$2-$Y$2), IF(OR(Z69&lt;=$X$2,Z69&gt;=$Z$2),0,salah)))</f>
        <v>0</v>
      </c>
      <c r="AC69" s="32">
        <f t="shared" ref="AC69:AC78" si="34">IF(Z69&lt;=$Y$2,0,IF(AND($Y$2&lt;Z69,Z69&lt;$Z$2),(Z69-$Y$2)/($Z$2-$Y$2),IF(Z69&gt;=$Y$2,1)))</f>
        <v>1</v>
      </c>
      <c r="AD69" s="90"/>
      <c r="AE69" s="24">
        <v>77</v>
      </c>
      <c r="AF69" s="32">
        <f t="shared" ref="AF69:AF78" si="35">IF(AE69&lt;=$AF$1,1,IF(AND($AF$1&lt;AE69,AE69&lt;$AF$2),($AF$2-AE69)/($AF$2-$AF$1),IF(AE69&gt;=$AF$2,0)))</f>
        <v>1</v>
      </c>
      <c r="AG69" s="32">
        <f t="shared" ref="AG69:AG78" si="36">IF(AE69&lt;=$AF$1,0,IF(AND($AF$1&lt;AE69,AE69&lt;$AF$2),(AE69-$AF$1)/($AF$2-$AF$1),IF(AE69&gt;=$AF$2,1)))</f>
        <v>0</v>
      </c>
      <c r="AH69" s="90"/>
      <c r="AI69" s="143">
        <f t="shared" ref="AI69:AI78" si="37">H68/(G68*G68)</f>
        <v>21.419140300259183</v>
      </c>
      <c r="AJ69" s="32">
        <f t="shared" ref="AJ69:AJ78" si="38">IF(AI69&lt;=$AJ$1,1,IF(AND($AJ$1&lt;AI69,AI69&lt;$AJ$2),($AJ$2-AI69)/($AJ$2-$AJ$1),IF(AI69&gt;=$AJ$2,0)))</f>
        <v>0.62009552219342412</v>
      </c>
      <c r="AK69" s="32">
        <f t="shared" ref="AK69:AK78" si="39">IF(AI69&lt;=$AJ$1,0,IF(AND($AJ$1&lt;AI69,AI69&lt;$AJ$2),(AI69-$AJ$1)/($AJ$2-$AJ$1),IF(AI69&gt;=$AJ$2,1)))</f>
        <v>0.37990447780657594</v>
      </c>
      <c r="AL69" s="90"/>
      <c r="AM69" s="24" t="s">
        <v>31</v>
      </c>
      <c r="AN69" s="32">
        <f t="shared" ref="AN69:AN78" si="40">IF(AM69="Ya", 1, 0)</f>
        <v>0</v>
      </c>
      <c r="AO69" s="32">
        <f t="shared" ref="AO69:AO78" si="41">($AN$2-AN69)/($AN$2-$AN$1)</f>
        <v>0</v>
      </c>
      <c r="AP69" s="32">
        <f t="shared" ref="AP69:AP78" si="42">(AN69-$AN$1)/($AN$2-$AN$1)</f>
        <v>1</v>
      </c>
      <c r="AQ69" s="90"/>
      <c r="AR69" s="24" t="s">
        <v>39</v>
      </c>
      <c r="AS69" s="32">
        <f t="shared" ref="AS69:AS78" si="43">IF(AR69="Jarang", 0, 1)</f>
        <v>1</v>
      </c>
      <c r="AT69" s="32">
        <f t="shared" ref="AT69:AT78" si="44">($AS$2-AS69)/($AS$2-$AS$1)</f>
        <v>1</v>
      </c>
      <c r="AU69" s="32">
        <f t="shared" ref="AU69:AU78" si="45">(AS69-$AS$1)/($AS$2-$AS$1)</f>
        <v>0</v>
      </c>
      <c r="AV69" s="90"/>
      <c r="AW69" s="24" t="s">
        <v>27</v>
      </c>
      <c r="AX69" s="32">
        <f t="shared" ref="AX69:AX78" si="46">IF(AW69="≤ 4 sdm", 0, 1)</f>
        <v>0</v>
      </c>
      <c r="AY69" s="32">
        <f t="shared" ref="AY69:AY78" si="47">($AX$2-AX69)/($AX$2-$AX$1)</f>
        <v>0</v>
      </c>
      <c r="AZ69" s="32">
        <f t="shared" ref="AZ69:AZ78" si="48">(AX69-$AX$1)/($AX$2-$AX$1)</f>
        <v>1</v>
      </c>
      <c r="BA69" s="90"/>
      <c r="BB69" s="24" t="s">
        <v>28</v>
      </c>
      <c r="BC69" s="32">
        <f t="shared" ref="BC69:BC78" si="49">IF(BB69="≤ 1 sdt", 0, 1)</f>
        <v>0</v>
      </c>
      <c r="BD69" s="32">
        <f t="shared" ref="BD69:BD78" si="50">($BC$2-BC69)/($BC$2-$BC$1)</f>
        <v>0</v>
      </c>
      <c r="BE69" s="32">
        <f t="shared" ref="BE69:BE78" si="51">(BC69-$BC$1)/($BC$2-$BC$1)</f>
        <v>1</v>
      </c>
      <c r="BF69" s="90"/>
      <c r="BG69" s="24" t="s">
        <v>31</v>
      </c>
      <c r="BH69" s="32">
        <f t="shared" ref="BH69:BH78" si="52">IF(BG69="Ya", 1, 0)</f>
        <v>0</v>
      </c>
      <c r="BI69" s="32">
        <f t="shared" ref="BI69:BI78" si="53">($BH$2-BH69)/($BH$2-$BH$1)</f>
        <v>0</v>
      </c>
      <c r="BJ69" s="32">
        <f t="shared" ref="BJ69:BJ78" si="54">(BH69-$BH$1)/($BH$2-$BH$1)</f>
        <v>1</v>
      </c>
      <c r="BK69" s="90"/>
      <c r="BL69" s="24" t="s">
        <v>38</v>
      </c>
      <c r="BM69" s="32">
        <f t="shared" ref="BM69:BM78" si="55">IF(BL69="Tidak", 0,IF(BL69="≤ 3 gelas", 0.5, IF(BL69="&gt; 3 gelas", 1, )))</f>
        <v>1</v>
      </c>
      <c r="BN69" s="32">
        <f t="shared" ref="BN69:BN78" si="56">IF(BM69&lt;=$BL$2,1,IF(AND($BL$2&lt;BM69,BM69&lt;$BM$2),($BM$2-BM69)/($BM$2-$BL$2),IF(BM69&gt;=$BM$2,0)))</f>
        <v>0</v>
      </c>
      <c r="BO69" s="32">
        <f>IF(AND($BL$2&lt;BM69,BM69&lt;$BM$2),(BM69-$BL$2)/($BM$2-$BL$2),IF(AND($BM$2&lt;=BM69,BM69&lt;$BN$2),($BN$2-BM69)/($BN$2-$BM$2), IF(OR(BM69&lt;=$BL$2,BM69&gt;=$BN$2),0,salah)))</f>
        <v>0</v>
      </c>
      <c r="BP69" s="32">
        <f t="shared" ref="BP69:BP78" si="57">IF(BM69&lt;=$BM$2,0,IF(AND($BM$2&lt;BM69,BM69&lt;$BN$2),(BM69-$BM$2)/($BN$2-$BM$2),IF(BM69&gt;=$BM$2,1)))</f>
        <v>1</v>
      </c>
    </row>
    <row r="70" spans="1:68" ht="15.6" x14ac:dyDescent="0.3">
      <c r="A70" s="24">
        <v>68</v>
      </c>
      <c r="B70" s="24">
        <v>20</v>
      </c>
      <c r="C70" s="26" t="s">
        <v>37</v>
      </c>
      <c r="D70" s="24">
        <v>127</v>
      </c>
      <c r="E70" s="24">
        <v>86</v>
      </c>
      <c r="F70" s="24">
        <v>81</v>
      </c>
      <c r="G70" s="24">
        <v>1.5</v>
      </c>
      <c r="H70" s="24">
        <v>43.7</v>
      </c>
      <c r="I70" s="143">
        <f t="shared" si="29"/>
        <v>19.422222222222224</v>
      </c>
      <c r="J70" s="24" t="s">
        <v>31</v>
      </c>
      <c r="K70" s="24" t="s">
        <v>26</v>
      </c>
      <c r="L70" s="24" t="s">
        <v>27</v>
      </c>
      <c r="M70" s="24" t="s">
        <v>28</v>
      </c>
      <c r="N70" s="24" t="s">
        <v>25</v>
      </c>
      <c r="O70" s="24" t="s">
        <v>34</v>
      </c>
      <c r="P70" s="24" t="s">
        <v>36</v>
      </c>
      <c r="Q70" s="90"/>
      <c r="R70" s="90"/>
      <c r="S70" s="24">
        <v>53</v>
      </c>
      <c r="T70" s="32">
        <f t="shared" si="30"/>
        <v>0</v>
      </c>
      <c r="U70" s="32">
        <f t="shared" si="31"/>
        <v>1</v>
      </c>
      <c r="V70" s="90"/>
      <c r="W70" s="90"/>
      <c r="X70" s="24">
        <v>181</v>
      </c>
      <c r="Y70" s="24">
        <v>115</v>
      </c>
      <c r="Z70" s="32">
        <f t="shared" si="32"/>
        <v>296</v>
      </c>
      <c r="AA70" s="32">
        <f t="shared" si="33"/>
        <v>0</v>
      </c>
      <c r="AB70" s="32">
        <f>IF(AND($X$2&lt;Z70,Z70&lt;$Y$2),(Z70-$X$2)/($Y$2-$X$2),IF(AND($Y$2&lt;=Z70,Z70&lt;$Z$2),($Z$2-Z70)/($Z$2-$Y$2), IF(OR(Z70&lt;=$X$2,Z70&gt;=$Z$2),0,salah)))</f>
        <v>0</v>
      </c>
      <c r="AC70" s="32">
        <f t="shared" si="34"/>
        <v>1</v>
      </c>
      <c r="AD70" s="90"/>
      <c r="AE70" s="24">
        <v>87</v>
      </c>
      <c r="AF70" s="32">
        <f t="shared" si="35"/>
        <v>1</v>
      </c>
      <c r="AG70" s="32">
        <f t="shared" si="36"/>
        <v>0</v>
      </c>
      <c r="AH70" s="90"/>
      <c r="AI70" s="143">
        <f t="shared" si="37"/>
        <v>22.259156663588797</v>
      </c>
      <c r="AJ70" s="32">
        <f t="shared" si="38"/>
        <v>0.52676037071235582</v>
      </c>
      <c r="AK70" s="32">
        <f t="shared" si="39"/>
        <v>0.47323962928764413</v>
      </c>
      <c r="AL70" s="90"/>
      <c r="AM70" s="24" t="s">
        <v>31</v>
      </c>
      <c r="AN70" s="32">
        <f t="shared" si="40"/>
        <v>0</v>
      </c>
      <c r="AO70" s="32">
        <f t="shared" si="41"/>
        <v>0</v>
      </c>
      <c r="AP70" s="32">
        <f t="shared" si="42"/>
        <v>1</v>
      </c>
      <c r="AQ70" s="90"/>
      <c r="AR70" s="24" t="s">
        <v>39</v>
      </c>
      <c r="AS70" s="32">
        <f t="shared" si="43"/>
        <v>1</v>
      </c>
      <c r="AT70" s="32">
        <f t="shared" si="44"/>
        <v>1</v>
      </c>
      <c r="AU70" s="32">
        <f t="shared" si="45"/>
        <v>0</v>
      </c>
      <c r="AV70" s="90"/>
      <c r="AW70" s="24" t="s">
        <v>27</v>
      </c>
      <c r="AX70" s="32">
        <f t="shared" si="46"/>
        <v>0</v>
      </c>
      <c r="AY70" s="32">
        <f t="shared" si="47"/>
        <v>0</v>
      </c>
      <c r="AZ70" s="32">
        <f t="shared" si="48"/>
        <v>1</v>
      </c>
      <c r="BA70" s="90"/>
      <c r="BB70" s="24" t="s">
        <v>28</v>
      </c>
      <c r="BC70" s="32">
        <f t="shared" si="49"/>
        <v>0</v>
      </c>
      <c r="BD70" s="32">
        <f t="shared" si="50"/>
        <v>0</v>
      </c>
      <c r="BE70" s="32">
        <f t="shared" si="51"/>
        <v>1</v>
      </c>
      <c r="BF70" s="90"/>
      <c r="BG70" s="24" t="s">
        <v>31</v>
      </c>
      <c r="BH70" s="32">
        <f t="shared" si="52"/>
        <v>0</v>
      </c>
      <c r="BI70" s="32">
        <f t="shared" si="53"/>
        <v>0</v>
      </c>
      <c r="BJ70" s="32">
        <f t="shared" si="54"/>
        <v>1</v>
      </c>
      <c r="BK70" s="90"/>
      <c r="BL70" s="24" t="s">
        <v>38</v>
      </c>
      <c r="BM70" s="32">
        <f t="shared" si="55"/>
        <v>1</v>
      </c>
      <c r="BN70" s="32">
        <f t="shared" si="56"/>
        <v>0</v>
      </c>
      <c r="BO70" s="32">
        <f>IF(AND($BL$2&lt;BM70,BM70&lt;$BM$2),(BM70-$BL$2)/($BM$2-$BL$2),IF(AND($BM$2&lt;=BM70,BM70&lt;$BN$2),($BN$2-BM70)/($BN$2-$BM$2), IF(OR(BM70&lt;=$BL$2,BM70&gt;=$BN$2),0,salah)))</f>
        <v>0</v>
      </c>
      <c r="BP70" s="32">
        <f t="shared" si="57"/>
        <v>1</v>
      </c>
    </row>
    <row r="71" spans="1:68" ht="15.6" x14ac:dyDescent="0.3">
      <c r="A71" s="24">
        <v>69</v>
      </c>
      <c r="B71" s="24">
        <v>49</v>
      </c>
      <c r="C71" s="26" t="s">
        <v>24</v>
      </c>
      <c r="D71" s="24">
        <v>129</v>
      </c>
      <c r="E71" s="24">
        <v>85</v>
      </c>
      <c r="F71" s="24">
        <v>87</v>
      </c>
      <c r="G71" s="24">
        <v>1.5049999999999999</v>
      </c>
      <c r="H71" s="24">
        <v>52.6</v>
      </c>
      <c r="I71" s="143">
        <f t="shared" si="29"/>
        <v>23.222701736183932</v>
      </c>
      <c r="J71" s="24" t="s">
        <v>25</v>
      </c>
      <c r="K71" s="24" t="s">
        <v>26</v>
      </c>
      <c r="L71" s="24" t="s">
        <v>27</v>
      </c>
      <c r="M71" s="24" t="s">
        <v>33</v>
      </c>
      <c r="N71" s="24" t="s">
        <v>25</v>
      </c>
      <c r="O71" s="24" t="s">
        <v>34</v>
      </c>
      <c r="P71" s="24" t="s">
        <v>36</v>
      </c>
      <c r="Q71" s="90"/>
      <c r="R71" s="90"/>
      <c r="S71" s="24">
        <v>20</v>
      </c>
      <c r="T71" s="32">
        <f t="shared" si="30"/>
        <v>1</v>
      </c>
      <c r="U71" s="32">
        <f t="shared" si="31"/>
        <v>0</v>
      </c>
      <c r="V71" s="90"/>
      <c r="W71" s="90"/>
      <c r="X71" s="24">
        <v>127</v>
      </c>
      <c r="Y71" s="24">
        <v>86</v>
      </c>
      <c r="Z71" s="32">
        <f t="shared" si="32"/>
        <v>213</v>
      </c>
      <c r="AA71" s="32">
        <f t="shared" si="33"/>
        <v>0.56666666666666665</v>
      </c>
      <c r="AB71" s="32">
        <f>IF(AND($X$2&lt;Z71,Z71&lt;$Y$2),(Z71-$X$2)/($Y$2-$X$2),IF(AND($Y$2&lt;=Z71,Z71&lt;$Z$2),($Z$2-Z71)/($Z$2-$Y$2), IF(OR(Z71&lt;=$X$2,Z71&gt;=$Z$2),0,salah)))</f>
        <v>0.43333333333333335</v>
      </c>
      <c r="AC71" s="32">
        <f t="shared" si="34"/>
        <v>0</v>
      </c>
      <c r="AD71" s="90"/>
      <c r="AE71" s="24">
        <v>81</v>
      </c>
      <c r="AF71" s="32">
        <f t="shared" si="35"/>
        <v>1</v>
      </c>
      <c r="AG71" s="32">
        <f t="shared" si="36"/>
        <v>0</v>
      </c>
      <c r="AH71" s="90"/>
      <c r="AI71" s="143">
        <f t="shared" si="37"/>
        <v>19.422222222222224</v>
      </c>
      <c r="AJ71" s="32">
        <f t="shared" si="38"/>
        <v>0.84197530864197512</v>
      </c>
      <c r="AK71" s="32">
        <f t="shared" si="39"/>
        <v>0.15802469135802491</v>
      </c>
      <c r="AL71" s="90"/>
      <c r="AM71" s="24" t="s">
        <v>31</v>
      </c>
      <c r="AN71" s="32">
        <f t="shared" si="40"/>
        <v>0</v>
      </c>
      <c r="AO71" s="32">
        <f t="shared" si="41"/>
        <v>0</v>
      </c>
      <c r="AP71" s="32">
        <f t="shared" si="42"/>
        <v>1</v>
      </c>
      <c r="AQ71" s="90"/>
      <c r="AR71" s="24" t="s">
        <v>26</v>
      </c>
      <c r="AS71" s="32">
        <f t="shared" si="43"/>
        <v>0</v>
      </c>
      <c r="AT71" s="32">
        <f t="shared" si="44"/>
        <v>0</v>
      </c>
      <c r="AU71" s="32">
        <f t="shared" si="45"/>
        <v>1</v>
      </c>
      <c r="AV71" s="90"/>
      <c r="AW71" s="24" t="s">
        <v>27</v>
      </c>
      <c r="AX71" s="32">
        <f t="shared" si="46"/>
        <v>0</v>
      </c>
      <c r="AY71" s="32">
        <f t="shared" si="47"/>
        <v>0</v>
      </c>
      <c r="AZ71" s="32">
        <f t="shared" si="48"/>
        <v>1</v>
      </c>
      <c r="BA71" s="90"/>
      <c r="BB71" s="24" t="s">
        <v>28</v>
      </c>
      <c r="BC71" s="32">
        <f t="shared" si="49"/>
        <v>0</v>
      </c>
      <c r="BD71" s="32">
        <f t="shared" si="50"/>
        <v>0</v>
      </c>
      <c r="BE71" s="32">
        <f t="shared" si="51"/>
        <v>1</v>
      </c>
      <c r="BF71" s="90"/>
      <c r="BG71" s="24" t="s">
        <v>25</v>
      </c>
      <c r="BH71" s="32">
        <f t="shared" si="52"/>
        <v>1</v>
      </c>
      <c r="BI71" s="32">
        <f t="shared" si="53"/>
        <v>1</v>
      </c>
      <c r="BJ71" s="32">
        <f t="shared" si="54"/>
        <v>0</v>
      </c>
      <c r="BK71" s="90"/>
      <c r="BL71" s="24" t="s">
        <v>34</v>
      </c>
      <c r="BM71" s="32">
        <f t="shared" si="55"/>
        <v>0</v>
      </c>
      <c r="BN71" s="32">
        <f t="shared" si="56"/>
        <v>1</v>
      </c>
      <c r="BO71" s="32">
        <f>IF(AND($BL$2&lt;BM71,BM71&lt;$BM$2),(BM71-$BL$2)/($BM$2-$BL$2),IF(AND($BM$2&lt;=BM71,BM71&lt;$BN$2),($BN$2-BM71)/($BN$2-$BM$2), IF(OR(BM71&lt;=$BL$2,BM71&gt;=$BN$2),0,salah)))</f>
        <v>0</v>
      </c>
      <c r="BP71" s="32">
        <f t="shared" si="57"/>
        <v>0</v>
      </c>
    </row>
    <row r="72" spans="1:68" ht="15.6" x14ac:dyDescent="0.3">
      <c r="A72" s="24">
        <v>70</v>
      </c>
      <c r="B72" s="24">
        <v>53</v>
      </c>
      <c r="C72" s="26" t="s">
        <v>37</v>
      </c>
      <c r="D72" s="24">
        <v>208</v>
      </c>
      <c r="E72" s="24">
        <v>113</v>
      </c>
      <c r="F72" s="24">
        <v>92</v>
      </c>
      <c r="G72" s="24">
        <v>1.45</v>
      </c>
      <c r="H72" s="24">
        <v>45</v>
      </c>
      <c r="I72" s="143">
        <f t="shared" si="29"/>
        <v>21.403091557669441</v>
      </c>
      <c r="J72" s="24" t="s">
        <v>31</v>
      </c>
      <c r="K72" s="24" t="s">
        <v>39</v>
      </c>
      <c r="L72" s="24" t="s">
        <v>27</v>
      </c>
      <c r="M72" s="24" t="s">
        <v>33</v>
      </c>
      <c r="N72" s="24" t="s">
        <v>31</v>
      </c>
      <c r="O72" s="24" t="s">
        <v>29</v>
      </c>
      <c r="P72" s="24" t="s">
        <v>35</v>
      </c>
      <c r="Q72" s="90"/>
      <c r="R72" s="90"/>
      <c r="S72" s="24">
        <v>49</v>
      </c>
      <c r="T72" s="32">
        <f t="shared" si="30"/>
        <v>0</v>
      </c>
      <c r="U72" s="32">
        <f t="shared" si="31"/>
        <v>1</v>
      </c>
      <c r="V72" s="90"/>
      <c r="W72" s="90"/>
      <c r="X72" s="24">
        <v>129</v>
      </c>
      <c r="Y72" s="24">
        <v>85</v>
      </c>
      <c r="Z72" s="32">
        <f t="shared" si="32"/>
        <v>214</v>
      </c>
      <c r="AA72" s="32">
        <f t="shared" si="33"/>
        <v>0.53333333333333333</v>
      </c>
      <c r="AB72" s="32">
        <f>IF(AND($X$2&lt;Z72,Z72&lt;$Y$2),(Z72-$X$2)/($Y$2-$X$2),IF(AND($Y$2&lt;=Z72,Z72&lt;$Z$2),($Z$2-Z72)/($Z$2-$Y$2), IF(OR(Z72&lt;=$X$2,Z72&gt;=$Z$2),0,salah)))</f>
        <v>0.46666666666666667</v>
      </c>
      <c r="AC72" s="32">
        <f t="shared" si="34"/>
        <v>0</v>
      </c>
      <c r="AD72" s="90"/>
      <c r="AE72" s="24">
        <v>87</v>
      </c>
      <c r="AF72" s="32">
        <f t="shared" si="35"/>
        <v>1</v>
      </c>
      <c r="AG72" s="32">
        <f t="shared" si="36"/>
        <v>0</v>
      </c>
      <c r="AH72" s="90"/>
      <c r="AI72" s="143">
        <f t="shared" si="37"/>
        <v>23.222701736183932</v>
      </c>
      <c r="AJ72" s="32">
        <f t="shared" si="38"/>
        <v>0.41969980709067417</v>
      </c>
      <c r="AK72" s="32">
        <f t="shared" si="39"/>
        <v>0.58030019290932577</v>
      </c>
      <c r="AL72" s="90"/>
      <c r="AM72" s="24" t="s">
        <v>25</v>
      </c>
      <c r="AN72" s="32">
        <f t="shared" si="40"/>
        <v>1</v>
      </c>
      <c r="AO72" s="32">
        <f t="shared" si="41"/>
        <v>1</v>
      </c>
      <c r="AP72" s="32">
        <f t="shared" si="42"/>
        <v>0</v>
      </c>
      <c r="AQ72" s="90"/>
      <c r="AR72" s="24" t="s">
        <v>26</v>
      </c>
      <c r="AS72" s="32">
        <f t="shared" si="43"/>
        <v>0</v>
      </c>
      <c r="AT72" s="32">
        <f t="shared" si="44"/>
        <v>0</v>
      </c>
      <c r="AU72" s="32">
        <f t="shared" si="45"/>
        <v>1</v>
      </c>
      <c r="AV72" s="90"/>
      <c r="AW72" s="24" t="s">
        <v>27</v>
      </c>
      <c r="AX72" s="32">
        <f t="shared" si="46"/>
        <v>0</v>
      </c>
      <c r="AY72" s="32">
        <f t="shared" si="47"/>
        <v>0</v>
      </c>
      <c r="AZ72" s="32">
        <f t="shared" si="48"/>
        <v>1</v>
      </c>
      <c r="BA72" s="90"/>
      <c r="BB72" s="24" t="s">
        <v>33</v>
      </c>
      <c r="BC72" s="32">
        <f t="shared" si="49"/>
        <v>1</v>
      </c>
      <c r="BD72" s="32">
        <f t="shared" si="50"/>
        <v>1</v>
      </c>
      <c r="BE72" s="32">
        <f t="shared" si="51"/>
        <v>0</v>
      </c>
      <c r="BF72" s="90"/>
      <c r="BG72" s="24" t="s">
        <v>25</v>
      </c>
      <c r="BH72" s="32">
        <f t="shared" si="52"/>
        <v>1</v>
      </c>
      <c r="BI72" s="32">
        <f t="shared" si="53"/>
        <v>1</v>
      </c>
      <c r="BJ72" s="32">
        <f t="shared" si="54"/>
        <v>0</v>
      </c>
      <c r="BK72" s="90"/>
      <c r="BL72" s="24" t="s">
        <v>34</v>
      </c>
      <c r="BM72" s="32">
        <f t="shared" si="55"/>
        <v>0</v>
      </c>
      <c r="BN72" s="32">
        <f t="shared" si="56"/>
        <v>1</v>
      </c>
      <c r="BO72" s="32">
        <f>IF(AND($BL$2&lt;BM72,BM72&lt;$BM$2),(BM72-$BL$2)/($BM$2-$BL$2),IF(AND($BM$2&lt;=BM72,BM72&lt;$BN$2),($BN$2-BM72)/($BN$2-$BM$2), IF(OR(BM72&lt;=$BL$2,BM72&gt;=$BN$2),0,salah)))</f>
        <v>0</v>
      </c>
      <c r="BP72" s="32">
        <f t="shared" si="57"/>
        <v>0</v>
      </c>
    </row>
    <row r="73" spans="1:68" ht="15.6" x14ac:dyDescent="0.3">
      <c r="A73" s="24">
        <v>71</v>
      </c>
      <c r="B73" s="24">
        <v>43</v>
      </c>
      <c r="C73" s="26" t="s">
        <v>24</v>
      </c>
      <c r="D73" s="24">
        <v>130</v>
      </c>
      <c r="E73" s="24">
        <v>77</v>
      </c>
      <c r="F73" s="24">
        <v>89</v>
      </c>
      <c r="G73" s="24">
        <v>1.56</v>
      </c>
      <c r="H73" s="24">
        <v>63.6</v>
      </c>
      <c r="I73" s="143">
        <f t="shared" si="29"/>
        <v>26.134122287968442</v>
      </c>
      <c r="J73" s="24" t="s">
        <v>31</v>
      </c>
      <c r="K73" s="24" t="s">
        <v>39</v>
      </c>
      <c r="L73" s="24" t="s">
        <v>27</v>
      </c>
      <c r="M73" s="24" t="s">
        <v>33</v>
      </c>
      <c r="N73" s="24" t="s">
        <v>31</v>
      </c>
      <c r="O73" s="24" t="s">
        <v>38</v>
      </c>
      <c r="P73" s="24" t="s">
        <v>35</v>
      </c>
      <c r="Q73" s="90"/>
      <c r="R73" s="90"/>
      <c r="S73" s="24">
        <v>53</v>
      </c>
      <c r="T73" s="32">
        <f t="shared" si="30"/>
        <v>0</v>
      </c>
      <c r="U73" s="32">
        <f t="shared" si="31"/>
        <v>1</v>
      </c>
      <c r="V73" s="90"/>
      <c r="W73" s="90"/>
      <c r="X73" s="24">
        <v>208</v>
      </c>
      <c r="Y73" s="24">
        <v>113</v>
      </c>
      <c r="Z73" s="32">
        <f t="shared" si="32"/>
        <v>321</v>
      </c>
      <c r="AA73" s="32">
        <f t="shared" si="33"/>
        <v>0</v>
      </c>
      <c r="AB73" s="32">
        <f>IF(AND($X$2&lt;Z73,Z73&lt;$Y$2),(Z73-$X$2)/($Y$2-$X$2),IF(AND($Y$2&lt;=Z73,Z73&lt;$Z$2),($Z$2-Z73)/($Z$2-$Y$2), IF(OR(Z73&lt;=$X$2,Z73&gt;=$Z$2),0,salah)))</f>
        <v>0</v>
      </c>
      <c r="AC73" s="32">
        <f t="shared" si="34"/>
        <v>1</v>
      </c>
      <c r="AD73" s="90"/>
      <c r="AE73" s="24">
        <v>92</v>
      </c>
      <c r="AF73" s="32">
        <f t="shared" si="35"/>
        <v>0.8</v>
      </c>
      <c r="AG73" s="32">
        <f t="shared" si="36"/>
        <v>0.2</v>
      </c>
      <c r="AH73" s="90"/>
      <c r="AI73" s="143">
        <f t="shared" si="37"/>
        <v>21.403091557669441</v>
      </c>
      <c r="AJ73" s="32">
        <f t="shared" si="38"/>
        <v>0.62187871581450649</v>
      </c>
      <c r="AK73" s="32">
        <f t="shared" si="39"/>
        <v>0.37812128418549346</v>
      </c>
      <c r="AL73" s="90"/>
      <c r="AM73" s="24" t="s">
        <v>31</v>
      </c>
      <c r="AN73" s="32">
        <f t="shared" si="40"/>
        <v>0</v>
      </c>
      <c r="AO73" s="32">
        <f t="shared" si="41"/>
        <v>0</v>
      </c>
      <c r="AP73" s="32">
        <f t="shared" si="42"/>
        <v>1</v>
      </c>
      <c r="AQ73" s="90"/>
      <c r="AR73" s="24" t="s">
        <v>39</v>
      </c>
      <c r="AS73" s="32">
        <f t="shared" si="43"/>
        <v>1</v>
      </c>
      <c r="AT73" s="32">
        <f t="shared" si="44"/>
        <v>1</v>
      </c>
      <c r="AU73" s="32">
        <f t="shared" si="45"/>
        <v>0</v>
      </c>
      <c r="AV73" s="90"/>
      <c r="AW73" s="24" t="s">
        <v>27</v>
      </c>
      <c r="AX73" s="32">
        <f t="shared" si="46"/>
        <v>0</v>
      </c>
      <c r="AY73" s="32">
        <f t="shared" si="47"/>
        <v>0</v>
      </c>
      <c r="AZ73" s="32">
        <f t="shared" si="48"/>
        <v>1</v>
      </c>
      <c r="BA73" s="90"/>
      <c r="BB73" s="24" t="s">
        <v>33</v>
      </c>
      <c r="BC73" s="32">
        <f t="shared" si="49"/>
        <v>1</v>
      </c>
      <c r="BD73" s="32">
        <f t="shared" si="50"/>
        <v>1</v>
      </c>
      <c r="BE73" s="32">
        <f t="shared" si="51"/>
        <v>0</v>
      </c>
      <c r="BF73" s="90"/>
      <c r="BG73" s="24" t="s">
        <v>31</v>
      </c>
      <c r="BH73" s="32">
        <f t="shared" si="52"/>
        <v>0</v>
      </c>
      <c r="BI73" s="32">
        <f t="shared" si="53"/>
        <v>0</v>
      </c>
      <c r="BJ73" s="32">
        <f t="shared" si="54"/>
        <v>1</v>
      </c>
      <c r="BK73" s="90"/>
      <c r="BL73" s="24" t="s">
        <v>29</v>
      </c>
      <c r="BM73" s="32">
        <f t="shared" si="55"/>
        <v>0.5</v>
      </c>
      <c r="BN73" s="32">
        <f t="shared" si="56"/>
        <v>0</v>
      </c>
      <c r="BO73" s="32">
        <f>IF(AND($BL$2&lt;BM73,BM73&lt;$BM$2),(BM73-$BL$2)/($BM$2-$BL$2),IF(AND($BM$2&lt;=BM73,BM73&lt;$BN$2),($BN$2-BM73)/($BN$2-$BM$2), IF(OR(BM73&lt;=$BL$2,BM73&gt;=$BN$2),0,salah)))</f>
        <v>1</v>
      </c>
      <c r="BP73" s="32">
        <f t="shared" si="57"/>
        <v>0</v>
      </c>
    </row>
    <row r="74" spans="1:68" ht="15.6" x14ac:dyDescent="0.3">
      <c r="A74" s="24">
        <v>72</v>
      </c>
      <c r="B74" s="24">
        <v>70</v>
      </c>
      <c r="C74" s="26" t="s">
        <v>24</v>
      </c>
      <c r="D74" s="24">
        <v>194</v>
      </c>
      <c r="E74" s="24">
        <v>121</v>
      </c>
      <c r="F74" s="24">
        <v>89</v>
      </c>
      <c r="G74" s="24">
        <v>1.64</v>
      </c>
      <c r="H74" s="24">
        <v>64.400000000000006</v>
      </c>
      <c r="I74" s="143">
        <f t="shared" si="29"/>
        <v>23.944080904223682</v>
      </c>
      <c r="J74" s="24" t="s">
        <v>31</v>
      </c>
      <c r="K74" s="24" t="s">
        <v>26</v>
      </c>
      <c r="L74" s="24" t="s">
        <v>27</v>
      </c>
      <c r="M74" s="24" t="s">
        <v>33</v>
      </c>
      <c r="N74" s="24" t="s">
        <v>31</v>
      </c>
      <c r="O74" s="24" t="s">
        <v>38</v>
      </c>
      <c r="P74" s="24" t="s">
        <v>35</v>
      </c>
      <c r="Q74" s="90"/>
      <c r="R74" s="90"/>
      <c r="S74" s="24">
        <v>43</v>
      </c>
      <c r="T74" s="32">
        <f t="shared" si="30"/>
        <v>0.15</v>
      </c>
      <c r="U74" s="32">
        <f t="shared" si="31"/>
        <v>0.85</v>
      </c>
      <c r="V74" s="90"/>
      <c r="W74" s="90"/>
      <c r="X74" s="24">
        <v>130</v>
      </c>
      <c r="Y74" s="24">
        <v>77</v>
      </c>
      <c r="Z74" s="32">
        <f t="shared" si="32"/>
        <v>207</v>
      </c>
      <c r="AA74" s="32">
        <f t="shared" si="33"/>
        <v>0.76666666666666672</v>
      </c>
      <c r="AB74" s="32">
        <f>IF(AND($X$2&lt;Z74,Z74&lt;$Y$2),(Z74-$X$2)/($Y$2-$X$2),IF(AND($Y$2&lt;=Z74,Z74&lt;$Z$2),($Z$2-Z74)/($Z$2-$Y$2), IF(OR(Z74&lt;=$X$2,Z74&gt;=$Z$2),0,salah)))</f>
        <v>0.23333333333333334</v>
      </c>
      <c r="AC74" s="32">
        <f t="shared" si="34"/>
        <v>0</v>
      </c>
      <c r="AD74" s="90"/>
      <c r="AE74" s="24">
        <v>89</v>
      </c>
      <c r="AF74" s="32">
        <f t="shared" si="35"/>
        <v>1</v>
      </c>
      <c r="AG74" s="32">
        <f t="shared" si="36"/>
        <v>0</v>
      </c>
      <c r="AH74" s="90"/>
      <c r="AI74" s="143">
        <f t="shared" si="37"/>
        <v>26.134122287968442</v>
      </c>
      <c r="AJ74" s="32">
        <f t="shared" si="38"/>
        <v>9.6208634670173154E-2</v>
      </c>
      <c r="AK74" s="32">
        <f t="shared" si="39"/>
        <v>0.90379136532982685</v>
      </c>
      <c r="AL74" s="90"/>
      <c r="AM74" s="24" t="s">
        <v>31</v>
      </c>
      <c r="AN74" s="32">
        <f t="shared" si="40"/>
        <v>0</v>
      </c>
      <c r="AO74" s="32">
        <f t="shared" si="41"/>
        <v>0</v>
      </c>
      <c r="AP74" s="32">
        <f t="shared" si="42"/>
        <v>1</v>
      </c>
      <c r="AQ74" s="90"/>
      <c r="AR74" s="24" t="s">
        <v>39</v>
      </c>
      <c r="AS74" s="32">
        <f t="shared" si="43"/>
        <v>1</v>
      </c>
      <c r="AT74" s="32">
        <f t="shared" si="44"/>
        <v>1</v>
      </c>
      <c r="AU74" s="32">
        <f t="shared" si="45"/>
        <v>0</v>
      </c>
      <c r="AV74" s="90"/>
      <c r="AW74" s="24" t="s">
        <v>27</v>
      </c>
      <c r="AX74" s="32">
        <f t="shared" si="46"/>
        <v>0</v>
      </c>
      <c r="AY74" s="32">
        <f t="shared" si="47"/>
        <v>0</v>
      </c>
      <c r="AZ74" s="32">
        <f t="shared" si="48"/>
        <v>1</v>
      </c>
      <c r="BA74" s="90"/>
      <c r="BB74" s="24" t="s">
        <v>33</v>
      </c>
      <c r="BC74" s="32">
        <f t="shared" si="49"/>
        <v>1</v>
      </c>
      <c r="BD74" s="32">
        <f t="shared" si="50"/>
        <v>1</v>
      </c>
      <c r="BE74" s="32">
        <f t="shared" si="51"/>
        <v>0</v>
      </c>
      <c r="BF74" s="90"/>
      <c r="BG74" s="24" t="s">
        <v>31</v>
      </c>
      <c r="BH74" s="32">
        <f t="shared" si="52"/>
        <v>0</v>
      </c>
      <c r="BI74" s="32">
        <f t="shared" si="53"/>
        <v>0</v>
      </c>
      <c r="BJ74" s="32">
        <f t="shared" si="54"/>
        <v>1</v>
      </c>
      <c r="BK74" s="90"/>
      <c r="BL74" s="24" t="s">
        <v>38</v>
      </c>
      <c r="BM74" s="32">
        <f t="shared" si="55"/>
        <v>1</v>
      </c>
      <c r="BN74" s="32">
        <f t="shared" si="56"/>
        <v>0</v>
      </c>
      <c r="BO74" s="32">
        <f>IF(AND($BL$2&lt;BM74,BM74&lt;$BM$2),(BM74-$BL$2)/($BM$2-$BL$2),IF(AND($BM$2&lt;=BM74,BM74&lt;$BN$2),($BN$2-BM74)/($BN$2-$BM$2), IF(OR(BM74&lt;=$BL$2,BM74&gt;=$BN$2),0,salah)))</f>
        <v>0</v>
      </c>
      <c r="BP74" s="32">
        <f t="shared" si="57"/>
        <v>1</v>
      </c>
    </row>
    <row r="75" spans="1:68" ht="15.6" x14ac:dyDescent="0.3">
      <c r="A75" s="24">
        <v>73</v>
      </c>
      <c r="B75" s="24">
        <v>33</v>
      </c>
      <c r="C75" s="26" t="s">
        <v>37</v>
      </c>
      <c r="D75" s="24">
        <v>104</v>
      </c>
      <c r="E75" s="24">
        <v>86</v>
      </c>
      <c r="F75" s="24">
        <v>98</v>
      </c>
      <c r="G75" s="24">
        <v>1.46</v>
      </c>
      <c r="H75" s="24">
        <v>66.900000000000006</v>
      </c>
      <c r="I75" s="143">
        <f t="shared" si="29"/>
        <v>31.384875211109033</v>
      </c>
      <c r="J75" s="24" t="s">
        <v>31</v>
      </c>
      <c r="K75" s="24" t="s">
        <v>39</v>
      </c>
      <c r="L75" s="24" t="s">
        <v>32</v>
      </c>
      <c r="M75" s="24" t="s">
        <v>28</v>
      </c>
      <c r="N75" s="24" t="s">
        <v>31</v>
      </c>
      <c r="O75" s="24" t="s">
        <v>29</v>
      </c>
      <c r="P75" s="24" t="s">
        <v>30</v>
      </c>
      <c r="Q75" s="90"/>
      <c r="R75" s="90"/>
      <c r="S75" s="24">
        <v>70</v>
      </c>
      <c r="T75" s="32">
        <f t="shared" si="30"/>
        <v>0</v>
      </c>
      <c r="U75" s="32">
        <f t="shared" si="31"/>
        <v>1</v>
      </c>
      <c r="V75" s="90"/>
      <c r="W75" s="90"/>
      <c r="X75" s="24">
        <v>194</v>
      </c>
      <c r="Y75" s="24">
        <v>121</v>
      </c>
      <c r="Z75" s="32">
        <f t="shared" si="32"/>
        <v>315</v>
      </c>
      <c r="AA75" s="32">
        <f t="shared" si="33"/>
        <v>0</v>
      </c>
      <c r="AB75" s="32">
        <f>IF(AND($X$2&lt;Z75,Z75&lt;$Y$2),(Z75-$X$2)/($Y$2-$X$2),IF(AND($Y$2&lt;=Z75,Z75&lt;$Z$2),($Z$2-Z75)/($Z$2-$Y$2), IF(OR(Z75&lt;=$X$2,Z75&gt;=$Z$2),0,salah)))</f>
        <v>0</v>
      </c>
      <c r="AC75" s="32">
        <f t="shared" si="34"/>
        <v>1</v>
      </c>
      <c r="AD75" s="90"/>
      <c r="AE75" s="24">
        <v>89</v>
      </c>
      <c r="AF75" s="32">
        <f t="shared" si="35"/>
        <v>1</v>
      </c>
      <c r="AG75" s="32">
        <f t="shared" si="36"/>
        <v>0</v>
      </c>
      <c r="AH75" s="90"/>
      <c r="AI75" s="143">
        <f t="shared" si="37"/>
        <v>23.944080904223682</v>
      </c>
      <c r="AJ75" s="32">
        <f t="shared" si="38"/>
        <v>0.33954656619736867</v>
      </c>
      <c r="AK75" s="32">
        <f t="shared" si="39"/>
        <v>0.66045343380263133</v>
      </c>
      <c r="AL75" s="90"/>
      <c r="AM75" s="24" t="s">
        <v>31</v>
      </c>
      <c r="AN75" s="32">
        <f t="shared" si="40"/>
        <v>0</v>
      </c>
      <c r="AO75" s="32">
        <f t="shared" si="41"/>
        <v>0</v>
      </c>
      <c r="AP75" s="32">
        <f t="shared" si="42"/>
        <v>1</v>
      </c>
      <c r="AQ75" s="90"/>
      <c r="AR75" s="24" t="s">
        <v>26</v>
      </c>
      <c r="AS75" s="32">
        <f t="shared" si="43"/>
        <v>0</v>
      </c>
      <c r="AT75" s="32">
        <f t="shared" si="44"/>
        <v>0</v>
      </c>
      <c r="AU75" s="32">
        <f t="shared" si="45"/>
        <v>1</v>
      </c>
      <c r="AV75" s="90"/>
      <c r="AW75" s="24" t="s">
        <v>27</v>
      </c>
      <c r="AX75" s="32">
        <f t="shared" si="46"/>
        <v>0</v>
      </c>
      <c r="AY75" s="32">
        <f t="shared" si="47"/>
        <v>0</v>
      </c>
      <c r="AZ75" s="32">
        <f t="shared" si="48"/>
        <v>1</v>
      </c>
      <c r="BA75" s="90"/>
      <c r="BB75" s="24" t="s">
        <v>33</v>
      </c>
      <c r="BC75" s="32">
        <f t="shared" si="49"/>
        <v>1</v>
      </c>
      <c r="BD75" s="32">
        <f t="shared" si="50"/>
        <v>1</v>
      </c>
      <c r="BE75" s="32">
        <f t="shared" si="51"/>
        <v>0</v>
      </c>
      <c r="BF75" s="90"/>
      <c r="BG75" s="24" t="s">
        <v>31</v>
      </c>
      <c r="BH75" s="32">
        <f t="shared" si="52"/>
        <v>0</v>
      </c>
      <c r="BI75" s="32">
        <f t="shared" si="53"/>
        <v>0</v>
      </c>
      <c r="BJ75" s="32">
        <f t="shared" si="54"/>
        <v>1</v>
      </c>
      <c r="BK75" s="90"/>
      <c r="BL75" s="24" t="s">
        <v>38</v>
      </c>
      <c r="BM75" s="32">
        <f t="shared" si="55"/>
        <v>1</v>
      </c>
      <c r="BN75" s="32">
        <f t="shared" si="56"/>
        <v>0</v>
      </c>
      <c r="BO75" s="32">
        <f>IF(AND($BL$2&lt;BM75,BM75&lt;$BM$2),(BM75-$BL$2)/($BM$2-$BL$2),IF(AND($BM$2&lt;=BM75,BM75&lt;$BN$2),($BN$2-BM75)/($BN$2-$BM$2), IF(OR(BM75&lt;=$BL$2,BM75&gt;=$BN$2),0,salah)))</f>
        <v>0</v>
      </c>
      <c r="BP75" s="32">
        <f t="shared" si="57"/>
        <v>1</v>
      </c>
    </row>
    <row r="76" spans="1:68" ht="15.6" x14ac:dyDescent="0.3">
      <c r="A76" s="24">
        <v>74</v>
      </c>
      <c r="B76" s="24">
        <v>49</v>
      </c>
      <c r="C76" s="26" t="s">
        <v>24</v>
      </c>
      <c r="D76" s="24">
        <v>176</v>
      </c>
      <c r="E76" s="24">
        <v>114</v>
      </c>
      <c r="F76" s="24">
        <v>91</v>
      </c>
      <c r="G76" s="24">
        <v>1.536</v>
      </c>
      <c r="H76" s="24">
        <v>62.3</v>
      </c>
      <c r="I76" s="143">
        <f t="shared" si="29"/>
        <v>26.406182183159721</v>
      </c>
      <c r="J76" s="24" t="s">
        <v>25</v>
      </c>
      <c r="K76" s="24" t="s">
        <v>39</v>
      </c>
      <c r="L76" s="24" t="s">
        <v>27</v>
      </c>
      <c r="M76" s="24" t="s">
        <v>33</v>
      </c>
      <c r="N76" s="24" t="s">
        <v>25</v>
      </c>
      <c r="O76" s="24" t="s">
        <v>38</v>
      </c>
      <c r="P76" s="24" t="s">
        <v>35</v>
      </c>
      <c r="Q76" s="90"/>
      <c r="R76" s="90"/>
      <c r="S76" s="24">
        <v>33</v>
      </c>
      <c r="T76" s="32">
        <f t="shared" si="30"/>
        <v>0.65</v>
      </c>
      <c r="U76" s="32">
        <f t="shared" si="31"/>
        <v>0.35</v>
      </c>
      <c r="V76" s="90"/>
      <c r="W76" s="90"/>
      <c r="X76" s="24">
        <v>104</v>
      </c>
      <c r="Y76" s="24">
        <v>86</v>
      </c>
      <c r="Z76" s="32">
        <f t="shared" si="32"/>
        <v>190</v>
      </c>
      <c r="AA76" s="32">
        <f t="shared" si="33"/>
        <v>1</v>
      </c>
      <c r="AB76" s="32">
        <f>IF(AND($X$2&lt;Z76,Z76&lt;$Y$2),(Z76-$X$2)/($Y$2-$X$2),IF(AND($Y$2&lt;=Z76,Z76&lt;$Z$2),($Z$2-Z76)/($Z$2-$Y$2), IF(OR(Z76&lt;=$X$2,Z76&gt;=$Z$2),0,salah)))</f>
        <v>0</v>
      </c>
      <c r="AC76" s="32">
        <f t="shared" si="34"/>
        <v>0</v>
      </c>
      <c r="AD76" s="90"/>
      <c r="AE76" s="24">
        <v>98</v>
      </c>
      <c r="AF76" s="32">
        <f t="shared" si="35"/>
        <v>0.2</v>
      </c>
      <c r="AG76" s="32">
        <f t="shared" si="36"/>
        <v>0.8</v>
      </c>
      <c r="AH76" s="90"/>
      <c r="AI76" s="143">
        <f t="shared" si="37"/>
        <v>31.384875211109033</v>
      </c>
      <c r="AJ76" s="32">
        <f t="shared" si="38"/>
        <v>0</v>
      </c>
      <c r="AK76" s="32">
        <f t="shared" si="39"/>
        <v>1</v>
      </c>
      <c r="AL76" s="90"/>
      <c r="AM76" s="24" t="s">
        <v>31</v>
      </c>
      <c r="AN76" s="32">
        <f t="shared" si="40"/>
        <v>0</v>
      </c>
      <c r="AO76" s="32">
        <f t="shared" si="41"/>
        <v>0</v>
      </c>
      <c r="AP76" s="32">
        <f t="shared" si="42"/>
        <v>1</v>
      </c>
      <c r="AQ76" s="90"/>
      <c r="AR76" s="24" t="s">
        <v>39</v>
      </c>
      <c r="AS76" s="32">
        <f t="shared" si="43"/>
        <v>1</v>
      </c>
      <c r="AT76" s="32">
        <f t="shared" si="44"/>
        <v>1</v>
      </c>
      <c r="AU76" s="32">
        <f t="shared" si="45"/>
        <v>0</v>
      </c>
      <c r="AV76" s="90"/>
      <c r="AW76" s="24" t="s">
        <v>32</v>
      </c>
      <c r="AX76" s="32">
        <f t="shared" si="46"/>
        <v>1</v>
      </c>
      <c r="AY76" s="32">
        <f t="shared" si="47"/>
        <v>1</v>
      </c>
      <c r="AZ76" s="32">
        <f t="shared" si="48"/>
        <v>0</v>
      </c>
      <c r="BA76" s="90"/>
      <c r="BB76" s="24" t="s">
        <v>28</v>
      </c>
      <c r="BC76" s="32">
        <f t="shared" si="49"/>
        <v>0</v>
      </c>
      <c r="BD76" s="32">
        <f t="shared" si="50"/>
        <v>0</v>
      </c>
      <c r="BE76" s="32">
        <f t="shared" si="51"/>
        <v>1</v>
      </c>
      <c r="BF76" s="90"/>
      <c r="BG76" s="24" t="s">
        <v>31</v>
      </c>
      <c r="BH76" s="32">
        <f t="shared" si="52"/>
        <v>0</v>
      </c>
      <c r="BI76" s="32">
        <f t="shared" si="53"/>
        <v>0</v>
      </c>
      <c r="BJ76" s="32">
        <f t="shared" si="54"/>
        <v>1</v>
      </c>
      <c r="BK76" s="90"/>
      <c r="BL76" s="24" t="s">
        <v>29</v>
      </c>
      <c r="BM76" s="32">
        <f t="shared" si="55"/>
        <v>0.5</v>
      </c>
      <c r="BN76" s="32">
        <f t="shared" si="56"/>
        <v>0</v>
      </c>
      <c r="BO76" s="32">
        <f>IF(AND($BL$2&lt;BM76,BM76&lt;$BM$2),(BM76-$BL$2)/($BM$2-$BL$2),IF(AND($BM$2&lt;=BM76,BM76&lt;$BN$2),($BN$2-BM76)/($BN$2-$BM$2), IF(OR(BM76&lt;=$BL$2,BM76&gt;=$BN$2),0,salah)))</f>
        <v>1</v>
      </c>
      <c r="BP76" s="32">
        <f t="shared" si="57"/>
        <v>0</v>
      </c>
    </row>
    <row r="77" spans="1:68" ht="15.6" x14ac:dyDescent="0.3">
      <c r="A77" s="24">
        <v>75</v>
      </c>
      <c r="B77" s="24">
        <v>65</v>
      </c>
      <c r="C77" s="26" t="s">
        <v>24</v>
      </c>
      <c r="D77" s="24">
        <v>141</v>
      </c>
      <c r="E77" s="24">
        <v>92</v>
      </c>
      <c r="F77" s="24">
        <v>75</v>
      </c>
      <c r="G77" s="24">
        <v>1.4</v>
      </c>
      <c r="H77" s="24">
        <v>44.3</v>
      </c>
      <c r="I77" s="143">
        <f t="shared" si="29"/>
        <v>22.602040816326532</v>
      </c>
      <c r="J77" s="24" t="s">
        <v>31</v>
      </c>
      <c r="K77" s="24" t="s">
        <v>26</v>
      </c>
      <c r="L77" s="24" t="s">
        <v>27</v>
      </c>
      <c r="M77" s="24" t="s">
        <v>33</v>
      </c>
      <c r="N77" s="24" t="s">
        <v>31</v>
      </c>
      <c r="O77" s="24" t="s">
        <v>38</v>
      </c>
      <c r="P77" s="24" t="s">
        <v>30</v>
      </c>
      <c r="Q77" s="90"/>
      <c r="R77" s="90"/>
      <c r="S77" s="24">
        <v>49</v>
      </c>
      <c r="T77" s="32">
        <f t="shared" si="30"/>
        <v>0</v>
      </c>
      <c r="U77" s="32">
        <f t="shared" si="31"/>
        <v>1</v>
      </c>
      <c r="V77" s="90"/>
      <c r="W77" s="90"/>
      <c r="X77" s="24">
        <v>176</v>
      </c>
      <c r="Y77" s="24">
        <v>114</v>
      </c>
      <c r="Z77" s="32">
        <f t="shared" si="32"/>
        <v>290</v>
      </c>
      <c r="AA77" s="32">
        <f t="shared" si="33"/>
        <v>0</v>
      </c>
      <c r="AB77" s="32">
        <f>IF(AND($X$2&lt;Z77,Z77&lt;$Y$2),(Z77-$X$2)/($Y$2-$X$2),IF(AND($Y$2&lt;=Z77,Z77&lt;$Z$2),($Z$2-Z77)/($Z$2-$Y$2), IF(OR(Z77&lt;=$X$2,Z77&gt;=$Z$2),0,salah)))</f>
        <v>0</v>
      </c>
      <c r="AC77" s="32">
        <f t="shared" si="34"/>
        <v>1</v>
      </c>
      <c r="AD77" s="90"/>
      <c r="AE77" s="24">
        <v>91</v>
      </c>
      <c r="AF77" s="32">
        <f t="shared" si="35"/>
        <v>0.9</v>
      </c>
      <c r="AG77" s="32">
        <f t="shared" si="36"/>
        <v>0.1</v>
      </c>
      <c r="AH77" s="90"/>
      <c r="AI77" s="143">
        <f t="shared" si="37"/>
        <v>26.406182183159721</v>
      </c>
      <c r="AJ77" s="32">
        <f t="shared" si="38"/>
        <v>6.5979757426697622E-2</v>
      </c>
      <c r="AK77" s="32">
        <f t="shared" si="39"/>
        <v>0.93402024257330241</v>
      </c>
      <c r="AL77" s="90"/>
      <c r="AM77" s="24" t="s">
        <v>25</v>
      </c>
      <c r="AN77" s="32">
        <f t="shared" si="40"/>
        <v>1</v>
      </c>
      <c r="AO77" s="32">
        <f t="shared" si="41"/>
        <v>1</v>
      </c>
      <c r="AP77" s="32">
        <f t="shared" si="42"/>
        <v>0</v>
      </c>
      <c r="AQ77" s="90"/>
      <c r="AR77" s="24" t="s">
        <v>39</v>
      </c>
      <c r="AS77" s="32">
        <f t="shared" si="43"/>
        <v>1</v>
      </c>
      <c r="AT77" s="32">
        <f t="shared" si="44"/>
        <v>1</v>
      </c>
      <c r="AU77" s="32">
        <f t="shared" si="45"/>
        <v>0</v>
      </c>
      <c r="AV77" s="90"/>
      <c r="AW77" s="24" t="s">
        <v>27</v>
      </c>
      <c r="AX77" s="32">
        <f t="shared" si="46"/>
        <v>0</v>
      </c>
      <c r="AY77" s="32">
        <f t="shared" si="47"/>
        <v>0</v>
      </c>
      <c r="AZ77" s="32">
        <f t="shared" si="48"/>
        <v>1</v>
      </c>
      <c r="BA77" s="90"/>
      <c r="BB77" s="24" t="s">
        <v>33</v>
      </c>
      <c r="BC77" s="32">
        <f t="shared" si="49"/>
        <v>1</v>
      </c>
      <c r="BD77" s="32">
        <f t="shared" si="50"/>
        <v>1</v>
      </c>
      <c r="BE77" s="32">
        <f t="shared" si="51"/>
        <v>0</v>
      </c>
      <c r="BF77" s="90"/>
      <c r="BG77" s="24" t="s">
        <v>25</v>
      </c>
      <c r="BH77" s="32">
        <f t="shared" si="52"/>
        <v>1</v>
      </c>
      <c r="BI77" s="32">
        <f t="shared" si="53"/>
        <v>1</v>
      </c>
      <c r="BJ77" s="32">
        <f t="shared" si="54"/>
        <v>0</v>
      </c>
      <c r="BK77" s="90"/>
      <c r="BL77" s="24" t="s">
        <v>38</v>
      </c>
      <c r="BM77" s="32">
        <f t="shared" si="55"/>
        <v>1</v>
      </c>
      <c r="BN77" s="32">
        <f t="shared" si="56"/>
        <v>0</v>
      </c>
      <c r="BO77" s="32">
        <f>IF(AND($BL$2&lt;BM77,BM77&lt;$BM$2),(BM77-$BL$2)/($BM$2-$BL$2),IF(AND($BM$2&lt;=BM77,BM77&lt;$BN$2),($BN$2-BM77)/($BN$2-$BM$2), IF(OR(BM77&lt;=$BL$2,BM77&gt;=$BN$2),0,salah)))</f>
        <v>0</v>
      </c>
      <c r="BP77" s="32">
        <f t="shared" si="57"/>
        <v>1</v>
      </c>
    </row>
    <row r="78" spans="1:68" x14ac:dyDescent="0.3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24">
        <v>65</v>
      </c>
      <c r="T78" s="32">
        <f t="shared" si="30"/>
        <v>0</v>
      </c>
      <c r="U78" s="32">
        <f t="shared" si="31"/>
        <v>1</v>
      </c>
      <c r="V78" s="90"/>
      <c r="W78" s="90"/>
      <c r="X78" s="24">
        <v>141</v>
      </c>
      <c r="Y78" s="24">
        <v>92</v>
      </c>
      <c r="Z78" s="32">
        <f t="shared" si="32"/>
        <v>233</v>
      </c>
      <c r="AA78" s="32">
        <f t="shared" si="33"/>
        <v>0</v>
      </c>
      <c r="AB78" s="32">
        <f>IF(AND($X$2&lt;Z78,Z78&lt;$Y$2),(Z78-$X$2)/($Y$2-$X$2),IF(AND($Y$2&lt;=Z78,Z78&lt;$Z$2),($Z$2-Z78)/($Z$2-$Y$2), IF(OR(Z78&lt;=$X$2,Z78&gt;=$Z$2),0,salah)))</f>
        <v>0.92500000000000004</v>
      </c>
      <c r="AC78" s="32">
        <f t="shared" si="34"/>
        <v>7.4999999999999997E-2</v>
      </c>
      <c r="AD78" s="90"/>
      <c r="AE78" s="24">
        <v>75</v>
      </c>
      <c r="AF78" s="32">
        <f t="shared" si="35"/>
        <v>1</v>
      </c>
      <c r="AG78" s="32">
        <f t="shared" si="36"/>
        <v>0</v>
      </c>
      <c r="AH78" s="90"/>
      <c r="AI78" s="143">
        <f t="shared" si="37"/>
        <v>22.602040816326532</v>
      </c>
      <c r="AJ78" s="32">
        <f t="shared" si="38"/>
        <v>0.48866213151927418</v>
      </c>
      <c r="AK78" s="32">
        <f t="shared" si="39"/>
        <v>0.51133786848072582</v>
      </c>
      <c r="AL78" s="90"/>
      <c r="AM78" s="24" t="s">
        <v>31</v>
      </c>
      <c r="AN78" s="32">
        <f t="shared" si="40"/>
        <v>0</v>
      </c>
      <c r="AO78" s="32">
        <f t="shared" si="41"/>
        <v>0</v>
      </c>
      <c r="AP78" s="32">
        <f t="shared" si="42"/>
        <v>1</v>
      </c>
      <c r="AQ78" s="90"/>
      <c r="AR78" s="24" t="s">
        <v>26</v>
      </c>
      <c r="AS78" s="32">
        <f t="shared" si="43"/>
        <v>0</v>
      </c>
      <c r="AT78" s="32">
        <f t="shared" si="44"/>
        <v>0</v>
      </c>
      <c r="AU78" s="32">
        <f t="shared" si="45"/>
        <v>1</v>
      </c>
      <c r="AV78" s="90"/>
      <c r="AW78" s="24" t="s">
        <v>27</v>
      </c>
      <c r="AX78" s="32">
        <f t="shared" si="46"/>
        <v>0</v>
      </c>
      <c r="AY78" s="32">
        <f t="shared" si="47"/>
        <v>0</v>
      </c>
      <c r="AZ78" s="32">
        <f t="shared" si="48"/>
        <v>1</v>
      </c>
      <c r="BA78" s="90"/>
      <c r="BB78" s="24" t="s">
        <v>33</v>
      </c>
      <c r="BC78" s="32">
        <f t="shared" si="49"/>
        <v>1</v>
      </c>
      <c r="BD78" s="32">
        <f t="shared" si="50"/>
        <v>1</v>
      </c>
      <c r="BE78" s="32">
        <f t="shared" si="51"/>
        <v>0</v>
      </c>
      <c r="BF78" s="90"/>
      <c r="BG78" s="24" t="s">
        <v>31</v>
      </c>
      <c r="BH78" s="32">
        <f t="shared" si="52"/>
        <v>0</v>
      </c>
      <c r="BI78" s="32">
        <f t="shared" si="53"/>
        <v>0</v>
      </c>
      <c r="BJ78" s="32">
        <f t="shared" si="54"/>
        <v>1</v>
      </c>
      <c r="BK78" s="90"/>
      <c r="BL78" s="24" t="s">
        <v>38</v>
      </c>
      <c r="BM78" s="32">
        <f t="shared" si="55"/>
        <v>1</v>
      </c>
      <c r="BN78" s="32">
        <f t="shared" si="56"/>
        <v>0</v>
      </c>
      <c r="BO78" s="32">
        <f>IF(AND($BL$2&lt;BM78,BM78&lt;$BM$2),(BM78-$BL$2)/($BM$2-$BL$2),IF(AND($BM$2&lt;=BM78,BM78&lt;$BN$2),($BN$2-BM78)/($BN$2-$BM$2), IF(OR(BM78&lt;=$BL$2,BM78&gt;=$BN$2),0,salah)))</f>
        <v>0</v>
      </c>
      <c r="BP78" s="32">
        <f t="shared" si="57"/>
        <v>1</v>
      </c>
    </row>
    <row r="79" spans="1:68" x14ac:dyDescent="0.3">
      <c r="A79" s="142" t="s">
        <v>36</v>
      </c>
      <c r="B79" s="142">
        <f>COUNTIF(P3:P62, "Rendah")</f>
        <v>18</v>
      </c>
      <c r="S79" s="142" t="s">
        <v>64</v>
      </c>
      <c r="T79" s="145">
        <f>SUM(T4:T63)</f>
        <v>11.549999999999999</v>
      </c>
      <c r="U79" s="145">
        <f>SUM(U4:U63)</f>
        <v>48.449999999999989</v>
      </c>
      <c r="Z79" s="145" t="s">
        <v>64</v>
      </c>
      <c r="AA79" s="145">
        <f>SUM(AA4:AA63)</f>
        <v>20.433333333333334</v>
      </c>
      <c r="AB79" s="145">
        <f>SUM(AB4:AB63)</f>
        <v>18.216666666666665</v>
      </c>
      <c r="AC79" s="145">
        <f>SUM(AC4:AC63)</f>
        <v>21.35</v>
      </c>
      <c r="AE79" s="145" t="s">
        <v>64</v>
      </c>
      <c r="AF79" s="145">
        <f>SUM(AF4:AF63)</f>
        <v>43.500000000000007</v>
      </c>
      <c r="AG79" s="145">
        <f>SUM(AG4:AG63)</f>
        <v>16.500000000000004</v>
      </c>
      <c r="AI79" s="145" t="s">
        <v>64</v>
      </c>
      <c r="AJ79" s="145">
        <f>SUM(AJ4:AJ63)</f>
        <v>20.157186711814926</v>
      </c>
      <c r="AK79" s="145">
        <f>SUM(AK4:AK63)</f>
        <v>39.842813288185084</v>
      </c>
      <c r="AM79" s="126"/>
      <c r="AN79" s="145" t="s">
        <v>64</v>
      </c>
      <c r="AO79" s="145">
        <f>SUM(AO4:AO63)</f>
        <v>14</v>
      </c>
      <c r="AP79" s="145">
        <f>SUM(AP4:AP63)</f>
        <v>46</v>
      </c>
      <c r="AS79" s="145" t="s">
        <v>64</v>
      </c>
      <c r="AT79" s="145">
        <f>SUM(AT4:AT63)</f>
        <v>20</v>
      </c>
      <c r="AU79" s="145">
        <f>SUM(AU4:AU63)</f>
        <v>40</v>
      </c>
      <c r="AX79" s="145" t="s">
        <v>64</v>
      </c>
      <c r="AY79" s="145">
        <f>SUM(AY4:AY63)</f>
        <v>16</v>
      </c>
      <c r="AZ79" s="145">
        <f>SUM(AZ4:AZ63)</f>
        <v>44</v>
      </c>
      <c r="BA79" s="90"/>
      <c r="BC79" s="145" t="s">
        <v>64</v>
      </c>
      <c r="BD79" s="145">
        <f>SUM(BD4:BD63)</f>
        <v>28</v>
      </c>
      <c r="BE79" s="145">
        <f>SUM(BE4:BE63)</f>
        <v>32</v>
      </c>
      <c r="BH79" s="145" t="s">
        <v>64</v>
      </c>
      <c r="BI79" s="145">
        <f>SUM(BI4:BI63)</f>
        <v>40</v>
      </c>
      <c r="BJ79" s="145">
        <f>SUM(BJ4:BJ63)</f>
        <v>20</v>
      </c>
      <c r="BM79" s="145" t="s">
        <v>64</v>
      </c>
      <c r="BN79" s="145">
        <f>SUM(BN4:BN63)</f>
        <v>19</v>
      </c>
      <c r="BO79" s="145">
        <f>SUM(BO4:BO63)</f>
        <v>26</v>
      </c>
      <c r="BP79" s="145">
        <f>SUM(BP4:BP63)</f>
        <v>15</v>
      </c>
    </row>
    <row r="80" spans="1:68" x14ac:dyDescent="0.3">
      <c r="A80" s="142" t="s">
        <v>30</v>
      </c>
      <c r="B80" s="142">
        <f>COUNTIF(P3:P62, "Sedang")</f>
        <v>18</v>
      </c>
      <c r="S80" s="141" t="s">
        <v>36</v>
      </c>
      <c r="T80" s="146">
        <f>SUMIF(R4:R63,S80,T4:T63)</f>
        <v>6.25</v>
      </c>
      <c r="U80" s="141">
        <f>SUMIF(R4:R63,S80,U4:U63)</f>
        <v>11.750000000000002</v>
      </c>
      <c r="Z80" s="123" t="s">
        <v>36</v>
      </c>
      <c r="AA80" s="123">
        <f>SUMIF(R4:R63,Z80,AA4:AA63)</f>
        <v>14.233333333333334</v>
      </c>
      <c r="AB80" s="123">
        <f>SUMIF(R4:R63,Z80,AB4:AB63)</f>
        <v>3.5916666666666668</v>
      </c>
      <c r="AC80" s="123">
        <f>SUMIF(R4:R63,Z80,AC4:AC63)</f>
        <v>0.17499999999999999</v>
      </c>
      <c r="AE80" s="123" t="s">
        <v>36</v>
      </c>
      <c r="AF80" s="123">
        <f>SUMIF(R4:R63,AE80,AF4:AF63)</f>
        <v>14.5</v>
      </c>
      <c r="AG80" s="147">
        <f>SUMIF(R4:R63,AE80,AG4:AG63)</f>
        <v>3.5</v>
      </c>
      <c r="AH80" s="106"/>
      <c r="AI80" s="123" t="s">
        <v>36</v>
      </c>
      <c r="AJ80" s="123">
        <f>SUMIF(R4:R63,AI80,AJ4:AJ63)</f>
        <v>7.828825044550662</v>
      </c>
      <c r="AK80" s="123">
        <f>SUMIF(R4:R63,AI80,AK4:AK63)</f>
        <v>10.171174955449336</v>
      </c>
      <c r="AN80" s="123" t="s">
        <v>36</v>
      </c>
      <c r="AO80" s="123">
        <f>SUMIF($R$4:R$63,AN80,$AO$4:$AO$63)</f>
        <v>4</v>
      </c>
      <c r="AP80" s="123">
        <f>SUMIF($R$4:$R$63,AN80,$AP$4:$AP$63)</f>
        <v>14</v>
      </c>
      <c r="AS80" s="123" t="s">
        <v>36</v>
      </c>
      <c r="AT80" s="123">
        <f>SUMIF($R$4:R$63,AS80,$AT$4:$AT$63)</f>
        <v>2</v>
      </c>
      <c r="AU80" s="123">
        <f>SUMIF($R$4:$R$63,AS80,$AU$4:$AU$63)</f>
        <v>16</v>
      </c>
      <c r="AX80" s="123" t="s">
        <v>36</v>
      </c>
      <c r="AY80" s="123">
        <f>SUMIF($R$4:R$63,AX80,$AY$4:$AY$63)</f>
        <v>2</v>
      </c>
      <c r="AZ80" s="123">
        <f>SUMIF($R$4:$R$63,AX80,$AZ$4:$AZ$63)</f>
        <v>16</v>
      </c>
      <c r="BC80" s="123" t="s">
        <v>36</v>
      </c>
      <c r="BD80" s="123">
        <f>SUMIF($R$4:R$63,BC80,$BD$4:$BD$63)</f>
        <v>3</v>
      </c>
      <c r="BE80" s="123">
        <f>SUMIF($R$4:$R$63,BC80,$BE$4:$BE$63)</f>
        <v>15</v>
      </c>
      <c r="BH80" s="123" t="s">
        <v>36</v>
      </c>
      <c r="BI80" s="123">
        <f>SUMIF($R$4:R$63,BH80,$BI$4:$BI$63)</f>
        <v>18</v>
      </c>
      <c r="BJ80" s="123">
        <f>SUMIF($R$4:$R$63,BH80,$BJ$4:$BJ$63)</f>
        <v>0</v>
      </c>
      <c r="BM80" s="123" t="s">
        <v>36</v>
      </c>
      <c r="BN80" s="123">
        <f>SUMIF($R$4:R$63,BM80,$BN$4:$BN$63)</f>
        <v>9</v>
      </c>
      <c r="BO80" s="123">
        <f>SUMIF($R$4:$R$63,BM80,$BO$4:$BO$63)</f>
        <v>7</v>
      </c>
      <c r="BP80" s="123">
        <f>SUMIF($R$4:$R$63,BM80,$BP$4:$BP$63)</f>
        <v>2</v>
      </c>
    </row>
    <row r="81" spans="1:68" x14ac:dyDescent="0.3">
      <c r="A81" s="142" t="s">
        <v>35</v>
      </c>
      <c r="B81" s="142">
        <f>COUNTIF(P3:P62, "Tinggi")</f>
        <v>24</v>
      </c>
      <c r="S81" s="141" t="s">
        <v>30</v>
      </c>
      <c r="T81" s="141">
        <f>SUMIF(R4:R63,S81,T4:T63)</f>
        <v>2.0499999999999998</v>
      </c>
      <c r="U81" s="141">
        <f>SUMIF(R4:R63,S81,U4:U63)</f>
        <v>15.95</v>
      </c>
      <c r="Z81" s="123" t="s">
        <v>30</v>
      </c>
      <c r="AA81" s="123">
        <f>SUMIF(R4:R63,Z81,AA4:AA63)</f>
        <v>6.1999999999999993</v>
      </c>
      <c r="AB81" s="123">
        <f>SUMIF(R4:R63,Z81,AB4:AB63)</f>
        <v>9.8250000000000011</v>
      </c>
      <c r="AC81" s="123">
        <f>SUMIF(R4:R63,Z81,AC4:AC63)</f>
        <v>1.9750000000000001</v>
      </c>
      <c r="AE81" s="123" t="s">
        <v>30</v>
      </c>
      <c r="AF81" s="123">
        <f>SUMIF(R4:R63,AE81,AF4:AF63)</f>
        <v>14.100000000000001</v>
      </c>
      <c r="AG81" s="147">
        <f>SUMIF(R4:R63,AE81,AG4:AG63)</f>
        <v>3.9</v>
      </c>
      <c r="AH81" s="106"/>
      <c r="AI81" s="123" t="s">
        <v>30</v>
      </c>
      <c r="AJ81" s="123">
        <f>SUMIF(R4:R63,AI81,AJ4:AJ63)</f>
        <v>6.1510944138079822</v>
      </c>
      <c r="AK81" s="123">
        <f>SUMIF(R4:R63,AI81,AK4:AK63)</f>
        <v>11.848905586192021</v>
      </c>
      <c r="AN81" s="123" t="s">
        <v>30</v>
      </c>
      <c r="AO81" s="123">
        <f>SUMIF($R$4:R$63,AN81,$AO$4:$AO$63)</f>
        <v>7</v>
      </c>
      <c r="AP81" s="123">
        <f>SUMIF($R$4:$R$63,AN81,$AP$4:$AP$63)</f>
        <v>11</v>
      </c>
      <c r="AS81" s="123" t="s">
        <v>30</v>
      </c>
      <c r="AT81" s="123">
        <f>SUMIF($R$4:R$63,AS81,$AT$4:$AT$63)</f>
        <v>5</v>
      </c>
      <c r="AU81" s="123">
        <f>SUMIF($R$4:$R$63,AS81,$AU$4:$AU$63)</f>
        <v>13</v>
      </c>
      <c r="AX81" s="123" t="s">
        <v>30</v>
      </c>
      <c r="AY81" s="123">
        <f>SUMIF($R$4:R$63,AX81,$AY$4:$AY$63)</f>
        <v>8</v>
      </c>
      <c r="AZ81" s="123">
        <f>SUMIF($R$4:$R$63,AX81,$AZ$4:$AZ$63)</f>
        <v>10</v>
      </c>
      <c r="BC81" s="123" t="s">
        <v>30</v>
      </c>
      <c r="BD81" s="123">
        <f>SUMIF($R$4:R$63,BC81,$BD$4:$BD$63)</f>
        <v>8</v>
      </c>
      <c r="BE81" s="123">
        <f>SUMIF($R$4:$R$63,BC81,$BE$4:$BE$63)</f>
        <v>10</v>
      </c>
      <c r="BH81" s="123" t="s">
        <v>30</v>
      </c>
      <c r="BI81" s="123">
        <f>SUMIF($R$4:R$63,BH81,$BI$4:$BI$63)</f>
        <v>9</v>
      </c>
      <c r="BJ81" s="123">
        <f>SUMIF($R$4:$R$63,BH81,$BJ$4:$BJ$63)</f>
        <v>9</v>
      </c>
      <c r="BM81" s="123" t="s">
        <v>30</v>
      </c>
      <c r="BN81" s="123">
        <f>SUMIF($R$4:R$63,BM81,$BN$4:$BN$63)</f>
        <v>5</v>
      </c>
      <c r="BO81" s="123">
        <f>SUMIF($R$4:$R$63,BM81,$BO$4:$BO$63)</f>
        <v>10</v>
      </c>
      <c r="BP81" s="123">
        <f>SUMIF($R$4:$R$63,BM81,$BP$4:$BP$63)</f>
        <v>3</v>
      </c>
    </row>
    <row r="82" spans="1:68" x14ac:dyDescent="0.3">
      <c r="S82" s="141" t="s">
        <v>35</v>
      </c>
      <c r="T82" s="141">
        <f>SUMIF(R4:R63,S82,T4:T63)</f>
        <v>3.2499999999999996</v>
      </c>
      <c r="U82" s="141">
        <f>SUMIF(R4:R63,S82,U4:U63)</f>
        <v>20.75</v>
      </c>
      <c r="Z82" s="123" t="s">
        <v>35</v>
      </c>
      <c r="AA82" s="123">
        <f>SUMIF(R4:R63,Z82,AA4:AA63)</f>
        <v>0</v>
      </c>
      <c r="AB82" s="123">
        <f>SUMIF(R4:R63,Z82,AB4:AB63)</f>
        <v>4.8000000000000007</v>
      </c>
      <c r="AC82" s="123">
        <f>SUMIF(R4:R63,Z82,AC4:AC63)</f>
        <v>19.200000000000003</v>
      </c>
      <c r="AE82" s="123" t="s">
        <v>35</v>
      </c>
      <c r="AF82" s="123">
        <f>SUMIF(R4:R63,AE82,AF4:AF63)</f>
        <v>14.899999999999999</v>
      </c>
      <c r="AG82" s="147">
        <f>SUMIF(R4:R63,AE82,AG4:AG63)</f>
        <v>9.1</v>
      </c>
      <c r="AH82" s="106"/>
      <c r="AI82" s="123" t="s">
        <v>35</v>
      </c>
      <c r="AJ82" s="123">
        <f>SUMIF(R4:R63,AI82,AJ4:AJ63)</f>
        <v>6.1772672534562805</v>
      </c>
      <c r="AK82" s="123">
        <f>SUMIF(R4:R63,AI82,AK4:AK63)</f>
        <v>17.822732746543721</v>
      </c>
      <c r="AN82" s="123" t="s">
        <v>35</v>
      </c>
      <c r="AO82" s="123">
        <f>SUMIF($R$4:R$63,AN82,$AO$4:$AO$63)</f>
        <v>3</v>
      </c>
      <c r="AP82" s="123">
        <f>SUMIF($R$4:$R$63,AN82,$AP$4:$AP$63)</f>
        <v>21</v>
      </c>
      <c r="AS82" s="123" t="s">
        <v>35</v>
      </c>
      <c r="AT82" s="123">
        <f>SUMIF($R$4:R$63,AS82,$AT$4:$AT$63)</f>
        <v>13</v>
      </c>
      <c r="AU82" s="123">
        <f>SUMIF($R$4:$R$63,AS82,$AU$4:$AU$63)</f>
        <v>11</v>
      </c>
      <c r="AX82" s="123" t="s">
        <v>35</v>
      </c>
      <c r="AY82" s="123">
        <f>SUMIF($R$4:R$63,AX82,$AY$4:$AY$63)</f>
        <v>6</v>
      </c>
      <c r="AZ82" s="123">
        <f>SUMIF($R$4:$R$63,AX82,$AZ$4:$AZ$63)</f>
        <v>18</v>
      </c>
      <c r="BC82" s="123" t="s">
        <v>35</v>
      </c>
      <c r="BD82" s="123">
        <f>SUMIF($R$4:R$63,BC82,$BD$4:$BD$63)</f>
        <v>17</v>
      </c>
      <c r="BE82" s="123">
        <f>SUMIF($R$4:$R$63,BC82,$BE$4:$BE$63)</f>
        <v>7</v>
      </c>
      <c r="BH82" s="123" t="s">
        <v>35</v>
      </c>
      <c r="BI82" s="123">
        <f>SUMIF($R$4:R$63,BH82,$BI$4:$BI$63)</f>
        <v>13</v>
      </c>
      <c r="BJ82" s="123">
        <f>SUMIF($R$4:$R$63,BH82,$BJ$4:$BJ$63)</f>
        <v>11</v>
      </c>
      <c r="BM82" s="123" t="s">
        <v>35</v>
      </c>
      <c r="BN82" s="123">
        <f>SUMIF($R$4:R$63,BM82,$BN$4:$BN$63)</f>
        <v>5</v>
      </c>
      <c r="BO82" s="123">
        <f>SUMIF($R$4:$R$63,BM82,$BO$4:$BO$63)</f>
        <v>9</v>
      </c>
      <c r="BP82" s="123">
        <f>SUMIF($R$4:$R$63,BM82,$BP$4:$BP$63)</f>
        <v>10</v>
      </c>
    </row>
    <row r="83" spans="1:68" x14ac:dyDescent="0.3">
      <c r="A83" s="220" t="s">
        <v>261</v>
      </c>
      <c r="B83" s="220"/>
      <c r="C83" s="220"/>
      <c r="D83" s="151">
        <f>-((18/60)*LOG((18/60),2))-((18/60)*LOG((18/60),2))-((24/60)*LOG((24/60),2))</f>
        <v>1.5709505944546684</v>
      </c>
    </row>
    <row r="84" spans="1:68" x14ac:dyDescent="0.3">
      <c r="A84" s="217" t="s">
        <v>65</v>
      </c>
      <c r="B84" s="217"/>
      <c r="C84" s="217"/>
      <c r="D84" s="151">
        <f>(D83)-((T79/60)*I84)-((U79/60)*K84)</f>
        <v>4.4899144267690705E-2</v>
      </c>
      <c r="F84" s="219" t="s">
        <v>270</v>
      </c>
      <c r="G84" s="219"/>
      <c r="H84" s="148" t="s">
        <v>55</v>
      </c>
      <c r="I84" s="123">
        <f>-(T80/T79)*LOG((T80/T79),2)-(T81/T79)*LOG((T81/T79),2)-(T82/T79)*LOG((T82/T79),2)</f>
        <v>1.4368720906846644</v>
      </c>
      <c r="J84" s="148" t="s">
        <v>43</v>
      </c>
      <c r="K84" s="123">
        <f>-(U80/U79)*LOG((U80/U79),2)-(U81/U79)*LOG((U81/U79),2)-(U82/U79)*LOG((U82/U79),2)</f>
        <v>1.5473109259816473</v>
      </c>
      <c r="L84" s="145"/>
      <c r="M84" s="123"/>
    </row>
    <row r="85" spans="1:68" x14ac:dyDescent="0.3">
      <c r="A85" s="218" t="s">
        <v>262</v>
      </c>
      <c r="B85" s="218"/>
      <c r="C85" s="218"/>
      <c r="D85" s="152">
        <f>(D83)-((AA79/60)*I85)-((AB79/60)*K85)-((AC79/60)*M85)</f>
        <v>0.64713153062882633</v>
      </c>
      <c r="F85" s="219" t="s">
        <v>271</v>
      </c>
      <c r="G85" s="219"/>
      <c r="H85" s="148" t="s">
        <v>44</v>
      </c>
      <c r="I85" s="123">
        <f>-(AA80/AA79)*LOG((AA80/AA79),2)-(AA81/AA79)*LOG((AA81/AA79),2)-(0)</f>
        <v>0.88543831471191825</v>
      </c>
      <c r="J85" s="148" t="s">
        <v>280</v>
      </c>
      <c r="K85" s="123">
        <f>-(AB80/AB79)*LOG((AB80/AB79),2)-(AB81/AB79)*LOG((AB81/AB79),2)-(AB82/AB79)*LOG((AB82/AB79),2)</f>
        <v>1.4492745814581292</v>
      </c>
      <c r="L85" s="148" t="s">
        <v>61</v>
      </c>
      <c r="M85" s="123">
        <f>-(AC80/AC79)*LOG((AC80/AC79),2)-(AC81/AC79)*LOG((AC81/AC79),2)-(AC82/AC79)*LOG((AC82/AC79),2)</f>
        <v>0.51221244215650619</v>
      </c>
    </row>
    <row r="86" spans="1:68" x14ac:dyDescent="0.3">
      <c r="A86" s="217" t="s">
        <v>263</v>
      </c>
      <c r="B86" s="217"/>
      <c r="C86" s="217"/>
      <c r="D86" s="151">
        <f>(D83)-((AF79/60)*I86)-((AG79/60)*K86)</f>
        <v>2.6154370046803488E-2</v>
      </c>
      <c r="F86" s="219" t="s">
        <v>272</v>
      </c>
      <c r="G86" s="219"/>
      <c r="H86" s="148" t="s">
        <v>44</v>
      </c>
      <c r="I86" s="123">
        <f>-(AF80/AF79)*LOG((AF80/AF79),2)-(AF81/AF79)*LOG((AF81/AF79),2)-(AF82/AF79)*LOG((AF82/AF79),2)</f>
        <v>1.5845964912205566</v>
      </c>
      <c r="J86" s="148" t="s">
        <v>258</v>
      </c>
      <c r="K86" s="123">
        <f>-(AG80/AG79)*LOG((AG80/AG79),2)-(AG81/AG79)*LOG((AG81/AG79),2)-(AG82/AG79)*LOG((AG82/AG79),2)</f>
        <v>1.4398682482653133</v>
      </c>
      <c r="L86" s="148"/>
      <c r="M86" s="123"/>
    </row>
    <row r="87" spans="1:68" x14ac:dyDescent="0.3">
      <c r="A87" s="217" t="s">
        <v>67</v>
      </c>
      <c r="B87" s="217"/>
      <c r="C87" s="217"/>
      <c r="D87" s="151">
        <f>(D83)-((AJ79/60)*I87)-((AK79/60)*K87)</f>
        <v>1.7519163687946815E-2</v>
      </c>
      <c r="F87" s="219" t="s">
        <v>273</v>
      </c>
      <c r="G87" s="219"/>
      <c r="H87" s="148" t="s">
        <v>44</v>
      </c>
      <c r="I87" s="123">
        <f>-(AJ80/AJ79)*LOG((AJ80/AJ79),2)-(AJ81/AJ79)*LOG((AJ81/AJ79),2)-(AJ82/AJ79)*LOG((AJ82/AJ79),2)</f>
        <v>1.5753611296462249</v>
      </c>
      <c r="J87" s="148" t="s">
        <v>47</v>
      </c>
      <c r="K87" s="123">
        <f>-(AK80/AK79)*LOG((AK80/AK79),2)-(AK81/AK79)*LOG((AK81/AK79),2)-(AK82/AK79)*LOG((AK82/AK79),2)</f>
        <v>1.5423368067086578</v>
      </c>
      <c r="L87" s="148"/>
      <c r="M87" s="123"/>
    </row>
    <row r="88" spans="1:68" x14ac:dyDescent="0.3">
      <c r="A88" s="217" t="s">
        <v>264</v>
      </c>
      <c r="B88" s="217"/>
      <c r="C88" s="217"/>
      <c r="D88" s="151">
        <f>(D83)-((AO79/60)*I88)-((AP79/60)*K88)</f>
        <v>4.7866188809807086E-2</v>
      </c>
      <c r="F88" s="219" t="s">
        <v>274</v>
      </c>
      <c r="G88" s="219"/>
      <c r="H88" s="148" t="s">
        <v>25</v>
      </c>
      <c r="I88" s="123">
        <f>-(AO80/AO79)*LOG((AO80/AO79),2)-(AO81/AO79)*LOG((AO81/AO79),2)-(AO82/AO79)*LOG((AO82/AO79),2)</f>
        <v>1.4926140680171256</v>
      </c>
      <c r="J88" s="148" t="s">
        <v>34</v>
      </c>
      <c r="K88" s="123">
        <f>-(AP80/AP79)*LOG((AP80/AP79),2)-(AP81/AP79)*LOG((AP81/AP79),2)-(AP82/AP79)*LOG((AP82/AP79),2)</f>
        <v>1.5323579866619981</v>
      </c>
      <c r="L88" s="148"/>
      <c r="M88" s="123"/>
    </row>
    <row r="89" spans="1:68" x14ac:dyDescent="0.3">
      <c r="A89" s="217" t="s">
        <v>265</v>
      </c>
      <c r="B89" s="217"/>
      <c r="C89" s="217"/>
      <c r="D89" s="151">
        <f>(D83)-((AT79/60)*I89)-((AU79/60)*K89)</f>
        <v>0.11360284875256399</v>
      </c>
      <c r="F89" s="219" t="s">
        <v>275</v>
      </c>
      <c r="G89" s="219"/>
      <c r="H89" s="148" t="s">
        <v>26</v>
      </c>
      <c r="I89" s="123">
        <f>-(AT80/AT79)*LOG((AT80/AT79),2)-(AT81/AT79)*LOG((AT81/AT79),2)-(AT82/AT79)*LOG((AT82/AT79),2)</f>
        <v>1.2361602543738119</v>
      </c>
      <c r="J89" s="148" t="s">
        <v>39</v>
      </c>
      <c r="K89" s="123">
        <f>-(AU80/AU79)*LOG((AU80/AU79),2)-(AU81/AU79)*LOG((AU81/AU79),2)-(AU82/AU79)*LOG((AU82/AU79),2)</f>
        <v>1.5679414913662506</v>
      </c>
      <c r="L89" s="148"/>
      <c r="M89" s="123"/>
    </row>
    <row r="90" spans="1:68" x14ac:dyDescent="0.3">
      <c r="A90" s="217" t="s">
        <v>266</v>
      </c>
      <c r="B90" s="217"/>
      <c r="C90" s="217"/>
      <c r="D90" s="151">
        <f>(D83)-((AY79/60)*I90)-((AZ79/60)*K90)</f>
        <v>6.3829173773353398E-2</v>
      </c>
      <c r="F90" s="219" t="s">
        <v>276</v>
      </c>
      <c r="G90" s="219"/>
      <c r="H90" s="149" t="s">
        <v>27</v>
      </c>
      <c r="I90" s="123">
        <f>-(AY80/AY79)*LOG((AY80/AY79),2)-(AY81/AY79)*LOG((AY81/AY79),2)-(AY82/AY79)*LOG((AY82/AY79),2)</f>
        <v>1.4056390622295662</v>
      </c>
      <c r="J90" s="149" t="s">
        <v>32</v>
      </c>
      <c r="K90" s="123">
        <f>-(AZ80/AZ79)*LOG((AZ80/AZ79),2)-(AZ81/AZ79)*LOG((AZ81/AZ79),2)-(AZ82/AZ79)*LOG((AZ82/AZ79),2)</f>
        <v>1.5440240964819509</v>
      </c>
      <c r="L90" s="148"/>
      <c r="M90" s="123"/>
    </row>
    <row r="91" spans="1:68" x14ac:dyDescent="0.3">
      <c r="A91" s="217" t="s">
        <v>267</v>
      </c>
      <c r="B91" s="217"/>
      <c r="C91" s="217"/>
      <c r="D91" s="151">
        <f>(D83)-((BD79/60)*I91)-((BE79/60)*K91)</f>
        <v>0.15611629984151765</v>
      </c>
      <c r="F91" s="219" t="s">
        <v>277</v>
      </c>
      <c r="G91" s="219"/>
      <c r="H91" s="149" t="s">
        <v>28</v>
      </c>
      <c r="I91" s="123">
        <f>-(BD80/BD79)*LOG((BD80/BD79),2)-(BD81/BD79)*LOG((BD81/BD79),2)-(BD82/BD79)*LOG((BD82/BD79),2)</f>
        <v>1.2987207862212027</v>
      </c>
      <c r="J91" s="149" t="s">
        <v>33</v>
      </c>
      <c r="K91" s="123">
        <f>-(BE80/BE79)*LOG((BE80/BE79),2)-(BE81/BE79)*LOG((BE81/BE79),2)-(BE82/BE79)*LOG((BE82/BE79),2)</f>
        <v>1.5164336144561055</v>
      </c>
      <c r="L91" s="148"/>
      <c r="M91" s="123"/>
    </row>
    <row r="92" spans="1:68" x14ac:dyDescent="0.3">
      <c r="A92" s="217" t="s">
        <v>268</v>
      </c>
      <c r="B92" s="217"/>
      <c r="C92" s="217"/>
      <c r="D92" s="151">
        <f>(D83)-((BI79/60)*I92)-((BJ79/60)*K92)</f>
        <v>0.22030190278010142</v>
      </c>
      <c r="F92" s="219" t="s">
        <v>278</v>
      </c>
      <c r="G92" s="219"/>
      <c r="H92" s="148" t="s">
        <v>25</v>
      </c>
      <c r="I92" s="123">
        <f>-(BI80/BI79)*LOG((BI80/BI79),2)-(BI81/BI79)*LOG((BI81/BI79),2)-(BI82/BI79)*LOG((BI82/BI79),2)</f>
        <v>1.5295858105179465</v>
      </c>
      <c r="J92" s="148" t="s">
        <v>34</v>
      </c>
      <c r="K92" s="123">
        <f>-(0)-(BJ81/BJ79)*LOG((BJ81/BJ79),2)-(BJ82/BJ79)*LOG((BJ82/BJ79),2)</f>
        <v>0.99277445398780839</v>
      </c>
      <c r="L92" s="148"/>
      <c r="M92" s="123"/>
    </row>
    <row r="93" spans="1:68" x14ac:dyDescent="0.3">
      <c r="A93" s="217" t="s">
        <v>269</v>
      </c>
      <c r="B93" s="217"/>
      <c r="C93" s="217"/>
      <c r="D93" s="151">
        <f>(D83)-((BN79/60)*I93)-((BO79/60)*K84)-((BP79/60)*M93)</f>
        <v>0.1072624052515484</v>
      </c>
      <c r="F93" s="219" t="s">
        <v>279</v>
      </c>
      <c r="G93" s="219"/>
      <c r="H93" s="148" t="s">
        <v>34</v>
      </c>
      <c r="I93" s="123">
        <f>-(BN80/BN79)*LOG((BN80/BN79),2)-(BN81/BN79)*LOG((BN81/BN79),2)-(BN82/BN79)*LOG((BN82/BN79),2)</f>
        <v>1.5243166733459836</v>
      </c>
      <c r="J93" s="149" t="s">
        <v>29</v>
      </c>
      <c r="K93" s="123">
        <f>-(BO80/BO79)*LOG((BO80/BO79),2)-(BO81/BO79)*LOG((BO81/BO79),2)-(BO82/BO79)*LOG((BO82/BO79),2)</f>
        <v>1.5696670098234899</v>
      </c>
      <c r="L93" s="149" t="s">
        <v>38</v>
      </c>
      <c r="M93" s="123">
        <f>-(BP80/BP79)*LOG((BP80/BP79),2)-(BP81/BP79)*LOG((BP81/BP79),2)-(BP82/BP79)*LOG((BP82/BP79),2)</f>
        <v>1.2419460322060458</v>
      </c>
    </row>
    <row r="104" spans="1:78" x14ac:dyDescent="0.3">
      <c r="O104" s="136" t="s">
        <v>283</v>
      </c>
      <c r="P104" s="153">
        <v>0.7</v>
      </c>
    </row>
    <row r="105" spans="1:78" x14ac:dyDescent="0.3">
      <c r="A105" s="121" t="s">
        <v>77</v>
      </c>
      <c r="B105" s="139" t="s">
        <v>64</v>
      </c>
      <c r="C105" s="139" t="s">
        <v>44</v>
      </c>
      <c r="D105" s="139" t="s">
        <v>66</v>
      </c>
      <c r="F105" s="139" t="s">
        <v>77</v>
      </c>
      <c r="G105" s="139" t="s">
        <v>64</v>
      </c>
      <c r="H105" s="139" t="s">
        <v>256</v>
      </c>
      <c r="I105" s="139" t="s">
        <v>66</v>
      </c>
      <c r="K105" s="139" t="s">
        <v>77</v>
      </c>
      <c r="L105" s="139" t="s">
        <v>64</v>
      </c>
      <c r="M105" s="139" t="s">
        <v>61</v>
      </c>
      <c r="N105" s="139" t="s">
        <v>66</v>
      </c>
      <c r="O105" s="128" t="s">
        <v>98</v>
      </c>
      <c r="R105" s="128" t="s">
        <v>282</v>
      </c>
      <c r="T105" s="139" t="s">
        <v>66</v>
      </c>
      <c r="U105" s="121" t="s">
        <v>77</v>
      </c>
      <c r="V105" s="139" t="s">
        <v>4</v>
      </c>
      <c r="W105" s="139" t="s">
        <v>55</v>
      </c>
      <c r="X105" s="139" t="s">
        <v>43</v>
      </c>
      <c r="AA105" s="121" t="s">
        <v>77</v>
      </c>
      <c r="AB105" s="139" t="s">
        <v>56</v>
      </c>
      <c r="AC105" s="139" t="s">
        <v>44</v>
      </c>
      <c r="AD105" s="139" t="s">
        <v>258</v>
      </c>
      <c r="AG105" s="121" t="s">
        <v>77</v>
      </c>
      <c r="AH105" s="139" t="s">
        <v>10</v>
      </c>
      <c r="AI105" s="139" t="s">
        <v>44</v>
      </c>
      <c r="AJ105" s="139" t="s">
        <v>47</v>
      </c>
      <c r="AM105" s="121" t="s">
        <v>77</v>
      </c>
      <c r="AN105" s="139" t="s">
        <v>11</v>
      </c>
      <c r="AO105" s="139" t="s">
        <v>259</v>
      </c>
      <c r="AP105" s="139" t="s">
        <v>25</v>
      </c>
      <c r="AQ105" s="139" t="s">
        <v>34</v>
      </c>
      <c r="AT105" s="121" t="s">
        <v>77</v>
      </c>
      <c r="AU105" s="139" t="s">
        <v>48</v>
      </c>
      <c r="AV105" s="139" t="s">
        <v>259</v>
      </c>
      <c r="AW105" s="139" t="s">
        <v>26</v>
      </c>
      <c r="AX105" s="139" t="s">
        <v>39</v>
      </c>
      <c r="BA105" s="121" t="s">
        <v>77</v>
      </c>
      <c r="BB105" s="139" t="s">
        <v>13</v>
      </c>
      <c r="BC105" s="139" t="s">
        <v>259</v>
      </c>
      <c r="BD105" s="110" t="s">
        <v>27</v>
      </c>
      <c r="BE105" s="110" t="s">
        <v>32</v>
      </c>
      <c r="BG105" s="121" t="s">
        <v>77</v>
      </c>
      <c r="BH105" s="139" t="s">
        <v>15</v>
      </c>
      <c r="BI105" s="139" t="s">
        <v>259</v>
      </c>
      <c r="BJ105" s="139" t="s">
        <v>25</v>
      </c>
      <c r="BK105" s="139" t="s">
        <v>34</v>
      </c>
      <c r="BN105" s="121" t="s">
        <v>77</v>
      </c>
      <c r="BO105" s="139" t="s">
        <v>260</v>
      </c>
      <c r="BP105" s="139" t="s">
        <v>259</v>
      </c>
      <c r="BQ105" s="134" t="s">
        <v>34</v>
      </c>
      <c r="BR105" s="134" t="s">
        <v>29</v>
      </c>
      <c r="BS105" s="134" t="s">
        <v>38</v>
      </c>
      <c r="BV105" s="121" t="s">
        <v>77</v>
      </c>
      <c r="BW105" s="139" t="s">
        <v>52</v>
      </c>
      <c r="BX105" s="142" t="s">
        <v>259</v>
      </c>
      <c r="BY105" s="156" t="s">
        <v>28</v>
      </c>
      <c r="BZ105" s="156" t="s">
        <v>33</v>
      </c>
    </row>
    <row r="106" spans="1:78" x14ac:dyDescent="0.3">
      <c r="A106" s="121">
        <v>1</v>
      </c>
      <c r="B106" s="121">
        <v>215</v>
      </c>
      <c r="C106" s="121">
        <v>0.5</v>
      </c>
      <c r="D106" s="134" t="s">
        <v>30</v>
      </c>
      <c r="F106" s="135">
        <v>1</v>
      </c>
      <c r="G106" s="135">
        <v>215</v>
      </c>
      <c r="H106" s="135">
        <v>0.5</v>
      </c>
      <c r="I106" s="134" t="s">
        <v>30</v>
      </c>
      <c r="K106" s="137">
        <v>2</v>
      </c>
      <c r="L106" s="121">
        <v>308</v>
      </c>
      <c r="M106" s="121">
        <v>1</v>
      </c>
      <c r="N106" s="134" t="s">
        <v>35</v>
      </c>
      <c r="O106" s="119" t="s">
        <v>130</v>
      </c>
      <c r="P106" s="90" t="s">
        <v>36</v>
      </c>
      <c r="Q106" s="90">
        <f>SUMIF(D106:D132,P106,C106:C132)</f>
        <v>14.233333333333334</v>
      </c>
      <c r="R106" s="90">
        <f>((Q106)/(C133))*(100)</f>
        <v>69.657422512234916</v>
      </c>
      <c r="T106" s="134" t="s">
        <v>30</v>
      </c>
      <c r="U106" s="121">
        <v>1</v>
      </c>
      <c r="V106" s="134">
        <v>52</v>
      </c>
      <c r="W106" s="121">
        <v>0</v>
      </c>
      <c r="X106" s="121">
        <v>1</v>
      </c>
      <c r="AA106" s="121">
        <v>1</v>
      </c>
      <c r="AB106" s="134">
        <v>78</v>
      </c>
      <c r="AC106" s="121">
        <v>1</v>
      </c>
      <c r="AD106" s="121">
        <v>0</v>
      </c>
      <c r="AG106" s="121">
        <v>1</v>
      </c>
      <c r="AH106" s="4">
        <v>23.598931085099178</v>
      </c>
      <c r="AI106" s="121">
        <v>0.37789654610009138</v>
      </c>
      <c r="AJ106" s="121">
        <v>0.62210345389990862</v>
      </c>
      <c r="AM106" s="121">
        <v>1</v>
      </c>
      <c r="AN106" s="120" t="s">
        <v>25</v>
      </c>
      <c r="AO106" s="121">
        <v>1</v>
      </c>
      <c r="AP106" s="121">
        <v>1</v>
      </c>
      <c r="AQ106" s="121">
        <v>0</v>
      </c>
      <c r="AT106" s="121">
        <v>1</v>
      </c>
      <c r="AU106" s="134" t="s">
        <v>26</v>
      </c>
      <c r="AV106" s="121">
        <v>0</v>
      </c>
      <c r="AW106" s="121">
        <v>0</v>
      </c>
      <c r="AX106" s="121">
        <v>1</v>
      </c>
      <c r="BA106" s="121">
        <v>1</v>
      </c>
      <c r="BB106" s="134" t="s">
        <v>27</v>
      </c>
      <c r="BC106" s="121">
        <v>0</v>
      </c>
      <c r="BD106" s="121">
        <v>0</v>
      </c>
      <c r="BE106" s="121">
        <v>1</v>
      </c>
      <c r="BG106" s="121">
        <v>1</v>
      </c>
      <c r="BH106" s="134" t="s">
        <v>25</v>
      </c>
      <c r="BI106" s="121">
        <v>1</v>
      </c>
      <c r="BJ106" s="121">
        <v>1</v>
      </c>
      <c r="BK106" s="121">
        <v>0</v>
      </c>
      <c r="BN106" s="121">
        <v>1</v>
      </c>
      <c r="BO106" s="134" t="s">
        <v>29</v>
      </c>
      <c r="BP106" s="121">
        <v>0.5</v>
      </c>
      <c r="BQ106" s="121">
        <v>0</v>
      </c>
      <c r="BR106" s="121">
        <v>1</v>
      </c>
      <c r="BS106" s="121">
        <v>0</v>
      </c>
      <c r="BV106" s="121">
        <v>1</v>
      </c>
      <c r="BW106" s="154" t="s">
        <v>28</v>
      </c>
      <c r="BX106" s="121">
        <v>0</v>
      </c>
      <c r="BY106" s="121">
        <v>0</v>
      </c>
      <c r="BZ106" s="121">
        <v>1</v>
      </c>
    </row>
    <row r="107" spans="1:78" x14ac:dyDescent="0.3">
      <c r="A107" s="121">
        <v>3</v>
      </c>
      <c r="B107" s="121">
        <v>209</v>
      </c>
      <c r="C107" s="121">
        <v>0.7</v>
      </c>
      <c r="D107" s="134" t="s">
        <v>36</v>
      </c>
      <c r="F107" s="135">
        <v>3</v>
      </c>
      <c r="G107" s="135">
        <v>209</v>
      </c>
      <c r="H107" s="135">
        <v>0.3</v>
      </c>
      <c r="I107" s="134" t="s">
        <v>36</v>
      </c>
      <c r="K107" s="137">
        <v>4</v>
      </c>
      <c r="L107" s="121">
        <v>245</v>
      </c>
      <c r="M107" s="121">
        <v>0.375</v>
      </c>
      <c r="N107" s="134" t="s">
        <v>30</v>
      </c>
      <c r="P107" t="s">
        <v>30</v>
      </c>
      <c r="Q107" s="119">
        <f>SUMIF(D106:D132,P107,C106:C132)</f>
        <v>6.1999999999999993</v>
      </c>
      <c r="R107">
        <f>((Q107)/(C133))*(100)</f>
        <v>30.342577487765087</v>
      </c>
      <c r="T107" s="134" t="s">
        <v>36</v>
      </c>
      <c r="U107" s="121">
        <v>3</v>
      </c>
      <c r="V107" s="134">
        <v>56</v>
      </c>
      <c r="W107" s="121">
        <v>0</v>
      </c>
      <c r="X107" s="121">
        <v>1</v>
      </c>
      <c r="AA107" s="121">
        <v>3</v>
      </c>
      <c r="AB107" s="134">
        <v>98</v>
      </c>
      <c r="AC107" s="121">
        <v>0.2</v>
      </c>
      <c r="AD107" s="121">
        <v>0.8</v>
      </c>
      <c r="AG107" s="121">
        <v>3</v>
      </c>
      <c r="AH107" s="4">
        <v>26.840928029472394</v>
      </c>
      <c r="AI107" s="121">
        <v>1.76746633919562E-2</v>
      </c>
      <c r="AJ107" s="121">
        <v>0.98232533660804378</v>
      </c>
      <c r="AM107" s="121">
        <v>3</v>
      </c>
      <c r="AN107" s="120" t="s">
        <v>25</v>
      </c>
      <c r="AO107" s="121">
        <v>1</v>
      </c>
      <c r="AP107" s="121">
        <v>1</v>
      </c>
      <c r="AQ107" s="121">
        <v>0</v>
      </c>
      <c r="AT107" s="121">
        <v>3</v>
      </c>
      <c r="AU107" s="134" t="s">
        <v>26</v>
      </c>
      <c r="AV107" s="121">
        <v>0</v>
      </c>
      <c r="AW107" s="121">
        <v>0</v>
      </c>
      <c r="AX107" s="121">
        <v>1</v>
      </c>
      <c r="BA107" s="121">
        <v>3</v>
      </c>
      <c r="BB107" s="134" t="s">
        <v>27</v>
      </c>
      <c r="BC107" s="121">
        <v>0</v>
      </c>
      <c r="BD107" s="121">
        <v>0</v>
      </c>
      <c r="BE107" s="121">
        <v>1</v>
      </c>
      <c r="BG107" s="121">
        <v>3</v>
      </c>
      <c r="BH107" s="134" t="s">
        <v>25</v>
      </c>
      <c r="BI107" s="121">
        <v>1</v>
      </c>
      <c r="BJ107" s="121">
        <v>1</v>
      </c>
      <c r="BK107" s="121">
        <v>0</v>
      </c>
      <c r="BN107" s="121">
        <v>3</v>
      </c>
      <c r="BO107" s="134" t="s">
        <v>34</v>
      </c>
      <c r="BP107" s="121">
        <v>0</v>
      </c>
      <c r="BQ107" s="121">
        <v>1</v>
      </c>
      <c r="BR107" s="121">
        <v>0</v>
      </c>
      <c r="BS107" s="121">
        <v>0</v>
      </c>
      <c r="BV107" s="121">
        <v>3</v>
      </c>
      <c r="BW107" s="154" t="s">
        <v>28</v>
      </c>
      <c r="BX107" s="121">
        <v>0</v>
      </c>
      <c r="BY107" s="121">
        <v>0</v>
      </c>
      <c r="BZ107" s="121">
        <v>1</v>
      </c>
    </row>
    <row r="108" spans="1:78" x14ac:dyDescent="0.3">
      <c r="A108" s="121">
        <v>6</v>
      </c>
      <c r="B108" s="121">
        <v>198</v>
      </c>
      <c r="C108" s="121">
        <v>1</v>
      </c>
      <c r="D108" s="134" t="s">
        <v>36</v>
      </c>
      <c r="F108" s="135">
        <v>4</v>
      </c>
      <c r="G108" s="135">
        <v>245</v>
      </c>
      <c r="H108" s="135">
        <v>0.625</v>
      </c>
      <c r="I108" s="134" t="s">
        <v>30</v>
      </c>
      <c r="K108" s="137">
        <v>5</v>
      </c>
      <c r="L108" s="121">
        <v>236</v>
      </c>
      <c r="M108" s="121">
        <v>0.15</v>
      </c>
      <c r="N108" s="134" t="s">
        <v>30</v>
      </c>
      <c r="P108" t="s">
        <v>35</v>
      </c>
      <c r="Q108" s="119">
        <f>SUMIF($D$106:$D$118,P108,$C$106:$C$118)</f>
        <v>0</v>
      </c>
      <c r="R108" s="119">
        <v>0</v>
      </c>
      <c r="T108" s="134" t="s">
        <v>36</v>
      </c>
      <c r="U108" s="121">
        <v>6</v>
      </c>
      <c r="V108" s="134">
        <v>51</v>
      </c>
      <c r="W108" s="121">
        <v>0</v>
      </c>
      <c r="X108" s="121">
        <v>1</v>
      </c>
      <c r="AA108" s="121">
        <v>6</v>
      </c>
      <c r="AB108" s="134">
        <v>70</v>
      </c>
      <c r="AC108" s="121">
        <v>1</v>
      </c>
      <c r="AD108" s="121">
        <v>0</v>
      </c>
      <c r="AG108" s="121">
        <v>6</v>
      </c>
      <c r="AH108" s="4">
        <v>25.355998214937724</v>
      </c>
      <c r="AI108" s="121">
        <v>0.18266686500691953</v>
      </c>
      <c r="AJ108" s="121">
        <v>0.81733313499308047</v>
      </c>
      <c r="AM108" s="121">
        <v>6</v>
      </c>
      <c r="AN108" s="120" t="s">
        <v>31</v>
      </c>
      <c r="AO108" s="121">
        <v>0</v>
      </c>
      <c r="AP108" s="121">
        <v>0</v>
      </c>
      <c r="AQ108" s="121">
        <v>1</v>
      </c>
      <c r="AT108" s="121">
        <v>6</v>
      </c>
      <c r="AU108" s="134" t="s">
        <v>26</v>
      </c>
      <c r="AV108" s="121">
        <v>0</v>
      </c>
      <c r="AW108" s="121">
        <v>0</v>
      </c>
      <c r="AX108" s="121">
        <v>1</v>
      </c>
      <c r="BA108" s="121">
        <v>6</v>
      </c>
      <c r="BB108" s="134" t="s">
        <v>27</v>
      </c>
      <c r="BC108" s="121">
        <v>0</v>
      </c>
      <c r="BD108" s="121">
        <v>0</v>
      </c>
      <c r="BE108" s="121">
        <v>1</v>
      </c>
      <c r="BG108" s="121">
        <v>6</v>
      </c>
      <c r="BH108" s="134" t="s">
        <v>25</v>
      </c>
      <c r="BI108" s="121">
        <v>1</v>
      </c>
      <c r="BJ108" s="121">
        <v>1</v>
      </c>
      <c r="BK108" s="121">
        <v>0</v>
      </c>
      <c r="BN108" s="121">
        <v>6</v>
      </c>
      <c r="BO108" s="134" t="s">
        <v>29</v>
      </c>
      <c r="BP108" s="121">
        <v>0.5</v>
      </c>
      <c r="BQ108" s="121">
        <v>0</v>
      </c>
      <c r="BR108" s="121">
        <v>1</v>
      </c>
      <c r="BS108" s="121">
        <v>0</v>
      </c>
      <c r="BV108" s="121">
        <v>6</v>
      </c>
      <c r="BW108" s="154" t="s">
        <v>28</v>
      </c>
      <c r="BX108" s="121">
        <v>0</v>
      </c>
      <c r="BY108" s="121">
        <v>0</v>
      </c>
      <c r="BZ108" s="121">
        <v>1</v>
      </c>
    </row>
    <row r="109" spans="1:78" x14ac:dyDescent="0.3">
      <c r="A109" s="121">
        <v>9</v>
      </c>
      <c r="B109" s="121">
        <v>212</v>
      </c>
      <c r="C109" s="121">
        <v>0.6</v>
      </c>
      <c r="D109" s="134" t="s">
        <v>36</v>
      </c>
      <c r="F109" s="135">
        <v>5</v>
      </c>
      <c r="G109" s="135">
        <v>236</v>
      </c>
      <c r="H109" s="135">
        <v>0.85</v>
      </c>
      <c r="I109" s="134" t="s">
        <v>30</v>
      </c>
      <c r="K109" s="137">
        <v>7</v>
      </c>
      <c r="L109" s="121">
        <v>266</v>
      </c>
      <c r="M109" s="121">
        <v>0.9</v>
      </c>
      <c r="N109" s="134" t="s">
        <v>35</v>
      </c>
      <c r="T109" s="134" t="s">
        <v>36</v>
      </c>
      <c r="U109" s="121">
        <v>9</v>
      </c>
      <c r="V109" s="134">
        <v>55</v>
      </c>
      <c r="W109" s="121">
        <v>0</v>
      </c>
      <c r="X109" s="121">
        <v>1</v>
      </c>
      <c r="AA109" s="121">
        <v>9</v>
      </c>
      <c r="AB109" s="134">
        <v>72</v>
      </c>
      <c r="AC109" s="121">
        <v>1</v>
      </c>
      <c r="AD109" s="121">
        <v>0</v>
      </c>
      <c r="AG109" s="121">
        <v>9</v>
      </c>
      <c r="AH109" s="4">
        <v>19.522405912255973</v>
      </c>
      <c r="AI109" s="121">
        <v>0.83084378752711407</v>
      </c>
      <c r="AJ109" s="121">
        <v>0.1691562124728859</v>
      </c>
      <c r="AM109" s="121">
        <v>9</v>
      </c>
      <c r="AN109" s="120" t="s">
        <v>31</v>
      </c>
      <c r="AO109" s="121">
        <v>0</v>
      </c>
      <c r="AP109" s="121">
        <v>0</v>
      </c>
      <c r="AQ109" s="121">
        <v>1</v>
      </c>
      <c r="AT109" s="121">
        <v>9</v>
      </c>
      <c r="AU109" s="134" t="s">
        <v>26</v>
      </c>
      <c r="AV109" s="121">
        <v>0</v>
      </c>
      <c r="AW109" s="121">
        <v>0</v>
      </c>
      <c r="AX109" s="121">
        <v>1</v>
      </c>
      <c r="BA109" s="121">
        <v>9</v>
      </c>
      <c r="BB109" s="134" t="s">
        <v>27</v>
      </c>
      <c r="BC109" s="121">
        <v>0</v>
      </c>
      <c r="BD109" s="121">
        <v>0</v>
      </c>
      <c r="BE109" s="121">
        <v>1</v>
      </c>
      <c r="BG109" s="121">
        <v>9</v>
      </c>
      <c r="BH109" s="134" t="s">
        <v>25</v>
      </c>
      <c r="BI109" s="121">
        <v>1</v>
      </c>
      <c r="BJ109" s="121">
        <v>1</v>
      </c>
      <c r="BK109" s="121">
        <v>0</v>
      </c>
      <c r="BN109" s="121">
        <v>9</v>
      </c>
      <c r="BO109" s="134" t="s">
        <v>34</v>
      </c>
      <c r="BP109" s="121">
        <v>0</v>
      </c>
      <c r="BQ109" s="121">
        <v>1</v>
      </c>
      <c r="BR109" s="121">
        <v>0</v>
      </c>
      <c r="BS109" s="121">
        <v>0</v>
      </c>
      <c r="BV109" s="121">
        <v>9</v>
      </c>
      <c r="BW109" s="154" t="s">
        <v>33</v>
      </c>
      <c r="BX109" s="121">
        <v>1</v>
      </c>
      <c r="BY109" s="121">
        <v>1</v>
      </c>
      <c r="BZ109" s="121">
        <v>0</v>
      </c>
    </row>
    <row r="110" spans="1:78" x14ac:dyDescent="0.3">
      <c r="A110" s="121">
        <v>12</v>
      </c>
      <c r="B110" s="121">
        <v>195</v>
      </c>
      <c r="C110" s="121">
        <v>1</v>
      </c>
      <c r="D110" s="134" t="s">
        <v>36</v>
      </c>
      <c r="F110" s="135">
        <v>7</v>
      </c>
      <c r="G110" s="135">
        <v>266</v>
      </c>
      <c r="H110" s="135">
        <v>0.1</v>
      </c>
      <c r="I110" s="134" t="s">
        <v>35</v>
      </c>
      <c r="K110" s="137">
        <v>8</v>
      </c>
      <c r="L110" s="121">
        <v>272</v>
      </c>
      <c r="M110" s="121">
        <v>1</v>
      </c>
      <c r="N110" s="134" t="s">
        <v>35</v>
      </c>
      <c r="T110" s="134" t="s">
        <v>36</v>
      </c>
      <c r="U110" s="121">
        <v>12</v>
      </c>
      <c r="V110" s="134">
        <v>58</v>
      </c>
      <c r="W110" s="121">
        <v>0</v>
      </c>
      <c r="X110" s="121">
        <v>1</v>
      </c>
      <c r="AA110" s="121">
        <v>12</v>
      </c>
      <c r="AB110" s="134">
        <v>91</v>
      </c>
      <c r="AC110" s="121">
        <v>0.9</v>
      </c>
      <c r="AD110" s="121">
        <v>0.1</v>
      </c>
      <c r="AG110" s="121">
        <v>12</v>
      </c>
      <c r="AH110" s="4">
        <v>22.853769607016361</v>
      </c>
      <c r="AI110" s="121">
        <v>0.46069226588707107</v>
      </c>
      <c r="AJ110" s="121">
        <v>0.53930773411292898</v>
      </c>
      <c r="AM110" s="121">
        <v>12</v>
      </c>
      <c r="AN110" s="120" t="s">
        <v>25</v>
      </c>
      <c r="AO110" s="121">
        <v>1</v>
      </c>
      <c r="AP110" s="121">
        <v>1</v>
      </c>
      <c r="AQ110" s="121">
        <v>0</v>
      </c>
      <c r="AT110" s="121">
        <v>12</v>
      </c>
      <c r="AU110" s="134" t="s">
        <v>26</v>
      </c>
      <c r="AV110" s="121">
        <v>0</v>
      </c>
      <c r="AW110" s="121">
        <v>0</v>
      </c>
      <c r="AX110" s="121">
        <v>1</v>
      </c>
      <c r="BA110" s="121">
        <v>12</v>
      </c>
      <c r="BB110" s="134" t="s">
        <v>27</v>
      </c>
      <c r="BC110" s="121">
        <v>0</v>
      </c>
      <c r="BD110" s="121">
        <v>0</v>
      </c>
      <c r="BE110" s="121">
        <v>1</v>
      </c>
      <c r="BG110" s="121">
        <v>12</v>
      </c>
      <c r="BH110" s="134" t="s">
        <v>25</v>
      </c>
      <c r="BI110" s="121">
        <v>1</v>
      </c>
      <c r="BJ110" s="121">
        <v>1</v>
      </c>
      <c r="BK110" s="121">
        <v>0</v>
      </c>
      <c r="BN110" s="121">
        <v>12</v>
      </c>
      <c r="BO110" s="134" t="s">
        <v>34</v>
      </c>
      <c r="BP110" s="121">
        <v>0</v>
      </c>
      <c r="BQ110" s="121">
        <v>1</v>
      </c>
      <c r="BR110" s="121">
        <v>0</v>
      </c>
      <c r="BS110" s="121">
        <v>0</v>
      </c>
      <c r="BV110" s="121">
        <v>12</v>
      </c>
      <c r="BW110" s="154" t="s">
        <v>28</v>
      </c>
      <c r="BX110" s="121">
        <v>0</v>
      </c>
      <c r="BY110" s="121">
        <v>0</v>
      </c>
      <c r="BZ110" s="121">
        <v>1</v>
      </c>
    </row>
    <row r="111" spans="1:78" x14ac:dyDescent="0.3">
      <c r="A111" s="121">
        <v>14</v>
      </c>
      <c r="B111" s="121">
        <v>191</v>
      </c>
      <c r="C111" s="121">
        <v>1</v>
      </c>
      <c r="D111" s="134" t="s">
        <v>36</v>
      </c>
      <c r="F111" s="135">
        <v>9</v>
      </c>
      <c r="G111" s="135">
        <v>212</v>
      </c>
      <c r="H111" s="135">
        <v>0.4</v>
      </c>
      <c r="I111" s="134" t="s">
        <v>36</v>
      </c>
      <c r="K111" s="137">
        <v>10</v>
      </c>
      <c r="L111" s="121">
        <v>239</v>
      </c>
      <c r="M111" s="121">
        <v>0.22500000000000001</v>
      </c>
      <c r="N111" s="134" t="s">
        <v>30</v>
      </c>
      <c r="O111" s="128" t="s">
        <v>281</v>
      </c>
      <c r="P111" s="119"/>
      <c r="Q111" s="119"/>
      <c r="R111" s="128" t="s">
        <v>282</v>
      </c>
      <c r="T111" s="134" t="s">
        <v>36</v>
      </c>
      <c r="U111" s="121">
        <v>14</v>
      </c>
      <c r="V111" s="134">
        <v>49</v>
      </c>
      <c r="W111" s="121">
        <v>0</v>
      </c>
      <c r="X111" s="121">
        <v>1</v>
      </c>
      <c r="AA111" s="121">
        <v>14</v>
      </c>
      <c r="AB111" s="134">
        <v>75</v>
      </c>
      <c r="AC111" s="121">
        <v>1</v>
      </c>
      <c r="AD111" s="121">
        <v>0</v>
      </c>
      <c r="AG111" s="121">
        <v>14</v>
      </c>
      <c r="AH111" s="4">
        <v>21.533120660536689</v>
      </c>
      <c r="AI111" s="121">
        <v>0.60743103771814566</v>
      </c>
      <c r="AJ111" s="121">
        <v>0.39256896228185428</v>
      </c>
      <c r="AM111" s="121">
        <v>14</v>
      </c>
      <c r="AN111" s="120" t="s">
        <v>31</v>
      </c>
      <c r="AO111" s="121">
        <v>0</v>
      </c>
      <c r="AP111" s="121">
        <v>0</v>
      </c>
      <c r="AQ111" s="121">
        <v>1</v>
      </c>
      <c r="AT111" s="121">
        <v>14</v>
      </c>
      <c r="AU111" s="134" t="s">
        <v>26</v>
      </c>
      <c r="AV111" s="121">
        <v>0</v>
      </c>
      <c r="AW111" s="121">
        <v>0</v>
      </c>
      <c r="AX111" s="121">
        <v>1</v>
      </c>
      <c r="BA111" s="121">
        <v>14</v>
      </c>
      <c r="BB111" s="134" t="s">
        <v>27</v>
      </c>
      <c r="BC111" s="121">
        <v>0</v>
      </c>
      <c r="BD111" s="121">
        <v>0</v>
      </c>
      <c r="BE111" s="121">
        <v>1</v>
      </c>
      <c r="BG111" s="121">
        <v>14</v>
      </c>
      <c r="BH111" s="134" t="s">
        <v>25</v>
      </c>
      <c r="BI111" s="121">
        <v>1</v>
      </c>
      <c r="BJ111" s="121">
        <v>1</v>
      </c>
      <c r="BK111" s="121">
        <v>0</v>
      </c>
      <c r="BN111" s="121">
        <v>14</v>
      </c>
      <c r="BO111" s="134" t="s">
        <v>29</v>
      </c>
      <c r="BP111" s="121">
        <v>0.5</v>
      </c>
      <c r="BQ111" s="121">
        <v>0</v>
      </c>
      <c r="BR111" s="121">
        <v>1</v>
      </c>
      <c r="BS111" s="121">
        <v>0</v>
      </c>
      <c r="BV111" s="121">
        <v>14</v>
      </c>
      <c r="BW111" s="154" t="s">
        <v>28</v>
      </c>
      <c r="BX111" s="121">
        <v>0</v>
      </c>
      <c r="BY111" s="121">
        <v>0</v>
      </c>
      <c r="BZ111" s="121">
        <v>1</v>
      </c>
    </row>
    <row r="112" spans="1:78" x14ac:dyDescent="0.3">
      <c r="A112" s="121">
        <v>15</v>
      </c>
      <c r="B112" s="121">
        <v>224</v>
      </c>
      <c r="C112" s="121">
        <v>0.2</v>
      </c>
      <c r="D112" s="134" t="s">
        <v>30</v>
      </c>
      <c r="F112" s="135">
        <v>10</v>
      </c>
      <c r="G112" s="135">
        <v>239</v>
      </c>
      <c r="H112" s="135">
        <v>0.77500000000000002</v>
      </c>
      <c r="I112" s="134" t="s">
        <v>30</v>
      </c>
      <c r="K112" s="137">
        <v>11</v>
      </c>
      <c r="L112" s="121">
        <v>276</v>
      </c>
      <c r="M112" s="121">
        <v>1</v>
      </c>
      <c r="N112" s="134" t="s">
        <v>35</v>
      </c>
      <c r="O112" s="119" t="s">
        <v>130</v>
      </c>
      <c r="P112" s="119" t="s">
        <v>36</v>
      </c>
      <c r="Q112" s="119">
        <f>SUMIF(I106:I140,P112,H106:H140)</f>
        <v>3.5916666666666668</v>
      </c>
      <c r="R112" s="119">
        <f>((Q112)/(H141))*(100)</f>
        <v>19.716376944190301</v>
      </c>
      <c r="T112" s="134" t="s">
        <v>30</v>
      </c>
      <c r="U112" s="121">
        <v>15</v>
      </c>
      <c r="V112" s="134">
        <v>51</v>
      </c>
      <c r="W112" s="121">
        <v>0</v>
      </c>
      <c r="X112" s="121">
        <v>1</v>
      </c>
      <c r="AA112" s="121">
        <v>15</v>
      </c>
      <c r="AB112" s="134">
        <v>84</v>
      </c>
      <c r="AC112" s="121">
        <v>1</v>
      </c>
      <c r="AD112" s="121">
        <v>0</v>
      </c>
      <c r="AG112" s="121">
        <v>15</v>
      </c>
      <c r="AH112" s="4">
        <v>23.319615912208501</v>
      </c>
      <c r="AI112" s="121">
        <v>0.4089315653101665</v>
      </c>
      <c r="AJ112" s="121">
        <v>0.5910684346898335</v>
      </c>
      <c r="AM112" s="121">
        <v>15</v>
      </c>
      <c r="AN112" s="120" t="s">
        <v>25</v>
      </c>
      <c r="AO112" s="121">
        <v>1</v>
      </c>
      <c r="AP112" s="121">
        <v>1</v>
      </c>
      <c r="AQ112" s="121">
        <v>0</v>
      </c>
      <c r="AT112" s="121">
        <v>15</v>
      </c>
      <c r="AU112" s="134" t="s">
        <v>26</v>
      </c>
      <c r="AV112" s="121">
        <v>0</v>
      </c>
      <c r="AW112" s="121">
        <v>0</v>
      </c>
      <c r="AX112" s="121">
        <v>1</v>
      </c>
      <c r="BA112" s="121">
        <v>15</v>
      </c>
      <c r="BB112" s="134" t="s">
        <v>27</v>
      </c>
      <c r="BC112" s="121">
        <v>0</v>
      </c>
      <c r="BD112" s="121">
        <v>0</v>
      </c>
      <c r="BE112" s="121">
        <v>1</v>
      </c>
      <c r="BG112" s="121">
        <v>15</v>
      </c>
      <c r="BH112" s="134" t="s">
        <v>25</v>
      </c>
      <c r="BI112" s="121">
        <v>1</v>
      </c>
      <c r="BJ112" s="121">
        <v>1</v>
      </c>
      <c r="BK112" s="121">
        <v>0</v>
      </c>
      <c r="BN112" s="121">
        <v>15</v>
      </c>
      <c r="BO112" s="134" t="s">
        <v>38</v>
      </c>
      <c r="BP112" s="121">
        <v>1</v>
      </c>
      <c r="BQ112" s="121">
        <v>0</v>
      </c>
      <c r="BR112" s="121">
        <v>0</v>
      </c>
      <c r="BS112" s="121">
        <v>1</v>
      </c>
      <c r="BV112" s="121">
        <v>15</v>
      </c>
      <c r="BW112" s="154" t="s">
        <v>28</v>
      </c>
      <c r="BX112" s="121">
        <v>0</v>
      </c>
      <c r="BY112" s="121">
        <v>0</v>
      </c>
      <c r="BZ112" s="121">
        <v>1</v>
      </c>
    </row>
    <row r="113" spans="1:78" x14ac:dyDescent="0.3">
      <c r="A113" s="121">
        <v>17</v>
      </c>
      <c r="B113" s="121">
        <v>217</v>
      </c>
      <c r="C113" s="121">
        <v>0.43333333333333335</v>
      </c>
      <c r="D113" s="134" t="s">
        <v>30</v>
      </c>
      <c r="F113" s="135">
        <v>13</v>
      </c>
      <c r="G113" s="135">
        <v>231</v>
      </c>
      <c r="H113" s="135">
        <v>0.97499999999999998</v>
      </c>
      <c r="I113" s="134" t="s">
        <v>30</v>
      </c>
      <c r="K113" s="137">
        <v>13</v>
      </c>
      <c r="L113" s="121">
        <v>231</v>
      </c>
      <c r="M113" s="121">
        <v>2.5000000000000001E-2</v>
      </c>
      <c r="N113" s="134" t="s">
        <v>30</v>
      </c>
      <c r="O113" s="119"/>
      <c r="P113" s="119" t="s">
        <v>30</v>
      </c>
      <c r="Q113" s="119">
        <f>SUMIF(I106:I140,P113,H106:H140)</f>
        <v>9.8250000000000011</v>
      </c>
      <c r="R113" s="119">
        <f>((Q113)/(H141))*(100)</f>
        <v>53.934126258005499</v>
      </c>
      <c r="T113" s="134" t="s">
        <v>30</v>
      </c>
      <c r="U113" s="121">
        <v>17</v>
      </c>
      <c r="V113" s="134">
        <v>69</v>
      </c>
      <c r="W113" s="121">
        <v>0</v>
      </c>
      <c r="X113" s="121">
        <v>1</v>
      </c>
      <c r="AA113" s="121">
        <v>17</v>
      </c>
      <c r="AB113" s="134">
        <v>81</v>
      </c>
      <c r="AC113" s="121">
        <v>1</v>
      </c>
      <c r="AD113" s="121">
        <v>0</v>
      </c>
      <c r="AG113" s="121">
        <v>17</v>
      </c>
      <c r="AH113" s="4">
        <v>19.421700090977414</v>
      </c>
      <c r="AI113" s="121">
        <v>0.84203332322473179</v>
      </c>
      <c r="AJ113" s="121">
        <v>0.15796667677526818</v>
      </c>
      <c r="AM113" s="121">
        <v>17</v>
      </c>
      <c r="AN113" s="120" t="s">
        <v>31</v>
      </c>
      <c r="AO113" s="121">
        <v>0</v>
      </c>
      <c r="AP113" s="121">
        <v>0</v>
      </c>
      <c r="AQ113" s="121">
        <v>1</v>
      </c>
      <c r="AT113" s="121">
        <v>17</v>
      </c>
      <c r="AU113" s="134" t="s">
        <v>39</v>
      </c>
      <c r="AV113" s="121">
        <v>1</v>
      </c>
      <c r="AW113" s="121">
        <v>1</v>
      </c>
      <c r="AX113" s="121">
        <v>0</v>
      </c>
      <c r="BA113" s="121">
        <v>17</v>
      </c>
      <c r="BB113" s="134" t="s">
        <v>32</v>
      </c>
      <c r="BC113" s="121">
        <v>1</v>
      </c>
      <c r="BD113" s="121">
        <v>1</v>
      </c>
      <c r="BE113" s="121">
        <v>0</v>
      </c>
      <c r="BG113" s="121">
        <v>17</v>
      </c>
      <c r="BH113" s="134" t="s">
        <v>31</v>
      </c>
      <c r="BI113" s="121">
        <v>0</v>
      </c>
      <c r="BJ113" s="121">
        <v>0</v>
      </c>
      <c r="BK113" s="121">
        <v>1</v>
      </c>
      <c r="BN113" s="121">
        <v>17</v>
      </c>
      <c r="BO113" s="134" t="s">
        <v>29</v>
      </c>
      <c r="BP113" s="121">
        <v>0.5</v>
      </c>
      <c r="BQ113" s="121">
        <v>0</v>
      </c>
      <c r="BR113" s="121">
        <v>1</v>
      </c>
      <c r="BS113" s="121">
        <v>0</v>
      </c>
      <c r="BV113" s="121">
        <v>17</v>
      </c>
      <c r="BW113" s="154" t="s">
        <v>28</v>
      </c>
      <c r="BX113" s="121">
        <v>0</v>
      </c>
      <c r="BY113" s="121">
        <v>0</v>
      </c>
      <c r="BZ113" s="121">
        <v>1</v>
      </c>
    </row>
    <row r="114" spans="1:78" x14ac:dyDescent="0.3">
      <c r="A114" s="121">
        <v>18</v>
      </c>
      <c r="B114" s="121">
        <v>191</v>
      </c>
      <c r="C114" s="121">
        <v>1</v>
      </c>
      <c r="D114" s="134" t="s">
        <v>36</v>
      </c>
      <c r="F114" s="135">
        <v>15</v>
      </c>
      <c r="G114" s="135">
        <v>224</v>
      </c>
      <c r="H114" s="135">
        <v>0.8</v>
      </c>
      <c r="I114" s="134" t="s">
        <v>30</v>
      </c>
      <c r="K114" s="137">
        <v>16</v>
      </c>
      <c r="L114" s="121">
        <v>295</v>
      </c>
      <c r="M114" s="121">
        <v>1</v>
      </c>
      <c r="N114" s="134" t="s">
        <v>35</v>
      </c>
      <c r="O114" s="119"/>
      <c r="P114" s="119" t="s">
        <v>35</v>
      </c>
      <c r="Q114" s="119">
        <f>SUMIF(I106:I140,P114,H106:H140)</f>
        <v>4.8000000000000007</v>
      </c>
      <c r="R114" s="119">
        <f>((Q114)/(H141))*(100)</f>
        <v>26.349496797804218</v>
      </c>
      <c r="T114" s="134" t="s">
        <v>36</v>
      </c>
      <c r="U114" s="121">
        <v>18</v>
      </c>
      <c r="V114" s="134">
        <v>52</v>
      </c>
      <c r="W114" s="121">
        <v>0</v>
      </c>
      <c r="X114" s="121">
        <v>1</v>
      </c>
      <c r="AA114" s="121">
        <v>18</v>
      </c>
      <c r="AB114" s="134">
        <v>83</v>
      </c>
      <c r="AC114" s="121">
        <v>1</v>
      </c>
      <c r="AD114" s="121">
        <v>0</v>
      </c>
      <c r="AG114" s="121">
        <v>18</v>
      </c>
      <c r="AH114" s="4">
        <v>19.066129853301867</v>
      </c>
      <c r="AI114" s="121">
        <v>0.88154112741090374</v>
      </c>
      <c r="AJ114" s="121">
        <v>0.11845887258909629</v>
      </c>
      <c r="AM114" s="121">
        <v>18</v>
      </c>
      <c r="AN114" s="120" t="s">
        <v>31</v>
      </c>
      <c r="AO114" s="121">
        <v>0</v>
      </c>
      <c r="AP114" s="121">
        <v>0</v>
      </c>
      <c r="AQ114" s="121">
        <v>1</v>
      </c>
      <c r="AT114" s="121">
        <v>18</v>
      </c>
      <c r="AU114" s="134" t="s">
        <v>26</v>
      </c>
      <c r="AV114" s="121">
        <v>0</v>
      </c>
      <c r="AW114" s="121">
        <v>0</v>
      </c>
      <c r="AX114" s="121">
        <v>1</v>
      </c>
      <c r="BA114" s="121">
        <v>18</v>
      </c>
      <c r="BB114" s="134" t="s">
        <v>27</v>
      </c>
      <c r="BC114" s="121">
        <v>0</v>
      </c>
      <c r="BD114" s="121">
        <v>0</v>
      </c>
      <c r="BE114" s="121">
        <v>1</v>
      </c>
      <c r="BG114" s="121">
        <v>18</v>
      </c>
      <c r="BH114" s="134" t="s">
        <v>25</v>
      </c>
      <c r="BI114" s="121">
        <v>1</v>
      </c>
      <c r="BJ114" s="121">
        <v>1</v>
      </c>
      <c r="BK114" s="121">
        <v>0</v>
      </c>
      <c r="BN114" s="121">
        <v>18</v>
      </c>
      <c r="BO114" s="134" t="s">
        <v>34</v>
      </c>
      <c r="BP114" s="121">
        <v>0</v>
      </c>
      <c r="BQ114" s="121">
        <v>1</v>
      </c>
      <c r="BR114" s="121">
        <v>0</v>
      </c>
      <c r="BS114" s="121">
        <v>0</v>
      </c>
      <c r="BV114" s="121">
        <v>18</v>
      </c>
      <c r="BW114" s="154" t="s">
        <v>28</v>
      </c>
      <c r="BX114" s="121">
        <v>0</v>
      </c>
      <c r="BY114" s="121">
        <v>0</v>
      </c>
      <c r="BZ114" s="121">
        <v>1</v>
      </c>
    </row>
    <row r="115" spans="1:78" x14ac:dyDescent="0.3">
      <c r="A115" s="121">
        <v>19</v>
      </c>
      <c r="B115" s="121">
        <v>198</v>
      </c>
      <c r="C115" s="121">
        <v>1</v>
      </c>
      <c r="D115" s="134" t="s">
        <v>30</v>
      </c>
      <c r="F115" s="135">
        <v>17</v>
      </c>
      <c r="G115" s="135">
        <v>217</v>
      </c>
      <c r="H115" s="135">
        <v>0.56666666666666665</v>
      </c>
      <c r="I115" s="134" t="s">
        <v>30</v>
      </c>
      <c r="K115" s="137">
        <v>20</v>
      </c>
      <c r="L115" s="121">
        <v>247</v>
      </c>
      <c r="M115" s="121">
        <v>0.42499999999999999</v>
      </c>
      <c r="N115" s="134" t="s">
        <v>35</v>
      </c>
      <c r="T115" s="134" t="s">
        <v>30</v>
      </c>
      <c r="U115" s="121">
        <v>19</v>
      </c>
      <c r="V115" s="134">
        <v>67</v>
      </c>
      <c r="W115" s="121">
        <v>0</v>
      </c>
      <c r="X115" s="121">
        <v>1</v>
      </c>
      <c r="AA115" s="121">
        <v>19</v>
      </c>
      <c r="AB115" s="134">
        <v>79</v>
      </c>
      <c r="AC115" s="121">
        <v>1</v>
      </c>
      <c r="AD115" s="121">
        <v>0</v>
      </c>
      <c r="AG115" s="121">
        <v>19</v>
      </c>
      <c r="AH115" s="4">
        <v>19.852156683432401</v>
      </c>
      <c r="AI115" s="121">
        <v>0.79420481295195544</v>
      </c>
      <c r="AJ115" s="121">
        <v>0.20579518704804459</v>
      </c>
      <c r="AM115" s="121">
        <v>19</v>
      </c>
      <c r="AN115" s="120" t="s">
        <v>31</v>
      </c>
      <c r="AO115" s="121">
        <v>0</v>
      </c>
      <c r="AP115" s="121">
        <v>0</v>
      </c>
      <c r="AQ115" s="121">
        <v>1</v>
      </c>
      <c r="AT115" s="121">
        <v>19</v>
      </c>
      <c r="AU115" s="134" t="s">
        <v>26</v>
      </c>
      <c r="AV115" s="121">
        <v>0</v>
      </c>
      <c r="AW115" s="121">
        <v>0</v>
      </c>
      <c r="AX115" s="121">
        <v>1</v>
      </c>
      <c r="BA115" s="121">
        <v>19</v>
      </c>
      <c r="BB115" s="134" t="s">
        <v>32</v>
      </c>
      <c r="BC115" s="121">
        <v>1</v>
      </c>
      <c r="BD115" s="121">
        <v>1</v>
      </c>
      <c r="BE115" s="121">
        <v>0</v>
      </c>
      <c r="BG115" s="121">
        <v>19</v>
      </c>
      <c r="BH115" s="134" t="s">
        <v>25</v>
      </c>
      <c r="BI115" s="121">
        <v>1</v>
      </c>
      <c r="BJ115" s="121">
        <v>1</v>
      </c>
      <c r="BK115" s="121">
        <v>0</v>
      </c>
      <c r="BN115" s="121">
        <v>19</v>
      </c>
      <c r="BO115" s="134" t="s">
        <v>38</v>
      </c>
      <c r="BP115" s="121">
        <v>1</v>
      </c>
      <c r="BQ115" s="121">
        <v>0</v>
      </c>
      <c r="BR115" s="121">
        <v>0</v>
      </c>
      <c r="BS115" s="121">
        <v>1</v>
      </c>
      <c r="BV115" s="121">
        <v>19</v>
      </c>
      <c r="BW115" s="154" t="s">
        <v>33</v>
      </c>
      <c r="BX115" s="121">
        <v>1</v>
      </c>
      <c r="BY115" s="121">
        <v>1</v>
      </c>
      <c r="BZ115" s="121">
        <v>0</v>
      </c>
    </row>
    <row r="116" spans="1:78" x14ac:dyDescent="0.3">
      <c r="A116" s="121">
        <v>22</v>
      </c>
      <c r="B116" s="121">
        <v>172</v>
      </c>
      <c r="C116" s="121">
        <v>1</v>
      </c>
      <c r="D116" s="134" t="s">
        <v>36</v>
      </c>
      <c r="F116" s="135">
        <v>20</v>
      </c>
      <c r="G116" s="135">
        <v>247</v>
      </c>
      <c r="H116" s="135">
        <v>0.57499999999999996</v>
      </c>
      <c r="I116" s="134" t="s">
        <v>35</v>
      </c>
      <c r="K116" s="137">
        <v>21</v>
      </c>
      <c r="L116" s="121">
        <v>237</v>
      </c>
      <c r="M116" s="121">
        <v>0.17499999999999999</v>
      </c>
      <c r="N116" s="134" t="s">
        <v>30</v>
      </c>
      <c r="T116" s="134" t="s">
        <v>36</v>
      </c>
      <c r="U116" s="121">
        <v>22</v>
      </c>
      <c r="V116" s="134">
        <v>54</v>
      </c>
      <c r="W116" s="121">
        <v>0</v>
      </c>
      <c r="X116" s="121">
        <v>1</v>
      </c>
      <c r="AA116" s="121">
        <v>22</v>
      </c>
      <c r="AB116" s="134">
        <v>79</v>
      </c>
      <c r="AC116" s="121">
        <v>1</v>
      </c>
      <c r="AD116" s="121">
        <v>0</v>
      </c>
      <c r="AG116" s="121">
        <v>22</v>
      </c>
      <c r="AH116" s="4">
        <v>23.473802275276395</v>
      </c>
      <c r="AI116" s="121">
        <v>0.39179974719151173</v>
      </c>
      <c r="AJ116" s="121">
        <v>0.60820025280848833</v>
      </c>
      <c r="AM116" s="121">
        <v>22</v>
      </c>
      <c r="AN116" s="120" t="s">
        <v>31</v>
      </c>
      <c r="AO116" s="121">
        <v>0</v>
      </c>
      <c r="AP116" s="121">
        <v>0</v>
      </c>
      <c r="AQ116" s="121">
        <v>1</v>
      </c>
      <c r="AT116" s="121">
        <v>22</v>
      </c>
      <c r="AU116" s="134" t="s">
        <v>26</v>
      </c>
      <c r="AV116" s="121">
        <v>0</v>
      </c>
      <c r="AW116" s="121">
        <v>0</v>
      </c>
      <c r="AX116" s="121">
        <v>1</v>
      </c>
      <c r="BA116" s="121">
        <v>22</v>
      </c>
      <c r="BB116" s="134" t="s">
        <v>27</v>
      </c>
      <c r="BC116" s="121">
        <v>0</v>
      </c>
      <c r="BD116" s="121">
        <v>0</v>
      </c>
      <c r="BE116" s="121">
        <v>1</v>
      </c>
      <c r="BG116" s="121">
        <v>22</v>
      </c>
      <c r="BH116" s="134" t="s">
        <v>25</v>
      </c>
      <c r="BI116" s="121">
        <v>1</v>
      </c>
      <c r="BJ116" s="121">
        <v>1</v>
      </c>
      <c r="BK116" s="121">
        <v>0</v>
      </c>
      <c r="BN116" s="121">
        <v>22</v>
      </c>
      <c r="BO116" s="134" t="s">
        <v>29</v>
      </c>
      <c r="BP116" s="121">
        <v>0.5</v>
      </c>
      <c r="BQ116" s="121">
        <v>0</v>
      </c>
      <c r="BR116" s="121">
        <v>1</v>
      </c>
      <c r="BS116" s="121">
        <v>0</v>
      </c>
      <c r="BV116" s="121">
        <v>22</v>
      </c>
      <c r="BW116" s="154" t="s">
        <v>28</v>
      </c>
      <c r="BX116" s="121">
        <v>0</v>
      </c>
      <c r="BY116" s="121">
        <v>0</v>
      </c>
      <c r="BZ116" s="121">
        <v>1</v>
      </c>
    </row>
    <row r="117" spans="1:78" x14ac:dyDescent="0.3">
      <c r="A117" s="121">
        <v>24</v>
      </c>
      <c r="B117" s="121">
        <v>199</v>
      </c>
      <c r="C117" s="121">
        <v>1</v>
      </c>
      <c r="D117" s="134" t="s">
        <v>30</v>
      </c>
      <c r="F117" s="135">
        <v>21</v>
      </c>
      <c r="G117" s="135">
        <v>237</v>
      </c>
      <c r="H117" s="135">
        <v>0.82499999999999996</v>
      </c>
      <c r="I117" s="134" t="s">
        <v>30</v>
      </c>
      <c r="K117" s="137">
        <v>23</v>
      </c>
      <c r="L117" s="121">
        <v>261</v>
      </c>
      <c r="M117" s="121">
        <v>0.77500000000000002</v>
      </c>
      <c r="N117" s="134" t="s">
        <v>35</v>
      </c>
      <c r="O117" s="128" t="s">
        <v>100</v>
      </c>
      <c r="P117" s="119"/>
      <c r="Q117" s="119"/>
      <c r="R117" s="128" t="s">
        <v>282</v>
      </c>
      <c r="T117" s="134" t="s">
        <v>30</v>
      </c>
      <c r="U117" s="121">
        <v>24</v>
      </c>
      <c r="V117" s="134">
        <v>50</v>
      </c>
      <c r="W117" s="121">
        <v>0</v>
      </c>
      <c r="X117" s="121">
        <v>1</v>
      </c>
      <c r="AA117" s="121">
        <v>24</v>
      </c>
      <c r="AB117" s="134">
        <v>82</v>
      </c>
      <c r="AC117" s="121">
        <v>1</v>
      </c>
      <c r="AD117" s="121">
        <v>0</v>
      </c>
      <c r="AG117" s="121">
        <v>24</v>
      </c>
      <c r="AH117" s="4">
        <v>24.526817529732984</v>
      </c>
      <c r="AI117" s="121">
        <v>0.27479805225189069</v>
      </c>
      <c r="AJ117" s="121">
        <v>0.72520194774810931</v>
      </c>
      <c r="AM117" s="121">
        <v>24</v>
      </c>
      <c r="AN117" s="120" t="s">
        <v>25</v>
      </c>
      <c r="AO117" s="121">
        <v>1</v>
      </c>
      <c r="AP117" s="121">
        <v>1</v>
      </c>
      <c r="AQ117" s="121">
        <v>0</v>
      </c>
      <c r="AT117" s="121">
        <v>24</v>
      </c>
      <c r="AU117" s="134" t="s">
        <v>26</v>
      </c>
      <c r="AV117" s="121">
        <v>0</v>
      </c>
      <c r="AW117" s="121">
        <v>0</v>
      </c>
      <c r="AX117" s="121">
        <v>1</v>
      </c>
      <c r="BA117" s="121">
        <v>24</v>
      </c>
      <c r="BB117" s="134" t="s">
        <v>27</v>
      </c>
      <c r="BC117" s="121">
        <v>0</v>
      </c>
      <c r="BD117" s="121">
        <v>0</v>
      </c>
      <c r="BE117" s="121">
        <v>1</v>
      </c>
      <c r="BG117" s="121">
        <v>24</v>
      </c>
      <c r="BH117" s="134" t="s">
        <v>25</v>
      </c>
      <c r="BI117" s="121">
        <v>1</v>
      </c>
      <c r="BJ117" s="121">
        <v>1</v>
      </c>
      <c r="BK117" s="121">
        <v>0</v>
      </c>
      <c r="BN117" s="121">
        <v>24</v>
      </c>
      <c r="BO117" s="134" t="s">
        <v>29</v>
      </c>
      <c r="BP117" s="121">
        <v>0.5</v>
      </c>
      <c r="BQ117" s="121">
        <v>0</v>
      </c>
      <c r="BR117" s="121">
        <v>1</v>
      </c>
      <c r="BS117" s="121">
        <v>0</v>
      </c>
      <c r="BV117" s="121">
        <v>24</v>
      </c>
      <c r="BW117" s="154" t="s">
        <v>33</v>
      </c>
      <c r="BX117" s="121">
        <v>1</v>
      </c>
      <c r="BY117" s="121">
        <v>1</v>
      </c>
      <c r="BZ117" s="121">
        <v>0</v>
      </c>
    </row>
    <row r="118" spans="1:78" x14ac:dyDescent="0.3">
      <c r="A118" s="121">
        <v>26</v>
      </c>
      <c r="B118" s="121">
        <v>184</v>
      </c>
      <c r="C118" s="121">
        <v>1</v>
      </c>
      <c r="D118" s="134" t="s">
        <v>36</v>
      </c>
      <c r="F118" s="135">
        <v>23</v>
      </c>
      <c r="G118" s="135">
        <v>261</v>
      </c>
      <c r="H118" s="135">
        <v>0.22500000000000001</v>
      </c>
      <c r="I118" s="134" t="s">
        <v>35</v>
      </c>
      <c r="K118" s="137">
        <v>25</v>
      </c>
      <c r="L118" s="121">
        <v>250</v>
      </c>
      <c r="M118" s="121">
        <v>0.5</v>
      </c>
      <c r="N118" s="134" t="s">
        <v>35</v>
      </c>
      <c r="O118" s="119" t="s">
        <v>130</v>
      </c>
      <c r="P118" s="119" t="s">
        <v>36</v>
      </c>
      <c r="Q118" s="119">
        <f>SUMIF(N106:N138,P118,M106:M138)</f>
        <v>0.17499999999999999</v>
      </c>
      <c r="R118" s="119">
        <f>((Q118)/(M139)*(100))</f>
        <v>0.81967213114754089</v>
      </c>
      <c r="T118" s="134" t="s">
        <v>36</v>
      </c>
      <c r="U118" s="121">
        <v>26</v>
      </c>
      <c r="V118" s="134">
        <v>52</v>
      </c>
      <c r="W118" s="121">
        <v>0</v>
      </c>
      <c r="X118" s="121">
        <v>1</v>
      </c>
      <c r="AA118" s="121">
        <v>26</v>
      </c>
      <c r="AB118" s="134">
        <v>99</v>
      </c>
      <c r="AC118" s="121">
        <v>0.1</v>
      </c>
      <c r="AD118" s="121">
        <v>0.9</v>
      </c>
      <c r="AG118" s="121">
        <v>26</v>
      </c>
      <c r="AH118" s="4">
        <v>27.812499999999996</v>
      </c>
      <c r="AI118" s="121">
        <v>0</v>
      </c>
      <c r="AJ118" s="121">
        <v>1</v>
      </c>
      <c r="AM118" s="121">
        <v>26</v>
      </c>
      <c r="AN118" s="120" t="s">
        <v>31</v>
      </c>
      <c r="AO118" s="121">
        <v>0</v>
      </c>
      <c r="AP118" s="121">
        <v>0</v>
      </c>
      <c r="AQ118" s="121">
        <v>1</v>
      </c>
      <c r="AT118" s="121">
        <v>26</v>
      </c>
      <c r="AU118" s="134" t="s">
        <v>26</v>
      </c>
      <c r="AV118" s="121">
        <v>0</v>
      </c>
      <c r="AW118" s="121">
        <v>0</v>
      </c>
      <c r="AX118" s="121">
        <v>1</v>
      </c>
      <c r="BA118" s="121">
        <v>26</v>
      </c>
      <c r="BB118" s="134" t="s">
        <v>27</v>
      </c>
      <c r="BC118" s="121">
        <v>0</v>
      </c>
      <c r="BD118" s="121">
        <v>0</v>
      </c>
      <c r="BE118" s="121">
        <v>1</v>
      </c>
      <c r="BG118" s="121">
        <v>26</v>
      </c>
      <c r="BH118" s="134" t="s">
        <v>25</v>
      </c>
      <c r="BI118" s="121">
        <v>1</v>
      </c>
      <c r="BJ118" s="121">
        <v>1</v>
      </c>
      <c r="BK118" s="121">
        <v>0</v>
      </c>
      <c r="BN118" s="121">
        <v>26</v>
      </c>
      <c r="BO118" s="134" t="s">
        <v>29</v>
      </c>
      <c r="BP118" s="121">
        <v>0.5</v>
      </c>
      <c r="BQ118" s="121">
        <v>0</v>
      </c>
      <c r="BR118" s="121">
        <v>1</v>
      </c>
      <c r="BS118" s="121">
        <v>0</v>
      </c>
      <c r="BV118" s="121">
        <v>26</v>
      </c>
      <c r="BW118" s="154" t="s">
        <v>28</v>
      </c>
      <c r="BX118" s="121">
        <v>0</v>
      </c>
      <c r="BY118" s="121">
        <v>0</v>
      </c>
      <c r="BZ118" s="121">
        <v>1</v>
      </c>
    </row>
    <row r="119" spans="1:78" x14ac:dyDescent="0.3">
      <c r="A119" s="121">
        <v>28</v>
      </c>
      <c r="B119" s="121">
        <v>183</v>
      </c>
      <c r="C119" s="121">
        <v>1</v>
      </c>
      <c r="D119" s="134" t="s">
        <v>30</v>
      </c>
      <c r="F119" s="135">
        <v>25</v>
      </c>
      <c r="G119" s="135">
        <v>250</v>
      </c>
      <c r="H119" s="135">
        <v>0.5</v>
      </c>
      <c r="I119" s="134" t="s">
        <v>35</v>
      </c>
      <c r="K119" s="137">
        <v>27</v>
      </c>
      <c r="L119" s="121">
        <v>244</v>
      </c>
      <c r="M119" s="121">
        <v>0.35</v>
      </c>
      <c r="N119" s="134" t="s">
        <v>35</v>
      </c>
      <c r="O119" s="119"/>
      <c r="P119" s="119" t="s">
        <v>30</v>
      </c>
      <c r="Q119" s="119">
        <f>SUMIF(N106:N138,P119,M106:M138)</f>
        <v>1.9750000000000001</v>
      </c>
      <c r="R119" s="119">
        <f>((Q119)/(M139))*(100)</f>
        <v>9.250585480093676</v>
      </c>
      <c r="T119" s="134" t="s">
        <v>30</v>
      </c>
      <c r="U119" s="121">
        <v>28</v>
      </c>
      <c r="V119" s="134">
        <v>69</v>
      </c>
      <c r="W119" s="121">
        <v>0</v>
      </c>
      <c r="X119" s="121">
        <v>1</v>
      </c>
      <c r="AA119" s="121">
        <v>28</v>
      </c>
      <c r="AB119" s="134">
        <v>72</v>
      </c>
      <c r="AC119" s="121">
        <v>1</v>
      </c>
      <c r="AD119" s="121">
        <v>0</v>
      </c>
      <c r="AG119" s="121">
        <v>28</v>
      </c>
      <c r="AH119" s="4">
        <v>18.397502601456814</v>
      </c>
      <c r="AI119" s="121">
        <v>0.95583304428257621</v>
      </c>
      <c r="AJ119" s="121">
        <v>4.4166955717423823E-2</v>
      </c>
      <c r="AM119" s="121">
        <v>28</v>
      </c>
      <c r="AN119" s="120" t="s">
        <v>31</v>
      </c>
      <c r="AO119" s="121">
        <v>0</v>
      </c>
      <c r="AP119" s="121">
        <v>0</v>
      </c>
      <c r="AQ119" s="121">
        <v>1</v>
      </c>
      <c r="AT119" s="121">
        <v>28</v>
      </c>
      <c r="AU119" s="134" t="s">
        <v>39</v>
      </c>
      <c r="AV119" s="121">
        <v>1</v>
      </c>
      <c r="AW119" s="121">
        <v>1</v>
      </c>
      <c r="AX119" s="121">
        <v>0</v>
      </c>
      <c r="BA119" s="121">
        <v>28</v>
      </c>
      <c r="BB119" s="134" t="s">
        <v>32</v>
      </c>
      <c r="BC119" s="121">
        <v>1</v>
      </c>
      <c r="BD119" s="121">
        <v>1</v>
      </c>
      <c r="BE119" s="121">
        <v>0</v>
      </c>
      <c r="BG119" s="121">
        <v>28</v>
      </c>
      <c r="BH119" s="134" t="s">
        <v>31</v>
      </c>
      <c r="BI119" s="121">
        <v>0</v>
      </c>
      <c r="BJ119" s="121">
        <v>0</v>
      </c>
      <c r="BK119" s="121">
        <v>1</v>
      </c>
      <c r="BN119" s="121">
        <v>28</v>
      </c>
      <c r="BO119" s="134" t="s">
        <v>29</v>
      </c>
      <c r="BP119" s="121">
        <v>0.5</v>
      </c>
      <c r="BQ119" s="121">
        <v>0</v>
      </c>
      <c r="BR119" s="121">
        <v>1</v>
      </c>
      <c r="BS119" s="121">
        <v>0</v>
      </c>
      <c r="BV119" s="121">
        <v>28</v>
      </c>
      <c r="BW119" s="154" t="s">
        <v>28</v>
      </c>
      <c r="BX119" s="121">
        <v>0</v>
      </c>
      <c r="BY119" s="121">
        <v>0</v>
      </c>
      <c r="BZ119" s="121">
        <v>1</v>
      </c>
    </row>
    <row r="120" spans="1:78" x14ac:dyDescent="0.3">
      <c r="A120" s="121">
        <v>29</v>
      </c>
      <c r="B120" s="121">
        <v>175</v>
      </c>
      <c r="C120" s="121">
        <v>1</v>
      </c>
      <c r="D120" s="134" t="s">
        <v>36</v>
      </c>
      <c r="F120" s="135">
        <v>27</v>
      </c>
      <c r="G120" s="135">
        <v>244</v>
      </c>
      <c r="H120" s="135">
        <v>0.65</v>
      </c>
      <c r="I120" s="134" t="s">
        <v>35</v>
      </c>
      <c r="K120" s="137">
        <v>30</v>
      </c>
      <c r="L120" s="121">
        <v>300</v>
      </c>
      <c r="M120" s="121">
        <v>1</v>
      </c>
      <c r="N120" s="134" t="s">
        <v>35</v>
      </c>
      <c r="O120" s="119"/>
      <c r="P120" s="30" t="s">
        <v>35</v>
      </c>
      <c r="Q120" s="30">
        <f>SUMIF(N106:N138,P120,M106:M138)</f>
        <v>19.200000000000003</v>
      </c>
      <c r="R120" s="30">
        <f>((Q120)/(M139))*(100)</f>
        <v>89.929742388758797</v>
      </c>
      <c r="T120" s="134" t="s">
        <v>36</v>
      </c>
      <c r="U120" s="121">
        <v>29</v>
      </c>
      <c r="V120" s="134">
        <v>51</v>
      </c>
      <c r="W120" s="121">
        <v>0</v>
      </c>
      <c r="X120" s="121">
        <v>1</v>
      </c>
      <c r="AA120" s="121">
        <v>29</v>
      </c>
      <c r="AB120" s="134">
        <v>71</v>
      </c>
      <c r="AC120" s="121">
        <v>1</v>
      </c>
      <c r="AD120" s="121">
        <v>0</v>
      </c>
      <c r="AG120" s="121">
        <v>29</v>
      </c>
      <c r="AH120" s="4">
        <v>22.506925207756233</v>
      </c>
      <c r="AI120" s="121">
        <v>0.49923053247152971</v>
      </c>
      <c r="AJ120" s="121">
        <v>0.50076946752847029</v>
      </c>
      <c r="AM120" s="121">
        <v>29</v>
      </c>
      <c r="AN120" s="120" t="s">
        <v>31</v>
      </c>
      <c r="AO120" s="121">
        <v>0</v>
      </c>
      <c r="AP120" s="121">
        <v>0</v>
      </c>
      <c r="AQ120" s="121">
        <v>1</v>
      </c>
      <c r="AT120" s="121">
        <v>29</v>
      </c>
      <c r="AU120" s="134" t="s">
        <v>26</v>
      </c>
      <c r="AV120" s="121">
        <v>0</v>
      </c>
      <c r="AW120" s="121">
        <v>0</v>
      </c>
      <c r="AX120" s="121">
        <v>1</v>
      </c>
      <c r="BA120" s="121">
        <v>29</v>
      </c>
      <c r="BB120" s="134" t="s">
        <v>27</v>
      </c>
      <c r="BC120" s="121">
        <v>0</v>
      </c>
      <c r="BD120" s="121">
        <v>0</v>
      </c>
      <c r="BE120" s="121">
        <v>1</v>
      </c>
      <c r="BG120" s="121">
        <v>29</v>
      </c>
      <c r="BH120" s="134" t="s">
        <v>25</v>
      </c>
      <c r="BI120" s="121">
        <v>1</v>
      </c>
      <c r="BJ120" s="121">
        <v>1</v>
      </c>
      <c r="BK120" s="121">
        <v>0</v>
      </c>
      <c r="BN120" s="121">
        <v>29</v>
      </c>
      <c r="BO120" s="134" t="s">
        <v>38</v>
      </c>
      <c r="BP120" s="121">
        <v>1</v>
      </c>
      <c r="BQ120" s="121">
        <v>0</v>
      </c>
      <c r="BR120" s="121">
        <v>0</v>
      </c>
      <c r="BS120" s="121">
        <v>1</v>
      </c>
      <c r="BV120" s="121">
        <v>29</v>
      </c>
      <c r="BW120" s="154" t="s">
        <v>28</v>
      </c>
      <c r="BX120" s="121">
        <v>0</v>
      </c>
      <c r="BY120" s="121">
        <v>0</v>
      </c>
      <c r="BZ120" s="121">
        <v>1</v>
      </c>
    </row>
    <row r="121" spans="1:78" x14ac:dyDescent="0.3">
      <c r="A121" s="121">
        <v>32</v>
      </c>
      <c r="B121" s="121">
        <v>203</v>
      </c>
      <c r="C121" s="121">
        <v>0.9</v>
      </c>
      <c r="D121" s="134" t="s">
        <v>36</v>
      </c>
      <c r="F121" s="135">
        <v>31</v>
      </c>
      <c r="G121" s="135">
        <v>266</v>
      </c>
      <c r="H121" s="135">
        <v>0.1</v>
      </c>
      <c r="I121" s="134" t="s">
        <v>35</v>
      </c>
      <c r="K121" s="137">
        <v>31</v>
      </c>
      <c r="L121" s="121">
        <v>266</v>
      </c>
      <c r="M121" s="121">
        <v>0.9</v>
      </c>
      <c r="N121" s="134" t="s">
        <v>35</v>
      </c>
      <c r="T121" s="134" t="s">
        <v>36</v>
      </c>
      <c r="U121" s="121">
        <v>32</v>
      </c>
      <c r="V121" s="134">
        <v>38</v>
      </c>
      <c r="W121" s="121">
        <v>0.4</v>
      </c>
      <c r="X121" s="121">
        <v>0.6</v>
      </c>
      <c r="AA121" s="121">
        <v>32</v>
      </c>
      <c r="AB121" s="134">
        <v>99</v>
      </c>
      <c r="AC121" s="121">
        <v>0.1</v>
      </c>
      <c r="AD121" s="121">
        <v>0.9</v>
      </c>
      <c r="AG121" s="121">
        <v>32</v>
      </c>
      <c r="AH121" s="4">
        <v>32.456398197138938</v>
      </c>
      <c r="AI121" s="121">
        <v>0</v>
      </c>
      <c r="AJ121" s="121">
        <v>1</v>
      </c>
      <c r="AM121" s="121">
        <v>32</v>
      </c>
      <c r="AN121" s="120" t="s">
        <v>31</v>
      </c>
      <c r="AO121" s="121">
        <v>0</v>
      </c>
      <c r="AP121" s="121">
        <v>0</v>
      </c>
      <c r="AQ121" s="121">
        <v>1</v>
      </c>
      <c r="AT121" s="121">
        <v>32</v>
      </c>
      <c r="AU121" s="134" t="s">
        <v>39</v>
      </c>
      <c r="AV121" s="121">
        <v>1</v>
      </c>
      <c r="AW121" s="121">
        <v>1</v>
      </c>
      <c r="AX121" s="121">
        <v>0</v>
      </c>
      <c r="BA121" s="121">
        <v>32</v>
      </c>
      <c r="BB121" s="134" t="s">
        <v>32</v>
      </c>
      <c r="BC121" s="121">
        <v>1</v>
      </c>
      <c r="BD121" s="121">
        <v>1</v>
      </c>
      <c r="BE121" s="121">
        <v>0</v>
      </c>
      <c r="BG121" s="121">
        <v>32</v>
      </c>
      <c r="BH121" s="134" t="s">
        <v>25</v>
      </c>
      <c r="BI121" s="121">
        <v>1</v>
      </c>
      <c r="BJ121" s="121">
        <v>1</v>
      </c>
      <c r="BK121" s="121">
        <v>0</v>
      </c>
      <c r="BN121" s="121">
        <v>32</v>
      </c>
      <c r="BO121" s="134" t="s">
        <v>34</v>
      </c>
      <c r="BP121" s="121">
        <v>0</v>
      </c>
      <c r="BQ121" s="121">
        <v>1</v>
      </c>
      <c r="BR121" s="121">
        <v>0</v>
      </c>
      <c r="BS121" s="121">
        <v>0</v>
      </c>
      <c r="BV121" s="121">
        <v>32</v>
      </c>
      <c r="BW121" s="154" t="s">
        <v>33</v>
      </c>
      <c r="BX121" s="121">
        <v>1</v>
      </c>
      <c r="BY121" s="121">
        <v>1</v>
      </c>
      <c r="BZ121" s="121">
        <v>0</v>
      </c>
    </row>
    <row r="122" spans="1:78" x14ac:dyDescent="0.3">
      <c r="A122" s="121">
        <v>33</v>
      </c>
      <c r="B122" s="121">
        <v>201</v>
      </c>
      <c r="C122" s="121">
        <v>0.96666666666666667</v>
      </c>
      <c r="D122" s="134" t="s">
        <v>36</v>
      </c>
      <c r="F122" s="135">
        <v>32</v>
      </c>
      <c r="G122" s="135">
        <v>203</v>
      </c>
      <c r="H122" s="135">
        <v>0.1</v>
      </c>
      <c r="I122" s="134" t="s">
        <v>36</v>
      </c>
      <c r="K122" s="137">
        <v>35</v>
      </c>
      <c r="L122" s="121">
        <v>242</v>
      </c>
      <c r="M122" s="121">
        <v>0.3</v>
      </c>
      <c r="N122" s="134" t="s">
        <v>30</v>
      </c>
      <c r="T122" s="134" t="s">
        <v>36</v>
      </c>
      <c r="U122" s="121">
        <v>33</v>
      </c>
      <c r="V122" s="134">
        <v>62</v>
      </c>
      <c r="W122" s="121">
        <v>0</v>
      </c>
      <c r="X122" s="121">
        <v>1</v>
      </c>
      <c r="AA122" s="121">
        <v>33</v>
      </c>
      <c r="AB122" s="134">
        <v>98</v>
      </c>
      <c r="AC122" s="121">
        <v>0.2</v>
      </c>
      <c r="AD122" s="121">
        <v>0.8</v>
      </c>
      <c r="AG122" s="121">
        <v>33</v>
      </c>
      <c r="AH122" s="4">
        <v>27.622564236621685</v>
      </c>
      <c r="AI122" s="121">
        <v>0</v>
      </c>
      <c r="AJ122" s="121">
        <v>1</v>
      </c>
      <c r="AM122" s="121">
        <v>33</v>
      </c>
      <c r="AN122" s="120" t="s">
        <v>31</v>
      </c>
      <c r="AO122" s="121">
        <v>0</v>
      </c>
      <c r="AP122" s="121">
        <v>0</v>
      </c>
      <c r="AQ122" s="121">
        <v>1</v>
      </c>
      <c r="AT122" s="121">
        <v>33</v>
      </c>
      <c r="AU122" s="134" t="s">
        <v>26</v>
      </c>
      <c r="AV122" s="121">
        <v>0</v>
      </c>
      <c r="AW122" s="121">
        <v>0</v>
      </c>
      <c r="AX122" s="121">
        <v>1</v>
      </c>
      <c r="BA122" s="121">
        <v>33</v>
      </c>
      <c r="BB122" s="134" t="s">
        <v>32</v>
      </c>
      <c r="BC122" s="121">
        <v>1</v>
      </c>
      <c r="BD122" s="121">
        <v>1</v>
      </c>
      <c r="BE122" s="121">
        <v>0</v>
      </c>
      <c r="BG122" s="121">
        <v>33</v>
      </c>
      <c r="BH122" s="134" t="s">
        <v>25</v>
      </c>
      <c r="BI122" s="121">
        <v>1</v>
      </c>
      <c r="BJ122" s="121">
        <v>1</v>
      </c>
      <c r="BK122" s="121">
        <v>0</v>
      </c>
      <c r="BN122" s="121">
        <v>33</v>
      </c>
      <c r="BO122" s="134" t="s">
        <v>34</v>
      </c>
      <c r="BP122" s="121">
        <v>0</v>
      </c>
      <c r="BQ122" s="121">
        <v>1</v>
      </c>
      <c r="BR122" s="121">
        <v>0</v>
      </c>
      <c r="BS122" s="121">
        <v>0</v>
      </c>
      <c r="BV122" s="121">
        <v>33</v>
      </c>
      <c r="BW122" s="154" t="s">
        <v>28</v>
      </c>
      <c r="BX122" s="121">
        <v>0</v>
      </c>
      <c r="BY122" s="121">
        <v>0</v>
      </c>
      <c r="BZ122" s="121">
        <v>1</v>
      </c>
    </row>
    <row r="123" spans="1:78" x14ac:dyDescent="0.3">
      <c r="A123" s="121">
        <v>34</v>
      </c>
      <c r="B123" s="121">
        <v>198</v>
      </c>
      <c r="C123" s="121">
        <v>1</v>
      </c>
      <c r="D123" s="134" t="s">
        <v>36</v>
      </c>
      <c r="F123" s="135">
        <v>33</v>
      </c>
      <c r="G123" s="135">
        <v>201</v>
      </c>
      <c r="H123" s="135">
        <v>3.3333333333333333E-2</v>
      </c>
      <c r="I123" s="134" t="s">
        <v>36</v>
      </c>
      <c r="K123" s="137">
        <v>37</v>
      </c>
      <c r="L123" s="121">
        <v>251</v>
      </c>
      <c r="M123" s="121">
        <v>0.52500000000000002</v>
      </c>
      <c r="N123" s="134" t="s">
        <v>35</v>
      </c>
      <c r="O123" s="220" t="s">
        <v>261</v>
      </c>
      <c r="P123" s="220"/>
      <c r="Q123" s="220"/>
      <c r="R123" s="151">
        <f>-((17/27)*LOG((17/27),2))-((10/27)*LOG((10/27),2))-(0)</f>
        <v>0.9509560484549725</v>
      </c>
      <c r="T123" s="134" t="s">
        <v>36</v>
      </c>
      <c r="U123" s="121">
        <v>34</v>
      </c>
      <c r="V123" s="134">
        <v>36</v>
      </c>
      <c r="W123" s="121">
        <v>0.5</v>
      </c>
      <c r="X123" s="121">
        <v>0.5</v>
      </c>
      <c r="AA123" s="121">
        <v>34</v>
      </c>
      <c r="AB123" s="134">
        <v>88</v>
      </c>
      <c r="AC123" s="121">
        <v>1</v>
      </c>
      <c r="AD123" s="121">
        <v>0</v>
      </c>
      <c r="AG123" s="121">
        <v>34</v>
      </c>
      <c r="AH123" s="4">
        <v>23.59729780446613</v>
      </c>
      <c r="AI123" s="121">
        <v>0.37807802172598554</v>
      </c>
      <c r="AJ123" s="121">
        <v>0.62192197827401452</v>
      </c>
      <c r="AM123" s="121">
        <v>34</v>
      </c>
      <c r="AN123" s="120" t="s">
        <v>31</v>
      </c>
      <c r="AO123" s="121">
        <v>0</v>
      </c>
      <c r="AP123" s="121">
        <v>0</v>
      </c>
      <c r="AQ123" s="121">
        <v>1</v>
      </c>
      <c r="AT123" s="121">
        <v>34</v>
      </c>
      <c r="AU123" s="134" t="s">
        <v>39</v>
      </c>
      <c r="AV123" s="121">
        <v>1</v>
      </c>
      <c r="AW123" s="121">
        <v>1</v>
      </c>
      <c r="AX123" s="121">
        <v>0</v>
      </c>
      <c r="BA123" s="121">
        <v>34</v>
      </c>
      <c r="BB123" s="134" t="s">
        <v>27</v>
      </c>
      <c r="BC123" s="121">
        <v>0</v>
      </c>
      <c r="BD123" s="121">
        <v>0</v>
      </c>
      <c r="BE123" s="121">
        <v>1</v>
      </c>
      <c r="BG123" s="121">
        <v>34</v>
      </c>
      <c r="BH123" s="134" t="s">
        <v>25</v>
      </c>
      <c r="BI123" s="121">
        <v>1</v>
      </c>
      <c r="BJ123" s="121">
        <v>1</v>
      </c>
      <c r="BK123" s="121">
        <v>0</v>
      </c>
      <c r="BN123" s="121">
        <v>34</v>
      </c>
      <c r="BO123" s="134" t="s">
        <v>34</v>
      </c>
      <c r="BP123" s="121">
        <v>0</v>
      </c>
      <c r="BQ123" s="121">
        <v>1</v>
      </c>
      <c r="BR123" s="121">
        <v>0</v>
      </c>
      <c r="BS123" s="121">
        <v>0</v>
      </c>
      <c r="BV123" s="121">
        <v>34</v>
      </c>
      <c r="BW123" s="154" t="s">
        <v>28</v>
      </c>
      <c r="BX123" s="121">
        <v>0</v>
      </c>
      <c r="BY123" s="121">
        <v>0</v>
      </c>
      <c r="BZ123" s="121">
        <v>1</v>
      </c>
    </row>
    <row r="124" spans="1:78" x14ac:dyDescent="0.3">
      <c r="A124" s="121">
        <v>36</v>
      </c>
      <c r="B124" s="121">
        <v>209</v>
      </c>
      <c r="C124" s="121">
        <v>0.7</v>
      </c>
      <c r="D124" s="134" t="s">
        <v>36</v>
      </c>
      <c r="F124" s="135">
        <v>35</v>
      </c>
      <c r="G124" s="135">
        <v>242</v>
      </c>
      <c r="H124" s="135">
        <v>0.7</v>
      </c>
      <c r="I124" s="134" t="s">
        <v>30</v>
      </c>
      <c r="K124" s="137">
        <v>39</v>
      </c>
      <c r="L124" s="121">
        <v>276</v>
      </c>
      <c r="M124" s="121">
        <v>1</v>
      </c>
      <c r="N124" s="134" t="s">
        <v>35</v>
      </c>
      <c r="O124" s="217" t="s">
        <v>65</v>
      </c>
      <c r="P124" s="217"/>
      <c r="Q124" s="217"/>
      <c r="R124" s="151">
        <f>(R123)-((W133/27)*R139)-((X133/27)*T139)</f>
        <v>1.5027567651381468E-2</v>
      </c>
      <c r="T124" s="134" t="s">
        <v>36</v>
      </c>
      <c r="U124" s="121">
        <v>36</v>
      </c>
      <c r="V124" s="134">
        <v>32</v>
      </c>
      <c r="W124" s="121">
        <v>0.7</v>
      </c>
      <c r="X124" s="121">
        <v>0.3</v>
      </c>
      <c r="AA124" s="121">
        <v>36</v>
      </c>
      <c r="AB124" s="134">
        <v>88</v>
      </c>
      <c r="AC124" s="121">
        <v>1</v>
      </c>
      <c r="AD124" s="121">
        <v>0</v>
      </c>
      <c r="AG124" s="121">
        <v>36</v>
      </c>
      <c r="AH124" s="4">
        <v>26.360544217687082</v>
      </c>
      <c r="AI124" s="121">
        <v>7.1050642479213152E-2</v>
      </c>
      <c r="AJ124" s="121">
        <v>0.92894935752078689</v>
      </c>
      <c r="AM124" s="121">
        <v>36</v>
      </c>
      <c r="AN124" s="134" t="s">
        <v>25</v>
      </c>
      <c r="AO124" s="121">
        <v>1</v>
      </c>
      <c r="AP124" s="121">
        <v>1</v>
      </c>
      <c r="AQ124" s="121">
        <v>0</v>
      </c>
      <c r="AT124" s="121">
        <v>36</v>
      </c>
      <c r="AU124" s="134" t="s">
        <v>26</v>
      </c>
      <c r="AV124" s="121">
        <v>0</v>
      </c>
      <c r="AW124" s="121">
        <v>0</v>
      </c>
      <c r="AX124" s="121">
        <v>1</v>
      </c>
      <c r="BA124" s="121">
        <v>36</v>
      </c>
      <c r="BB124" s="134" t="s">
        <v>27</v>
      </c>
      <c r="BC124" s="121">
        <v>0</v>
      </c>
      <c r="BD124" s="121">
        <v>0</v>
      </c>
      <c r="BE124" s="121">
        <v>1</v>
      </c>
      <c r="BG124" s="121">
        <v>36</v>
      </c>
      <c r="BH124" s="134" t="s">
        <v>25</v>
      </c>
      <c r="BI124" s="121">
        <v>1</v>
      </c>
      <c r="BJ124" s="121">
        <v>1</v>
      </c>
      <c r="BK124" s="121">
        <v>0</v>
      </c>
      <c r="BN124" s="121">
        <v>36</v>
      </c>
      <c r="BO124" s="134" t="s">
        <v>29</v>
      </c>
      <c r="BP124" s="121">
        <v>0.5</v>
      </c>
      <c r="BQ124" s="121">
        <v>0</v>
      </c>
      <c r="BR124" s="121">
        <v>1</v>
      </c>
      <c r="BS124" s="121">
        <v>0</v>
      </c>
      <c r="BV124" s="121">
        <v>36</v>
      </c>
      <c r="BW124" s="154" t="s">
        <v>28</v>
      </c>
      <c r="BX124" s="121">
        <v>0</v>
      </c>
      <c r="BY124" s="121">
        <v>0</v>
      </c>
      <c r="BZ124" s="121">
        <v>1</v>
      </c>
    </row>
    <row r="125" spans="1:78" x14ac:dyDescent="0.3">
      <c r="A125" s="121">
        <v>38</v>
      </c>
      <c r="B125" s="121">
        <v>205</v>
      </c>
      <c r="C125" s="121">
        <v>0.83333333333333337</v>
      </c>
      <c r="D125" s="134" t="s">
        <v>30</v>
      </c>
      <c r="F125" s="135">
        <v>36</v>
      </c>
      <c r="G125" s="135">
        <v>209</v>
      </c>
      <c r="H125" s="135">
        <v>0.3</v>
      </c>
      <c r="I125" s="134" t="s">
        <v>36</v>
      </c>
      <c r="K125" s="137">
        <v>40</v>
      </c>
      <c r="L125" s="121">
        <v>233</v>
      </c>
      <c r="M125" s="121">
        <v>7.4999999999999997E-2</v>
      </c>
      <c r="N125" s="134" t="s">
        <v>30</v>
      </c>
      <c r="O125" s="217" t="s">
        <v>263</v>
      </c>
      <c r="P125" s="217"/>
      <c r="Q125" s="217"/>
      <c r="R125" s="151">
        <f>(R123)-((AC133/27)*R140)-((AD133/27)*T140)</f>
        <v>1.1540055256564263E-2</v>
      </c>
      <c r="T125" s="134" t="s">
        <v>30</v>
      </c>
      <c r="U125" s="121">
        <v>38</v>
      </c>
      <c r="V125" s="134">
        <v>31</v>
      </c>
      <c r="W125" s="121">
        <v>0.75</v>
      </c>
      <c r="X125" s="121">
        <v>0.25</v>
      </c>
      <c r="AA125" s="121">
        <v>38</v>
      </c>
      <c r="AB125" s="134">
        <v>89</v>
      </c>
      <c r="AC125" s="121">
        <v>1</v>
      </c>
      <c r="AD125" s="121">
        <v>0</v>
      </c>
      <c r="AG125" s="121">
        <v>38</v>
      </c>
      <c r="AH125" s="4">
        <v>31.301350186727948</v>
      </c>
      <c r="AI125" s="121">
        <v>0</v>
      </c>
      <c r="AJ125" s="121">
        <v>1</v>
      </c>
      <c r="AM125" s="121">
        <v>38</v>
      </c>
      <c r="AN125" s="134" t="s">
        <v>31</v>
      </c>
      <c r="AO125" s="121">
        <v>0</v>
      </c>
      <c r="AP125" s="121">
        <v>0</v>
      </c>
      <c r="AQ125" s="121">
        <v>1</v>
      </c>
      <c r="AT125" s="121">
        <v>38</v>
      </c>
      <c r="AU125" s="134" t="s">
        <v>39</v>
      </c>
      <c r="AV125" s="121">
        <v>1</v>
      </c>
      <c r="AW125" s="121">
        <v>1</v>
      </c>
      <c r="AX125" s="121">
        <v>0</v>
      </c>
      <c r="BA125" s="121">
        <v>38</v>
      </c>
      <c r="BB125" s="134" t="s">
        <v>32</v>
      </c>
      <c r="BC125" s="121">
        <v>1</v>
      </c>
      <c r="BD125" s="121">
        <v>1</v>
      </c>
      <c r="BE125" s="121">
        <v>0</v>
      </c>
      <c r="BG125" s="121">
        <v>38</v>
      </c>
      <c r="BH125" s="134" t="s">
        <v>31</v>
      </c>
      <c r="BI125" s="121">
        <v>0</v>
      </c>
      <c r="BJ125" s="121">
        <v>0</v>
      </c>
      <c r="BK125" s="121">
        <v>1</v>
      </c>
      <c r="BN125" s="121">
        <v>38</v>
      </c>
      <c r="BO125" s="134" t="s">
        <v>29</v>
      </c>
      <c r="BP125" s="121">
        <v>0.5</v>
      </c>
      <c r="BQ125" s="121">
        <v>0</v>
      </c>
      <c r="BR125" s="121">
        <v>1</v>
      </c>
      <c r="BS125" s="121">
        <v>0</v>
      </c>
      <c r="BV125" s="121">
        <v>38</v>
      </c>
      <c r="BW125" s="154" t="s">
        <v>28</v>
      </c>
      <c r="BX125" s="121">
        <v>0</v>
      </c>
      <c r="BY125" s="121">
        <v>0</v>
      </c>
      <c r="BZ125" s="121">
        <v>1</v>
      </c>
    </row>
    <row r="126" spans="1:78" x14ac:dyDescent="0.3">
      <c r="A126" s="121">
        <v>41</v>
      </c>
      <c r="B126" s="121">
        <v>209</v>
      </c>
      <c r="C126" s="121">
        <v>0.7</v>
      </c>
      <c r="D126" s="134" t="s">
        <v>30</v>
      </c>
      <c r="F126" s="135">
        <v>37</v>
      </c>
      <c r="G126" s="135">
        <v>251</v>
      </c>
      <c r="H126" s="135">
        <v>0.47499999999999998</v>
      </c>
      <c r="I126" s="134" t="s">
        <v>35</v>
      </c>
      <c r="K126" s="137">
        <v>43</v>
      </c>
      <c r="L126" s="121">
        <v>261</v>
      </c>
      <c r="M126" s="121">
        <v>0.77500000000000002</v>
      </c>
      <c r="N126" s="134" t="s">
        <v>35</v>
      </c>
      <c r="O126" s="217" t="s">
        <v>67</v>
      </c>
      <c r="P126" s="217"/>
      <c r="Q126" s="217"/>
      <c r="R126" s="151">
        <f>($R$123)-((AI133/27)*R141)-((AJ133/27)*T141)</f>
        <v>1.0857039142946334E-3</v>
      </c>
      <c r="T126" s="134" t="s">
        <v>30</v>
      </c>
      <c r="U126" s="121">
        <v>41</v>
      </c>
      <c r="V126" s="134">
        <v>35</v>
      </c>
      <c r="W126" s="121">
        <v>0.55000000000000004</v>
      </c>
      <c r="X126" s="121">
        <v>0.45</v>
      </c>
      <c r="AA126" s="121">
        <v>41</v>
      </c>
      <c r="AB126" s="134">
        <v>71</v>
      </c>
      <c r="AC126" s="121">
        <v>1</v>
      </c>
      <c r="AD126" s="121">
        <v>0</v>
      </c>
      <c r="AG126" s="121">
        <v>41</v>
      </c>
      <c r="AH126" s="4">
        <v>19.438507030643446</v>
      </c>
      <c r="AI126" s="121">
        <v>0.84016588548406146</v>
      </c>
      <c r="AJ126" s="121">
        <v>0.15983411451593849</v>
      </c>
      <c r="AM126" s="121">
        <v>41</v>
      </c>
      <c r="AN126" s="134" t="s">
        <v>25</v>
      </c>
      <c r="AO126" s="121">
        <v>1</v>
      </c>
      <c r="AP126" s="121">
        <v>1</v>
      </c>
      <c r="AQ126" s="121">
        <v>0</v>
      </c>
      <c r="AT126" s="121">
        <v>41</v>
      </c>
      <c r="AU126" s="134" t="s">
        <v>39</v>
      </c>
      <c r="AV126" s="121">
        <v>1</v>
      </c>
      <c r="AW126" s="121">
        <v>1</v>
      </c>
      <c r="AX126" s="121">
        <v>0</v>
      </c>
      <c r="BA126" s="121">
        <v>41</v>
      </c>
      <c r="BB126" s="134" t="s">
        <v>27</v>
      </c>
      <c r="BC126" s="121">
        <v>0</v>
      </c>
      <c r="BD126" s="121">
        <v>0</v>
      </c>
      <c r="BE126" s="121">
        <v>1</v>
      </c>
      <c r="BG126" s="121">
        <v>41</v>
      </c>
      <c r="BH126" s="134" t="s">
        <v>25</v>
      </c>
      <c r="BI126" s="121">
        <v>1</v>
      </c>
      <c r="BJ126" s="121">
        <v>1</v>
      </c>
      <c r="BK126" s="121">
        <v>0</v>
      </c>
      <c r="BN126" s="121">
        <v>41</v>
      </c>
      <c r="BO126" s="134" t="s">
        <v>34</v>
      </c>
      <c r="BP126" s="121">
        <v>0</v>
      </c>
      <c r="BQ126" s="121">
        <v>1</v>
      </c>
      <c r="BR126" s="121">
        <v>0</v>
      </c>
      <c r="BS126" s="121">
        <v>0</v>
      </c>
      <c r="BV126" s="121">
        <v>41</v>
      </c>
      <c r="BW126" s="154" t="s">
        <v>28</v>
      </c>
      <c r="BX126" s="121">
        <v>0</v>
      </c>
      <c r="BY126" s="121">
        <v>0</v>
      </c>
      <c r="BZ126" s="121">
        <v>1</v>
      </c>
    </row>
    <row r="127" spans="1:78" x14ac:dyDescent="0.3">
      <c r="A127" s="121">
        <v>42</v>
      </c>
      <c r="B127" s="121">
        <v>225</v>
      </c>
      <c r="C127" s="121">
        <v>0.16666666666666666</v>
      </c>
      <c r="D127" s="134" t="s">
        <v>30</v>
      </c>
      <c r="F127" s="135">
        <v>38</v>
      </c>
      <c r="G127" s="135">
        <v>205</v>
      </c>
      <c r="H127" s="135">
        <v>0.16666666666666666</v>
      </c>
      <c r="I127" s="134" t="s">
        <v>30</v>
      </c>
      <c r="K127" s="137">
        <v>44</v>
      </c>
      <c r="L127" s="121">
        <v>255</v>
      </c>
      <c r="M127" s="121">
        <v>0.625</v>
      </c>
      <c r="N127" s="134" t="s">
        <v>35</v>
      </c>
      <c r="O127" s="217" t="s">
        <v>264</v>
      </c>
      <c r="P127" s="217"/>
      <c r="Q127" s="217"/>
      <c r="R127" s="151">
        <f>($R$123)-((AP133/27)*R142)-((AQ133/27)*T142)</f>
        <v>5.2327242742579383E-2</v>
      </c>
      <c r="T127" s="134" t="s">
        <v>30</v>
      </c>
      <c r="U127" s="121">
        <v>42</v>
      </c>
      <c r="V127" s="134">
        <v>36</v>
      </c>
      <c r="W127" s="121">
        <v>0.5</v>
      </c>
      <c r="X127" s="121">
        <v>0.5</v>
      </c>
      <c r="AA127" s="121">
        <v>42</v>
      </c>
      <c r="AB127" s="134">
        <v>101</v>
      </c>
      <c r="AC127" s="121">
        <v>0</v>
      </c>
      <c r="AD127" s="121">
        <v>1</v>
      </c>
      <c r="AG127" s="121">
        <v>42</v>
      </c>
      <c r="AH127" s="4">
        <v>29.453124999999996</v>
      </c>
      <c r="AI127" s="121">
        <v>0</v>
      </c>
      <c r="AJ127" s="121">
        <v>1</v>
      </c>
      <c r="AM127" s="121">
        <v>42</v>
      </c>
      <c r="AN127" s="134" t="s">
        <v>31</v>
      </c>
      <c r="AO127" s="121">
        <v>0</v>
      </c>
      <c r="AP127" s="121">
        <v>0</v>
      </c>
      <c r="AQ127" s="121">
        <v>1</v>
      </c>
      <c r="AT127" s="121">
        <v>42</v>
      </c>
      <c r="AU127" s="134" t="s">
        <v>39</v>
      </c>
      <c r="AV127" s="121">
        <v>1</v>
      </c>
      <c r="AW127" s="121">
        <v>1</v>
      </c>
      <c r="AX127" s="121">
        <v>0</v>
      </c>
      <c r="BA127" s="121">
        <v>42</v>
      </c>
      <c r="BB127" s="134" t="s">
        <v>27</v>
      </c>
      <c r="BC127" s="121">
        <v>0</v>
      </c>
      <c r="BD127" s="121">
        <v>0</v>
      </c>
      <c r="BE127" s="121">
        <v>1</v>
      </c>
      <c r="BG127" s="121">
        <v>42</v>
      </c>
      <c r="BH127" s="134" t="s">
        <v>31</v>
      </c>
      <c r="BI127" s="121">
        <v>0</v>
      </c>
      <c r="BJ127" s="121">
        <v>0</v>
      </c>
      <c r="BK127" s="121">
        <v>1</v>
      </c>
      <c r="BN127" s="121">
        <v>42</v>
      </c>
      <c r="BO127" s="134" t="s">
        <v>34</v>
      </c>
      <c r="BP127" s="121">
        <v>0</v>
      </c>
      <c r="BQ127" s="121">
        <v>1</v>
      </c>
      <c r="BR127" s="121">
        <v>0</v>
      </c>
      <c r="BS127" s="121">
        <v>0</v>
      </c>
      <c r="BV127" s="121">
        <v>42</v>
      </c>
      <c r="BW127" s="154" t="s">
        <v>28</v>
      </c>
      <c r="BX127" s="121">
        <v>0</v>
      </c>
      <c r="BY127" s="121">
        <v>0</v>
      </c>
      <c r="BZ127" s="121">
        <v>1</v>
      </c>
    </row>
    <row r="128" spans="1:78" x14ac:dyDescent="0.3">
      <c r="A128" s="121">
        <v>46</v>
      </c>
      <c r="B128" s="121">
        <v>193</v>
      </c>
      <c r="C128" s="121">
        <v>1</v>
      </c>
      <c r="D128" s="134" t="s">
        <v>36</v>
      </c>
      <c r="F128" s="135">
        <v>40</v>
      </c>
      <c r="G128" s="135">
        <v>233</v>
      </c>
      <c r="H128" s="135">
        <v>0.92500000000000004</v>
      </c>
      <c r="I128" s="134" t="s">
        <v>30</v>
      </c>
      <c r="K128" s="137">
        <v>45</v>
      </c>
      <c r="L128" s="121">
        <v>253</v>
      </c>
      <c r="M128" s="121">
        <v>0.57499999999999996</v>
      </c>
      <c r="N128" s="134" t="s">
        <v>35</v>
      </c>
      <c r="O128" s="217" t="s">
        <v>265</v>
      </c>
      <c r="P128" s="217"/>
      <c r="Q128" s="217"/>
      <c r="R128" s="151">
        <f ca="1">($R$123)-((AW133/27)*R143)-((AX133/27)*T143)</f>
        <v>0.9509560484549725</v>
      </c>
      <c r="T128" s="134" t="s">
        <v>36</v>
      </c>
      <c r="U128" s="121">
        <v>46</v>
      </c>
      <c r="V128" s="134">
        <v>32</v>
      </c>
      <c r="W128" s="121">
        <v>0.7</v>
      </c>
      <c r="X128" s="121">
        <v>0.3</v>
      </c>
      <c r="AA128" s="121">
        <v>46</v>
      </c>
      <c r="AB128" s="134">
        <v>82</v>
      </c>
      <c r="AC128" s="121">
        <v>1</v>
      </c>
      <c r="AD128" s="121">
        <v>0</v>
      </c>
      <c r="AG128" s="121">
        <v>46</v>
      </c>
      <c r="AH128" s="4">
        <v>19.950693937180425</v>
      </c>
      <c r="AI128" s="121">
        <v>0.78325622920217497</v>
      </c>
      <c r="AJ128" s="121">
        <v>0.216743770797825</v>
      </c>
      <c r="AM128" s="121">
        <v>46</v>
      </c>
      <c r="AN128" s="134" t="s">
        <v>31</v>
      </c>
      <c r="AO128" s="121">
        <v>0</v>
      </c>
      <c r="AP128" s="121">
        <v>0</v>
      </c>
      <c r="AQ128" s="121">
        <v>1</v>
      </c>
      <c r="AT128" s="121">
        <v>46</v>
      </c>
      <c r="AU128" s="134" t="s">
        <v>26</v>
      </c>
      <c r="AV128" s="121">
        <v>0</v>
      </c>
      <c r="AW128" s="121">
        <v>0</v>
      </c>
      <c r="AX128" s="121">
        <v>1</v>
      </c>
      <c r="BA128" s="121">
        <v>46</v>
      </c>
      <c r="BB128" s="134" t="s">
        <v>27</v>
      </c>
      <c r="BC128" s="121">
        <v>0</v>
      </c>
      <c r="BD128" s="121">
        <v>0</v>
      </c>
      <c r="BE128" s="121">
        <v>1</v>
      </c>
      <c r="BG128" s="121">
        <v>46</v>
      </c>
      <c r="BH128" s="134" t="s">
        <v>25</v>
      </c>
      <c r="BI128" s="121">
        <v>1</v>
      </c>
      <c r="BJ128" s="121">
        <v>1</v>
      </c>
      <c r="BK128" s="121">
        <v>0</v>
      </c>
      <c r="BN128" s="121">
        <v>46</v>
      </c>
      <c r="BO128" s="134" t="s">
        <v>29</v>
      </c>
      <c r="BP128" s="121">
        <v>0.5</v>
      </c>
      <c r="BQ128" s="121">
        <v>0</v>
      </c>
      <c r="BR128" s="121">
        <v>1</v>
      </c>
      <c r="BS128" s="121">
        <v>0</v>
      </c>
      <c r="BV128" s="121">
        <v>46</v>
      </c>
      <c r="BW128" s="154" t="s">
        <v>28</v>
      </c>
      <c r="BX128" s="121">
        <v>0</v>
      </c>
      <c r="BY128" s="121">
        <v>0</v>
      </c>
      <c r="BZ128" s="121">
        <v>1</v>
      </c>
    </row>
    <row r="129" spans="1:78" x14ac:dyDescent="0.3">
      <c r="A129" s="121">
        <v>51</v>
      </c>
      <c r="B129" s="121">
        <v>227</v>
      </c>
      <c r="C129" s="121">
        <v>0.1</v>
      </c>
      <c r="D129" s="134" t="s">
        <v>36</v>
      </c>
      <c r="F129" s="135">
        <v>41</v>
      </c>
      <c r="G129" s="135">
        <v>209</v>
      </c>
      <c r="H129" s="135">
        <v>0.3</v>
      </c>
      <c r="I129" s="134" t="s">
        <v>30</v>
      </c>
      <c r="K129" s="137">
        <v>47</v>
      </c>
      <c r="L129" s="121">
        <v>270</v>
      </c>
      <c r="M129" s="121">
        <v>1</v>
      </c>
      <c r="N129" s="134" t="s">
        <v>35</v>
      </c>
      <c r="O129" s="217" t="s">
        <v>266</v>
      </c>
      <c r="P129" s="217"/>
      <c r="Q129" s="217"/>
      <c r="R129" s="151">
        <f>($R$123)-((BD133/27)*R144)-((BE133/27)*T144)</f>
        <v>0.9509560484549725</v>
      </c>
      <c r="T129" s="134" t="s">
        <v>36</v>
      </c>
      <c r="U129" s="121">
        <v>51</v>
      </c>
      <c r="V129" s="134">
        <v>27</v>
      </c>
      <c r="W129" s="121">
        <v>0.95</v>
      </c>
      <c r="X129" s="121">
        <v>0.05</v>
      </c>
      <c r="AA129" s="121">
        <v>51</v>
      </c>
      <c r="AB129" s="134">
        <v>83</v>
      </c>
      <c r="AC129" s="121">
        <v>1</v>
      </c>
      <c r="AD129" s="121">
        <v>0</v>
      </c>
      <c r="AG129" s="121">
        <v>51</v>
      </c>
      <c r="AH129" s="4">
        <v>23.763286411950588</v>
      </c>
      <c r="AI129" s="121">
        <v>0.35963484311660132</v>
      </c>
      <c r="AJ129" s="121">
        <v>0.64036515688339868</v>
      </c>
      <c r="AM129" s="121">
        <v>51</v>
      </c>
      <c r="AN129" s="134" t="s">
        <v>25</v>
      </c>
      <c r="AO129" s="121">
        <v>1</v>
      </c>
      <c r="AP129" s="121">
        <v>1</v>
      </c>
      <c r="AQ129" s="121">
        <v>0</v>
      </c>
      <c r="AT129" s="121">
        <v>51</v>
      </c>
      <c r="AU129" s="134" t="s">
        <v>26</v>
      </c>
      <c r="AV129" s="121">
        <v>0</v>
      </c>
      <c r="AW129" s="121">
        <v>0</v>
      </c>
      <c r="AX129" s="121">
        <v>1</v>
      </c>
      <c r="BA129" s="121">
        <v>51</v>
      </c>
      <c r="BB129" s="134" t="s">
        <v>27</v>
      </c>
      <c r="BC129" s="121">
        <v>0</v>
      </c>
      <c r="BD129" s="121">
        <v>0</v>
      </c>
      <c r="BE129" s="121">
        <v>1</v>
      </c>
      <c r="BG129" s="121">
        <v>51</v>
      </c>
      <c r="BH129" s="134" t="s">
        <v>25</v>
      </c>
      <c r="BI129" s="121">
        <v>1</v>
      </c>
      <c r="BJ129" s="121">
        <v>1</v>
      </c>
      <c r="BK129" s="121">
        <v>0</v>
      </c>
      <c r="BN129" s="121">
        <v>51</v>
      </c>
      <c r="BO129" s="134" t="s">
        <v>34</v>
      </c>
      <c r="BP129" s="121">
        <v>0</v>
      </c>
      <c r="BQ129" s="121">
        <v>1</v>
      </c>
      <c r="BR129" s="121">
        <v>0</v>
      </c>
      <c r="BS129" s="121">
        <v>0</v>
      </c>
      <c r="BV129" s="121">
        <v>51</v>
      </c>
      <c r="BW129" s="154" t="s">
        <v>33</v>
      </c>
      <c r="BX129" s="121">
        <v>1</v>
      </c>
      <c r="BY129" s="121">
        <v>1</v>
      </c>
      <c r="BZ129" s="121">
        <v>0</v>
      </c>
    </row>
    <row r="130" spans="1:78" x14ac:dyDescent="0.3">
      <c r="A130" s="121">
        <v>55</v>
      </c>
      <c r="B130" s="121">
        <v>187</v>
      </c>
      <c r="C130" s="121">
        <v>1</v>
      </c>
      <c r="D130" s="134" t="s">
        <v>36</v>
      </c>
      <c r="F130" s="135">
        <v>42</v>
      </c>
      <c r="G130" s="135">
        <v>225</v>
      </c>
      <c r="H130" s="135">
        <v>0.83333333333333337</v>
      </c>
      <c r="I130" s="134" t="s">
        <v>30</v>
      </c>
      <c r="K130" s="137">
        <v>48</v>
      </c>
      <c r="L130" s="121">
        <v>278</v>
      </c>
      <c r="M130" s="121">
        <v>1</v>
      </c>
      <c r="N130" s="134" t="s">
        <v>35</v>
      </c>
      <c r="O130" s="218" t="s">
        <v>267</v>
      </c>
      <c r="P130" s="218"/>
      <c r="Q130" s="218"/>
      <c r="R130" s="152">
        <f>($R$123)-((BY133/27)*R145)-((BZ133/27)*T145)</f>
        <v>0.9509560484549725</v>
      </c>
      <c r="T130" s="134" t="s">
        <v>36</v>
      </c>
      <c r="U130" s="121">
        <v>55</v>
      </c>
      <c r="V130" s="134">
        <v>24</v>
      </c>
      <c r="W130" s="121">
        <v>1</v>
      </c>
      <c r="X130" s="121">
        <v>0</v>
      </c>
      <c r="AA130" s="121">
        <v>55</v>
      </c>
      <c r="AB130" s="134">
        <v>68</v>
      </c>
      <c r="AC130" s="121">
        <v>1</v>
      </c>
      <c r="AD130" s="121">
        <v>0</v>
      </c>
      <c r="AG130" s="121">
        <v>55</v>
      </c>
      <c r="AH130" s="4">
        <v>17.601760176017603</v>
      </c>
      <c r="AI130" s="121">
        <v>1</v>
      </c>
      <c r="AJ130" s="121">
        <v>0</v>
      </c>
      <c r="AM130" s="121">
        <v>55</v>
      </c>
      <c r="AN130" s="134" t="s">
        <v>31</v>
      </c>
      <c r="AO130" s="121">
        <v>0</v>
      </c>
      <c r="AP130" s="121">
        <v>0</v>
      </c>
      <c r="AQ130" s="121">
        <v>1</v>
      </c>
      <c r="AT130" s="121">
        <v>55</v>
      </c>
      <c r="AU130" s="134" t="s">
        <v>26</v>
      </c>
      <c r="AV130" s="121">
        <v>0</v>
      </c>
      <c r="AW130" s="121">
        <v>0</v>
      </c>
      <c r="AX130" s="121">
        <v>1</v>
      </c>
      <c r="BA130" s="121">
        <v>55</v>
      </c>
      <c r="BB130" s="134" t="s">
        <v>27</v>
      </c>
      <c r="BC130" s="121">
        <v>0</v>
      </c>
      <c r="BD130" s="121">
        <v>0</v>
      </c>
      <c r="BE130" s="121">
        <v>1</v>
      </c>
      <c r="BG130" s="121">
        <v>55</v>
      </c>
      <c r="BH130" s="134" t="s">
        <v>25</v>
      </c>
      <c r="BI130" s="121">
        <v>1</v>
      </c>
      <c r="BJ130" s="121">
        <v>1</v>
      </c>
      <c r="BK130" s="121">
        <v>0</v>
      </c>
      <c r="BN130" s="121">
        <v>55</v>
      </c>
      <c r="BO130" s="134" t="s">
        <v>38</v>
      </c>
      <c r="BP130" s="121">
        <v>1</v>
      </c>
      <c r="BQ130" s="121">
        <v>0</v>
      </c>
      <c r="BR130" s="121">
        <v>0</v>
      </c>
      <c r="BS130" s="121">
        <v>1</v>
      </c>
      <c r="BV130" s="121">
        <v>55</v>
      </c>
      <c r="BW130" s="154" t="s">
        <v>28</v>
      </c>
      <c r="BX130" s="121">
        <v>0</v>
      </c>
      <c r="BY130" s="121">
        <v>0</v>
      </c>
      <c r="BZ130" s="121">
        <v>1</v>
      </c>
    </row>
    <row r="131" spans="1:78" x14ac:dyDescent="0.3">
      <c r="A131" s="121">
        <v>57</v>
      </c>
      <c r="B131" s="121">
        <v>222</v>
      </c>
      <c r="C131" s="121">
        <v>0.26666666666666666</v>
      </c>
      <c r="D131" s="134" t="s">
        <v>36</v>
      </c>
      <c r="F131" s="135">
        <v>43</v>
      </c>
      <c r="G131" s="135">
        <v>261</v>
      </c>
      <c r="H131" s="135">
        <v>0.22500000000000001</v>
      </c>
      <c r="I131" s="134" t="s">
        <v>35</v>
      </c>
      <c r="K131" s="137">
        <v>49</v>
      </c>
      <c r="L131" s="121">
        <v>278</v>
      </c>
      <c r="M131" s="121">
        <v>1</v>
      </c>
      <c r="N131" s="134" t="s">
        <v>35</v>
      </c>
      <c r="O131" s="217" t="s">
        <v>268</v>
      </c>
      <c r="P131" s="217"/>
      <c r="Q131" s="217"/>
      <c r="R131" s="151">
        <f>($R$123)-((BJ133/27)*R146)-((BK133/27)*T146)</f>
        <v>0.9509560484549725</v>
      </c>
      <c r="T131" s="134" t="s">
        <v>36</v>
      </c>
      <c r="U131" s="121">
        <v>57</v>
      </c>
      <c r="V131" s="134">
        <v>22</v>
      </c>
      <c r="W131" s="121">
        <v>1</v>
      </c>
      <c r="X131" s="121">
        <v>0</v>
      </c>
      <c r="AA131" s="121">
        <v>57</v>
      </c>
      <c r="AB131" s="134">
        <v>70</v>
      </c>
      <c r="AC131" s="121">
        <v>1</v>
      </c>
      <c r="AD131" s="121">
        <v>0</v>
      </c>
      <c r="AG131" s="121">
        <v>57</v>
      </c>
      <c r="AH131" s="4">
        <v>18.737894689428405</v>
      </c>
      <c r="AI131" s="121">
        <v>0.91801170117462172</v>
      </c>
      <c r="AJ131" s="121">
        <v>8.1988298825378322E-2</v>
      </c>
      <c r="AM131" s="121">
        <v>57</v>
      </c>
      <c r="AN131" s="134" t="s">
        <v>31</v>
      </c>
      <c r="AO131" s="121">
        <v>0</v>
      </c>
      <c r="AP131" s="121">
        <v>0</v>
      </c>
      <c r="AQ131" s="121">
        <v>1</v>
      </c>
      <c r="AT131" s="121">
        <v>57</v>
      </c>
      <c r="AU131" s="134" t="s">
        <v>26</v>
      </c>
      <c r="AV131" s="121">
        <v>0</v>
      </c>
      <c r="AW131" s="121">
        <v>0</v>
      </c>
      <c r="AX131" s="121">
        <v>1</v>
      </c>
      <c r="BA131" s="121">
        <v>57</v>
      </c>
      <c r="BB131" s="134" t="s">
        <v>27</v>
      </c>
      <c r="BC131" s="121">
        <v>0</v>
      </c>
      <c r="BD131" s="121">
        <v>0</v>
      </c>
      <c r="BE131" s="121">
        <v>1</v>
      </c>
      <c r="BG131" s="121">
        <v>57</v>
      </c>
      <c r="BH131" s="134" t="s">
        <v>25</v>
      </c>
      <c r="BI131" s="121">
        <v>1</v>
      </c>
      <c r="BJ131" s="121">
        <v>1</v>
      </c>
      <c r="BK131" s="121">
        <v>0</v>
      </c>
      <c r="BN131" s="121">
        <v>57</v>
      </c>
      <c r="BO131" s="134" t="s">
        <v>34</v>
      </c>
      <c r="BP131" s="121">
        <v>0</v>
      </c>
      <c r="BQ131" s="121">
        <v>1</v>
      </c>
      <c r="BR131" s="121">
        <v>0</v>
      </c>
      <c r="BS131" s="121">
        <v>0</v>
      </c>
      <c r="BV131" s="121">
        <v>57</v>
      </c>
      <c r="BW131" s="154" t="s">
        <v>28</v>
      </c>
      <c r="BX131" s="121">
        <v>0</v>
      </c>
      <c r="BY131" s="121">
        <v>0</v>
      </c>
      <c r="BZ131" s="121">
        <v>1</v>
      </c>
    </row>
    <row r="132" spans="1:78" x14ac:dyDescent="0.3">
      <c r="A132" s="121">
        <v>58</v>
      </c>
      <c r="B132" s="121">
        <v>219</v>
      </c>
      <c r="C132" s="121">
        <v>0.36666666666666664</v>
      </c>
      <c r="D132" s="134" t="s">
        <v>30</v>
      </c>
      <c r="F132" s="135">
        <v>44</v>
      </c>
      <c r="G132" s="135">
        <v>255</v>
      </c>
      <c r="H132" s="135">
        <v>0.375</v>
      </c>
      <c r="I132" s="134" t="s">
        <v>35</v>
      </c>
      <c r="K132" s="137">
        <v>50</v>
      </c>
      <c r="L132" s="121">
        <v>271</v>
      </c>
      <c r="M132" s="121">
        <v>1</v>
      </c>
      <c r="N132" s="134" t="s">
        <v>35</v>
      </c>
      <c r="O132" s="217" t="s">
        <v>269</v>
      </c>
      <c r="P132" s="217"/>
      <c r="Q132" s="217"/>
      <c r="R132" s="151">
        <f>($R$123)-((BQ133/27)*R147)-((BR133/27)*T147)-((BS133/27)*V147)</f>
        <v>0.9509560484549725</v>
      </c>
      <c r="T132" s="134" t="s">
        <v>30</v>
      </c>
      <c r="U132" s="121">
        <v>58</v>
      </c>
      <c r="V132" s="134">
        <v>65</v>
      </c>
      <c r="W132" s="121">
        <v>0</v>
      </c>
      <c r="X132" s="121">
        <v>1</v>
      </c>
      <c r="AA132" s="121">
        <v>58</v>
      </c>
      <c r="AB132" s="134">
        <v>91</v>
      </c>
      <c r="AC132" s="121">
        <v>0.9</v>
      </c>
      <c r="AD132" s="121">
        <v>0.1</v>
      </c>
      <c r="AG132" s="121">
        <v>58</v>
      </c>
      <c r="AH132" s="4">
        <v>24.765704392336936</v>
      </c>
      <c r="AI132" s="121">
        <v>0.24825506751811824</v>
      </c>
      <c r="AJ132" s="121">
        <v>0.75174493248188179</v>
      </c>
      <c r="AM132" s="121">
        <v>58</v>
      </c>
      <c r="AN132" s="134" t="s">
        <v>25</v>
      </c>
      <c r="AO132" s="121">
        <v>1</v>
      </c>
      <c r="AP132" s="121">
        <v>1</v>
      </c>
      <c r="AQ132" s="121">
        <v>0</v>
      </c>
      <c r="AT132" s="121">
        <v>58</v>
      </c>
      <c r="AU132" s="134" t="s">
        <v>26</v>
      </c>
      <c r="AV132" s="121">
        <v>0</v>
      </c>
      <c r="AW132" s="121">
        <v>0</v>
      </c>
      <c r="AX132" s="121">
        <v>1</v>
      </c>
      <c r="BA132" s="121">
        <v>58</v>
      </c>
      <c r="BB132" s="134" t="s">
        <v>27</v>
      </c>
      <c r="BC132" s="121">
        <v>0</v>
      </c>
      <c r="BD132" s="121">
        <v>0</v>
      </c>
      <c r="BE132" s="121">
        <v>1</v>
      </c>
      <c r="BG132" s="121">
        <v>58</v>
      </c>
      <c r="BH132" s="134" t="s">
        <v>25</v>
      </c>
      <c r="BI132" s="121">
        <v>1</v>
      </c>
      <c r="BJ132" s="121">
        <v>1</v>
      </c>
      <c r="BK132" s="121">
        <v>0</v>
      </c>
      <c r="BN132" s="121">
        <v>58</v>
      </c>
      <c r="BO132" s="134" t="s">
        <v>29</v>
      </c>
      <c r="BP132" s="121">
        <v>0.5</v>
      </c>
      <c r="BQ132" s="121">
        <v>0</v>
      </c>
      <c r="BR132" s="121">
        <v>1</v>
      </c>
      <c r="BS132" s="121">
        <v>0</v>
      </c>
      <c r="BV132" s="121">
        <v>58</v>
      </c>
      <c r="BW132" s="154" t="s">
        <v>33</v>
      </c>
      <c r="BX132" s="121">
        <v>1</v>
      </c>
      <c r="BY132" s="121">
        <v>1</v>
      </c>
      <c r="BZ132" s="121">
        <v>0</v>
      </c>
    </row>
    <row r="133" spans="1:78" x14ac:dyDescent="0.3">
      <c r="B133" t="s">
        <v>64</v>
      </c>
      <c r="C133">
        <f>SUM(C106:C132)</f>
        <v>20.433333333333334</v>
      </c>
      <c r="F133" s="135">
        <v>45</v>
      </c>
      <c r="G133" s="135">
        <v>253</v>
      </c>
      <c r="H133" s="135">
        <v>0.42499999999999999</v>
      </c>
      <c r="I133" s="134" t="s">
        <v>35</v>
      </c>
      <c r="K133" s="137">
        <v>52</v>
      </c>
      <c r="L133" s="121">
        <v>235</v>
      </c>
      <c r="M133" s="121">
        <v>0.125</v>
      </c>
      <c r="N133" s="134" t="s">
        <v>35</v>
      </c>
      <c r="R133" s="167"/>
      <c r="V133" s="142" t="s">
        <v>64</v>
      </c>
      <c r="W133" s="142">
        <f>SUM(W106:W132)</f>
        <v>7.0500000000000007</v>
      </c>
      <c r="X133" s="142">
        <f>SUM(X106:X132)</f>
        <v>19.950000000000003</v>
      </c>
      <c r="AB133" s="142" t="s">
        <v>64</v>
      </c>
      <c r="AC133" s="142">
        <f>SUM(AC106:AC132)</f>
        <v>22.4</v>
      </c>
      <c r="AD133" s="142">
        <f>SUM(AD106:AD132)</f>
        <v>4.5999999999999996</v>
      </c>
      <c r="AH133" s="142" t="s">
        <v>64</v>
      </c>
      <c r="AI133" s="142">
        <f>SUM(AI106:AI132)</f>
        <v>12.124029761427341</v>
      </c>
      <c r="AJ133" s="142">
        <f>SUM(AJ106:AJ132)</f>
        <v>14.875970238572661</v>
      </c>
      <c r="AO133" s="142" t="s">
        <v>64</v>
      </c>
      <c r="AP133" s="142">
        <f>SUM(AP106:AP132)</f>
        <v>9</v>
      </c>
      <c r="AQ133" s="142">
        <f>SUM(AQ106:AQ132)</f>
        <v>18</v>
      </c>
      <c r="AV133" s="121" t="s">
        <v>64</v>
      </c>
      <c r="AW133" s="121">
        <f>SUM(AW106:AW132)</f>
        <v>7</v>
      </c>
      <c r="AX133" s="121">
        <f>SUM(AX106:AX132)</f>
        <v>20</v>
      </c>
      <c r="BC133" s="121" t="s">
        <v>64</v>
      </c>
      <c r="BD133" s="121">
        <f>SUM(BD106:BD132)</f>
        <v>6</v>
      </c>
      <c r="BE133" s="121">
        <f>SUM(BE106:BE132)</f>
        <v>21</v>
      </c>
      <c r="BI133" s="121" t="s">
        <v>64</v>
      </c>
      <c r="BJ133" s="121">
        <f>SUM(BJ106:BJ132)</f>
        <v>23</v>
      </c>
      <c r="BK133" s="121">
        <f>SUM(BK106:BK132)</f>
        <v>4</v>
      </c>
      <c r="BP133" s="121" t="s">
        <v>64</v>
      </c>
      <c r="BQ133" s="121">
        <f>SUM(BQ106:BQ132)</f>
        <v>11</v>
      </c>
      <c r="BR133" s="121">
        <f>SUM(BR106:BR132)</f>
        <v>12</v>
      </c>
      <c r="BS133" s="121">
        <f>SUM(BS106:BS132)</f>
        <v>4</v>
      </c>
      <c r="BX133" s="121" t="s">
        <v>64</v>
      </c>
      <c r="BY133" s="121">
        <f>SUM(BY106:BY132)</f>
        <v>6</v>
      </c>
      <c r="BZ133" s="121">
        <f>SUM(BZ106:BZ132)</f>
        <v>21</v>
      </c>
    </row>
    <row r="134" spans="1:78" x14ac:dyDescent="0.3">
      <c r="F134" s="135">
        <v>51</v>
      </c>
      <c r="G134" s="135">
        <v>227</v>
      </c>
      <c r="H134" s="135">
        <v>0.9</v>
      </c>
      <c r="I134" s="134" t="s">
        <v>36</v>
      </c>
      <c r="K134" s="137">
        <v>53</v>
      </c>
      <c r="L134" s="121">
        <v>276</v>
      </c>
      <c r="M134" s="121">
        <v>1</v>
      </c>
      <c r="N134" s="134" t="s">
        <v>35</v>
      </c>
      <c r="V134" s="141" t="s">
        <v>36</v>
      </c>
      <c r="W134" s="146">
        <f>SUMIF(T106:T132,V134,W106:W132)</f>
        <v>5.25</v>
      </c>
      <c r="X134" s="141">
        <f>SUMIF(T106:T132,V134,X106:X132)</f>
        <v>11.750000000000002</v>
      </c>
      <c r="AB134" s="123" t="s">
        <v>36</v>
      </c>
      <c r="AC134" s="123">
        <f>SUMIF(T106:T132,AB134,AC106:AC132)</f>
        <v>13.5</v>
      </c>
      <c r="AD134" s="123">
        <f>SUMIF(T106:T132,AB134,AD106:AD132)</f>
        <v>3.5</v>
      </c>
      <c r="AH134" s="123" t="s">
        <v>36</v>
      </c>
      <c r="AI134" s="123">
        <f>SUMIF(T106:T132,AH134,AI106:AI132)</f>
        <v>7.381911464303748</v>
      </c>
      <c r="AJ134" s="123">
        <f>SUMIF(T106:T132,AH134,AJ106:AJ132)</f>
        <v>9.6180885356962502</v>
      </c>
      <c r="AO134" s="123" t="s">
        <v>36</v>
      </c>
      <c r="AP134" s="123">
        <f>SUMIF(T106:T132,AO134,AP106:AP132)</f>
        <v>4</v>
      </c>
      <c r="AQ134" s="123">
        <f>SUMIF(T106:T132,AO134,AQ106:AQ132)</f>
        <v>13</v>
      </c>
      <c r="AV134" s="123" t="s">
        <v>26</v>
      </c>
      <c r="AW134" s="123">
        <f>SUMIF(AU106:AU132,AV134,AW106:AW132)</f>
        <v>0</v>
      </c>
      <c r="AX134" s="123">
        <f>SUMIF(AU106:AU132,AV134,AX106:AX132)</f>
        <v>20</v>
      </c>
      <c r="BC134" s="154" t="s">
        <v>27</v>
      </c>
      <c r="BD134" s="121">
        <f>SUMIF(BB106:BB132,BC134,BD106:BD132)</f>
        <v>0</v>
      </c>
      <c r="BE134" s="121">
        <f>SUMIF(BB106:BB132,BC134,BE106:BE132)</f>
        <v>21</v>
      </c>
      <c r="BI134" s="154" t="s">
        <v>25</v>
      </c>
      <c r="BJ134" s="121">
        <f>SUMIF(BH106:BH132,BI134,BJ106:BJ132)</f>
        <v>23</v>
      </c>
      <c r="BK134" s="121">
        <f>SUMIF(BH106:BH132,BI134,BK106:BK132)</f>
        <v>0</v>
      </c>
      <c r="BP134" s="154" t="s">
        <v>34</v>
      </c>
      <c r="BQ134" s="121">
        <f>SUMIF(BO106:BO132,BP134,BQ106:BQ132)</f>
        <v>11</v>
      </c>
      <c r="BR134" s="121">
        <f>SUMIF(BO106:BO132,BP134,BR106:BR132)</f>
        <v>0</v>
      </c>
      <c r="BS134" s="121">
        <f>SUMIF(BO106:BO132,BP134,BS106:BS132)</f>
        <v>0</v>
      </c>
      <c r="BX134" s="156" t="s">
        <v>28</v>
      </c>
      <c r="BY134" s="121">
        <f>SUMIF(BW106:BW132,BX134,BY106:BY132)</f>
        <v>0</v>
      </c>
      <c r="BZ134" s="121">
        <f>SUMIF(BW106:BW132,BX134,BZ106:BZ132)</f>
        <v>21</v>
      </c>
    </row>
    <row r="135" spans="1:78" x14ac:dyDescent="0.3">
      <c r="A135" s="142" t="s">
        <v>36</v>
      </c>
      <c r="B135" s="142">
        <f>COUNTIF(D106:D132, "Rendah")</f>
        <v>17</v>
      </c>
      <c r="F135" s="135">
        <v>52</v>
      </c>
      <c r="G135" s="135">
        <v>235</v>
      </c>
      <c r="H135" s="135">
        <v>0.875</v>
      </c>
      <c r="I135" s="134" t="s">
        <v>35</v>
      </c>
      <c r="K135" s="137">
        <v>54</v>
      </c>
      <c r="L135" s="121">
        <v>256</v>
      </c>
      <c r="M135" s="121">
        <v>0.65</v>
      </c>
      <c r="N135" s="134" t="s">
        <v>30</v>
      </c>
      <c r="V135" s="141" t="s">
        <v>30</v>
      </c>
      <c r="W135" s="146">
        <f>SUMIF(T106:T132,V135,W106:W132)</f>
        <v>1.8</v>
      </c>
      <c r="X135" s="141">
        <f>SUMIF(T106:T132,V135,X106:X132)</f>
        <v>8.1999999999999993</v>
      </c>
      <c r="AB135" s="123" t="s">
        <v>30</v>
      </c>
      <c r="AC135" s="123">
        <f>SUMIF(T106:T132,AB135,AC106:AC132)</f>
        <v>8.9</v>
      </c>
      <c r="AD135" s="123">
        <f>SUMIF(T106:T132,AB135,AD106:AD132)</f>
        <v>1.1000000000000001</v>
      </c>
      <c r="AH135" s="123" t="s">
        <v>30</v>
      </c>
      <c r="AI135" s="123">
        <f>SUMIF(T106:T132,AH135,AI106:AI132)</f>
        <v>4.742118297123592</v>
      </c>
      <c r="AJ135" s="123">
        <f>SUMIF(T106:T132,AH135,AJ106:AJ132)</f>
        <v>5.257881702876408</v>
      </c>
      <c r="AO135" s="123" t="s">
        <v>30</v>
      </c>
      <c r="AP135" s="123">
        <f>SUMIF(T106:T132,AO135,AP106:AP132)</f>
        <v>5</v>
      </c>
      <c r="AQ135" s="123">
        <f>SUMIF(T106:T132,AO135,AQ106:AQ132)</f>
        <v>5</v>
      </c>
      <c r="AV135" s="123" t="s">
        <v>39</v>
      </c>
      <c r="AW135" s="123">
        <f ca="1">SUMIF(AU106:AU133,AV135,AW106:AW132)</f>
        <v>7</v>
      </c>
      <c r="AX135" s="123">
        <f>SUMIF(AU106:AU132,AV135,AX106:AX132)</f>
        <v>0</v>
      </c>
      <c r="BC135" s="154" t="s">
        <v>32</v>
      </c>
      <c r="BD135" s="121">
        <f>SUMIF(BB106:BB132,BC135,BD106:BD132)</f>
        <v>6</v>
      </c>
      <c r="BE135" s="121">
        <v>0</v>
      </c>
      <c r="BI135" s="154" t="s">
        <v>31</v>
      </c>
      <c r="BJ135" s="121">
        <f>SUMIF(BH106:BH132,BI135,BJ106:BJ132)</f>
        <v>0</v>
      </c>
      <c r="BK135" s="121">
        <f>SUMIF(BH106:BH132,BI135,BK106:BK132)</f>
        <v>4</v>
      </c>
      <c r="BP135" s="154" t="s">
        <v>29</v>
      </c>
      <c r="BQ135" s="121">
        <f>SUMIF(BO106:BO132,BP135,BQ106:BQ132)</f>
        <v>0</v>
      </c>
      <c r="BR135" s="121">
        <f>SUMIF(BO106:BO132,BP135,BR106:BR132)</f>
        <v>12</v>
      </c>
      <c r="BS135" s="121">
        <f>SUMIF(BO106:BO132,BP135,BS106:BS132)</f>
        <v>0</v>
      </c>
      <c r="BX135" s="156" t="s">
        <v>33</v>
      </c>
      <c r="BY135" s="121">
        <f>SUMIF(BW106:BW132,BX135,BY106:BY132)</f>
        <v>6</v>
      </c>
      <c r="BZ135" s="121">
        <v>0</v>
      </c>
    </row>
    <row r="136" spans="1:78" x14ac:dyDescent="0.3">
      <c r="A136" s="142" t="s">
        <v>30</v>
      </c>
      <c r="B136" s="142">
        <f>COUNTIF(D106:D132, "Sedang")</f>
        <v>10</v>
      </c>
      <c r="F136" s="135">
        <v>54</v>
      </c>
      <c r="G136" s="135">
        <v>256</v>
      </c>
      <c r="H136" s="135">
        <v>0.35</v>
      </c>
      <c r="I136" s="134" t="s">
        <v>30</v>
      </c>
      <c r="K136" s="137">
        <v>56</v>
      </c>
      <c r="L136" s="121">
        <v>259</v>
      </c>
      <c r="M136" s="121">
        <v>0.72499999999999998</v>
      </c>
      <c r="N136" s="134" t="s">
        <v>35</v>
      </c>
      <c r="V136" s="141" t="s">
        <v>35</v>
      </c>
      <c r="W136" s="146">
        <f>SUMIF(T106:T132,V136,W106:W132)</f>
        <v>0</v>
      </c>
      <c r="X136" s="141">
        <f>SUMIF(T106:T132,V136,X106:X132)</f>
        <v>0</v>
      </c>
      <c r="AB136" s="123" t="s">
        <v>35</v>
      </c>
      <c r="AC136" s="123">
        <f>SUMIF(T106:T132,AB136,AC106:AC132)</f>
        <v>0</v>
      </c>
      <c r="AD136" s="123">
        <f>SUMIF(T106:T132,AB136,AD106:AD132)</f>
        <v>0</v>
      </c>
      <c r="AH136" s="123" t="s">
        <v>35</v>
      </c>
      <c r="AI136" s="123">
        <f>SUMIF(T106:T132,AH136,AI106:AI132)</f>
        <v>0</v>
      </c>
      <c r="AJ136" s="123">
        <f>SUMIF(T106:T132,AH136,AJ106:AJ132)</f>
        <v>0</v>
      </c>
      <c r="AO136" s="123" t="s">
        <v>35</v>
      </c>
      <c r="AP136" s="123">
        <f>SUMIF(T106:T132,AO136,AP106:AP132)</f>
        <v>0</v>
      </c>
      <c r="AQ136" s="123">
        <f>SUMIF(T106:T132,AO136,AQ106:AQ132)</f>
        <v>0</v>
      </c>
      <c r="AV136" s="44"/>
      <c r="AW136" s="44"/>
      <c r="AX136" s="44"/>
      <c r="BP136" s="154" t="s">
        <v>38</v>
      </c>
      <c r="BQ136" s="121">
        <v>0</v>
      </c>
      <c r="BR136" s="121">
        <v>0</v>
      </c>
      <c r="BS136" s="121">
        <f>SUMIF(BO106:BO132,BP136,BS106:BS132)</f>
        <v>4</v>
      </c>
    </row>
    <row r="137" spans="1:78" x14ac:dyDescent="0.3">
      <c r="A137" s="142" t="s">
        <v>35</v>
      </c>
      <c r="B137" s="142">
        <f>COUNTIF(D106:D132, "Tinggi")</f>
        <v>0</v>
      </c>
      <c r="F137" s="135">
        <v>56</v>
      </c>
      <c r="G137" s="135">
        <v>259</v>
      </c>
      <c r="H137" s="135">
        <v>0.27500000000000002</v>
      </c>
      <c r="I137" s="134" t="s">
        <v>35</v>
      </c>
      <c r="K137" s="137">
        <v>59</v>
      </c>
      <c r="L137" s="121">
        <v>237</v>
      </c>
      <c r="M137" s="121">
        <v>0.17499999999999999</v>
      </c>
      <c r="N137" s="134" t="s">
        <v>36</v>
      </c>
    </row>
    <row r="138" spans="1:78" x14ac:dyDescent="0.3">
      <c r="F138" s="135">
        <v>57</v>
      </c>
      <c r="G138" s="135">
        <v>222</v>
      </c>
      <c r="H138" s="135">
        <v>0.73333333333333328</v>
      </c>
      <c r="I138" s="134" t="s">
        <v>36</v>
      </c>
      <c r="K138" s="137">
        <v>60</v>
      </c>
      <c r="L138" s="123">
        <v>292</v>
      </c>
      <c r="M138" s="123">
        <v>1</v>
      </c>
      <c r="N138" s="134" t="s">
        <v>35</v>
      </c>
    </row>
    <row r="139" spans="1:78" x14ac:dyDescent="0.3">
      <c r="F139" s="135">
        <v>58</v>
      </c>
      <c r="G139" s="135">
        <v>219</v>
      </c>
      <c r="H139" s="135">
        <v>0.6333333333333333</v>
      </c>
      <c r="I139" s="134" t="s">
        <v>30</v>
      </c>
      <c r="L139" t="s">
        <v>64</v>
      </c>
      <c r="M139">
        <f>SUM(M106:M138)</f>
        <v>21.35</v>
      </c>
      <c r="O139" s="219" t="s">
        <v>270</v>
      </c>
      <c r="P139" s="219"/>
      <c r="Q139" s="157" t="s">
        <v>55</v>
      </c>
      <c r="R139" s="123">
        <f>-(W134/W133)*LOG((W134/W133),2)-(W135/W133)*LOG((W135/W133),2)-(0)</f>
        <v>0.81960043461960119</v>
      </c>
      <c r="S139" s="157" t="s">
        <v>43</v>
      </c>
      <c r="T139" s="123">
        <f>-(X134/X133)*LOG((X134/X133),2)-(X135/X133)*LOG((X135/X133),2)-(0)</f>
        <v>0.97703688810169254</v>
      </c>
      <c r="U139" s="145"/>
      <c r="V139" s="123"/>
    </row>
    <row r="140" spans="1:78" x14ac:dyDescent="0.3">
      <c r="F140" s="135">
        <v>59</v>
      </c>
      <c r="G140" s="135">
        <v>237</v>
      </c>
      <c r="H140" s="135">
        <v>0.82499999999999996</v>
      </c>
      <c r="I140" s="134" t="s">
        <v>36</v>
      </c>
      <c r="O140" s="219" t="s">
        <v>272</v>
      </c>
      <c r="P140" s="219"/>
      <c r="Q140" s="157" t="s">
        <v>44</v>
      </c>
      <c r="R140" s="123">
        <f>-(AC134/AC133)*LOG((AC134/AC133),2)-(AC135/AC133)*LOG((AC135/AC133),2)-(0)</f>
        <v>0.96936214992424885</v>
      </c>
      <c r="S140" s="157" t="s">
        <v>258</v>
      </c>
      <c r="T140" s="123">
        <f>-(AD134/AD133)*LOG((AD134/AD133),2)-(AD135/AD133)*LOG((AD135/AD133),2)-(0)</f>
        <v>0.79359123001170651</v>
      </c>
      <c r="U140" s="157"/>
      <c r="V140" s="123"/>
    </row>
    <row r="141" spans="1:78" x14ac:dyDescent="0.3">
      <c r="G141" t="s">
        <v>64</v>
      </c>
      <c r="H141">
        <f>SUM(H106:H140)</f>
        <v>18.216666666666665</v>
      </c>
      <c r="O141" s="219" t="s">
        <v>273</v>
      </c>
      <c r="P141" s="219"/>
      <c r="Q141" s="157" t="s">
        <v>44</v>
      </c>
      <c r="R141" s="123">
        <f>-(AI134/AI133)*LOG((AI134/AI133),2)-(AI135/AI133)*LOG((AI135/AI133),2)-(0)</f>
        <v>0.96552735748882546</v>
      </c>
      <c r="S141" s="157" t="s">
        <v>47</v>
      </c>
      <c r="T141" s="123">
        <f>-(AJ134/AJ133)*LOG((AJ134/AJ133),2)-(AJ135/AJ133)*LOG((AJ135/AJ133),2)-(0)</f>
        <v>0.93710975898463889</v>
      </c>
      <c r="U141" s="157"/>
      <c r="V141" s="123"/>
    </row>
    <row r="142" spans="1:78" x14ac:dyDescent="0.3">
      <c r="O142" s="219" t="s">
        <v>274</v>
      </c>
      <c r="P142" s="219"/>
      <c r="Q142" s="157" t="s">
        <v>25</v>
      </c>
      <c r="R142" s="123">
        <f>-(AP134/AP133)*LOG((AP134/AP133),2)-(AP135/AP133)*LOG((AP135/AP133),2)-(0)</f>
        <v>0.99107605983822222</v>
      </c>
      <c r="S142" s="157" t="s">
        <v>34</v>
      </c>
      <c r="T142" s="123">
        <f>-(AQ134/AQ133)*LOG((AQ134/AQ133),2)-(AQ135/AQ133)*LOG((AQ135/AQ133),2)-(0)</f>
        <v>0.85240517864947862</v>
      </c>
      <c r="U142" s="157"/>
      <c r="V142" s="123"/>
    </row>
    <row r="143" spans="1:78" x14ac:dyDescent="0.3">
      <c r="O143" s="219" t="s">
        <v>275</v>
      </c>
      <c r="P143" s="219"/>
      <c r="Q143" s="157" t="s">
        <v>26</v>
      </c>
      <c r="R143" s="123">
        <f ca="1">-(0)-(AW135/AW133)*LOG((AW135/AW133),2)</f>
        <v>0</v>
      </c>
      <c r="S143" s="157" t="s">
        <v>39</v>
      </c>
      <c r="T143" s="123">
        <f>-(AX134/AX133)*LOG((AX134/AX133),2)-(0)</f>
        <v>0</v>
      </c>
      <c r="U143" s="157"/>
      <c r="V143" s="123"/>
    </row>
    <row r="144" spans="1:78" x14ac:dyDescent="0.3">
      <c r="O144" s="219" t="s">
        <v>276</v>
      </c>
      <c r="P144" s="219"/>
      <c r="Q144" s="149" t="s">
        <v>27</v>
      </c>
      <c r="R144" s="123">
        <f>-(0)-(BD135/BD133)*LOG((BD135/BD133),2)</f>
        <v>0</v>
      </c>
      <c r="S144" s="149" t="s">
        <v>32</v>
      </c>
      <c r="T144" s="123">
        <f>-(BE134/BE133)*LOG((BE134/BE133),2)-(0)</f>
        <v>0</v>
      </c>
      <c r="U144" s="157"/>
      <c r="V144" s="123"/>
    </row>
    <row r="145" spans="1:63" x14ac:dyDescent="0.3">
      <c r="O145" s="219" t="s">
        <v>277</v>
      </c>
      <c r="P145" s="219"/>
      <c r="Q145" s="149" t="s">
        <v>28</v>
      </c>
      <c r="R145" s="123">
        <f>-(0)-(BY135/BY133)*LOG((BY135/BY133),2)</f>
        <v>0</v>
      </c>
      <c r="S145" s="149" t="s">
        <v>33</v>
      </c>
      <c r="T145" s="123">
        <f>-(BZ134/BZ133)*LOG((BE134/BE133),2)-(0)</f>
        <v>0</v>
      </c>
      <c r="U145" s="157"/>
      <c r="V145" s="123"/>
    </row>
    <row r="146" spans="1:63" x14ac:dyDescent="0.3">
      <c r="O146" s="157" t="s">
        <v>278</v>
      </c>
      <c r="P146" s="157"/>
      <c r="Q146" s="157" t="s">
        <v>25</v>
      </c>
      <c r="R146" s="123">
        <f>-(BJ134/BJ133)*LOG((BJ134/BJ133),2)-(0)</f>
        <v>0</v>
      </c>
      <c r="S146" s="157" t="s">
        <v>34</v>
      </c>
      <c r="T146" s="123">
        <f>-(0)-(BK135/BK133)*LOG((BK135/BK133),2)</f>
        <v>0</v>
      </c>
      <c r="U146" s="157"/>
      <c r="V146" s="123"/>
    </row>
    <row r="147" spans="1:63" x14ac:dyDescent="0.3">
      <c r="O147" s="157" t="s">
        <v>279</v>
      </c>
      <c r="P147" s="157"/>
      <c r="Q147" s="157" t="s">
        <v>34</v>
      </c>
      <c r="R147" s="123">
        <f>-(BQ134/BQ133)*LOG((BQ134/BQ133),2)-(0)-(0)</f>
        <v>0</v>
      </c>
      <c r="S147" s="149" t="s">
        <v>29</v>
      </c>
      <c r="T147" s="123">
        <f>-(0)-(BR135/BR133)*LOG((BR135/BR133),2)-(0)</f>
        <v>0</v>
      </c>
      <c r="U147" s="149" t="s">
        <v>38</v>
      </c>
      <c r="V147" s="123">
        <f>-(0)-(0)-(BS136/BS133)*LOG((BS136/BS133),2)</f>
        <v>0</v>
      </c>
    </row>
    <row r="154" spans="1:63" x14ac:dyDescent="0.3">
      <c r="A154" s="121" t="s">
        <v>77</v>
      </c>
      <c r="B154" s="139" t="s">
        <v>52</v>
      </c>
      <c r="C154" s="142" t="s">
        <v>259</v>
      </c>
      <c r="D154" s="156" t="s">
        <v>28</v>
      </c>
      <c r="E154" s="156" t="s">
        <v>66</v>
      </c>
      <c r="G154" s="121" t="s">
        <v>77</v>
      </c>
      <c r="H154" s="139" t="s">
        <v>52</v>
      </c>
      <c r="I154" s="142" t="s">
        <v>259</v>
      </c>
      <c r="J154" s="156" t="s">
        <v>33</v>
      </c>
      <c r="K154" s="139" t="s">
        <v>66</v>
      </c>
      <c r="M154" s="155" t="s">
        <v>283</v>
      </c>
      <c r="N154" s="153">
        <v>0.7</v>
      </c>
      <c r="O154" s="119"/>
      <c r="P154" s="119"/>
      <c r="R154" s="121" t="s">
        <v>77</v>
      </c>
      <c r="S154" s="139" t="s">
        <v>66</v>
      </c>
      <c r="T154" s="139" t="s">
        <v>4</v>
      </c>
      <c r="U154" s="139" t="s">
        <v>55</v>
      </c>
      <c r="V154" s="139" t="s">
        <v>43</v>
      </c>
      <c r="X154" s="121" t="s">
        <v>77</v>
      </c>
      <c r="Y154" s="139" t="s">
        <v>56</v>
      </c>
      <c r="Z154" s="139" t="s">
        <v>44</v>
      </c>
      <c r="AA154" s="139" t="s">
        <v>258</v>
      </c>
      <c r="AC154" s="121" t="s">
        <v>77</v>
      </c>
      <c r="AD154" s="139" t="s">
        <v>10</v>
      </c>
      <c r="AE154" s="139" t="s">
        <v>44</v>
      </c>
      <c r="AF154" s="139" t="s">
        <v>47</v>
      </c>
      <c r="AH154" s="121" t="s">
        <v>77</v>
      </c>
      <c r="AI154" s="139" t="s">
        <v>11</v>
      </c>
      <c r="AJ154" s="139" t="s">
        <v>259</v>
      </c>
      <c r="AK154" s="139" t="s">
        <v>25</v>
      </c>
      <c r="AL154" s="139" t="s">
        <v>34</v>
      </c>
      <c r="AN154" s="121" t="s">
        <v>77</v>
      </c>
      <c r="AO154" s="139" t="s">
        <v>48</v>
      </c>
      <c r="AP154" s="139" t="s">
        <v>259</v>
      </c>
      <c r="AQ154" s="139" t="s">
        <v>26</v>
      </c>
      <c r="AR154" s="139" t="s">
        <v>39</v>
      </c>
      <c r="AT154" s="121" t="s">
        <v>77</v>
      </c>
      <c r="AU154" s="139" t="s">
        <v>13</v>
      </c>
      <c r="AV154" s="139" t="s">
        <v>259</v>
      </c>
      <c r="AW154" s="156" t="s">
        <v>27</v>
      </c>
      <c r="AX154" s="156" t="s">
        <v>32</v>
      </c>
      <c r="AZ154" s="121" t="s">
        <v>77</v>
      </c>
      <c r="BA154" s="139" t="s">
        <v>15</v>
      </c>
      <c r="BB154" s="139" t="s">
        <v>259</v>
      </c>
      <c r="BC154" s="139" t="s">
        <v>25</v>
      </c>
      <c r="BD154" s="139" t="s">
        <v>34</v>
      </c>
      <c r="BF154" s="121" t="s">
        <v>77</v>
      </c>
      <c r="BG154" s="139" t="s">
        <v>260</v>
      </c>
      <c r="BH154" s="139" t="s">
        <v>259</v>
      </c>
      <c r="BI154" s="154" t="s">
        <v>34</v>
      </c>
      <c r="BJ154" s="154" t="s">
        <v>29</v>
      </c>
      <c r="BK154" s="154" t="s">
        <v>38</v>
      </c>
    </row>
    <row r="155" spans="1:63" x14ac:dyDescent="0.3">
      <c r="A155" s="121">
        <v>9</v>
      </c>
      <c r="B155" s="154" t="s">
        <v>33</v>
      </c>
      <c r="C155" s="121">
        <v>1</v>
      </c>
      <c r="D155" s="121">
        <v>1</v>
      </c>
      <c r="E155" s="154" t="s">
        <v>36</v>
      </c>
      <c r="G155" s="121">
        <v>1</v>
      </c>
      <c r="H155" s="154" t="s">
        <v>28</v>
      </c>
      <c r="I155" s="121">
        <v>0</v>
      </c>
      <c r="J155" s="121">
        <v>1</v>
      </c>
      <c r="K155" s="154" t="s">
        <v>30</v>
      </c>
      <c r="M155" s="128" t="s">
        <v>284</v>
      </c>
      <c r="N155" s="119"/>
      <c r="O155" s="119"/>
      <c r="P155" s="128" t="s">
        <v>282</v>
      </c>
      <c r="R155" s="121">
        <v>9</v>
      </c>
      <c r="S155" s="154" t="s">
        <v>36</v>
      </c>
      <c r="T155" s="154">
        <v>55</v>
      </c>
      <c r="U155" s="121">
        <v>0</v>
      </c>
      <c r="V155" s="121">
        <v>1</v>
      </c>
      <c r="X155" s="121">
        <v>9</v>
      </c>
      <c r="Y155" s="154">
        <v>72</v>
      </c>
      <c r="Z155" s="121">
        <v>1</v>
      </c>
      <c r="AA155" s="121">
        <v>0</v>
      </c>
      <c r="AC155" s="121">
        <v>9</v>
      </c>
      <c r="AD155" s="4">
        <v>19.522405912255973</v>
      </c>
      <c r="AE155" s="121">
        <v>0.83084378752711407</v>
      </c>
      <c r="AF155" s="121">
        <v>0.1691562124728859</v>
      </c>
      <c r="AH155" s="121">
        <v>9</v>
      </c>
      <c r="AI155" s="120" t="s">
        <v>31</v>
      </c>
      <c r="AJ155" s="121">
        <v>0</v>
      </c>
      <c r="AK155" s="121">
        <v>0</v>
      </c>
      <c r="AL155" s="121">
        <v>1</v>
      </c>
      <c r="AN155" s="121">
        <v>9</v>
      </c>
      <c r="AO155" s="154" t="s">
        <v>26</v>
      </c>
      <c r="AP155" s="121">
        <v>0</v>
      </c>
      <c r="AQ155" s="121">
        <v>0</v>
      </c>
      <c r="AR155" s="121">
        <v>1</v>
      </c>
      <c r="AT155" s="121">
        <v>9</v>
      </c>
      <c r="AU155" s="154" t="s">
        <v>27</v>
      </c>
      <c r="AV155" s="121">
        <v>0</v>
      </c>
      <c r="AW155" s="121">
        <v>0</v>
      </c>
      <c r="AX155" s="121">
        <v>1</v>
      </c>
      <c r="AZ155" s="121">
        <v>9</v>
      </c>
      <c r="BA155" s="154" t="s">
        <v>25</v>
      </c>
      <c r="BB155" s="121">
        <v>1</v>
      </c>
      <c r="BC155" s="121">
        <v>1</v>
      </c>
      <c r="BD155" s="121">
        <v>0</v>
      </c>
      <c r="BF155" s="121">
        <v>9</v>
      </c>
      <c r="BG155" s="154" t="s">
        <v>34</v>
      </c>
      <c r="BH155" s="121">
        <v>0</v>
      </c>
      <c r="BI155" s="121">
        <v>1</v>
      </c>
      <c r="BJ155" s="121">
        <v>0</v>
      </c>
      <c r="BK155" s="121">
        <v>0</v>
      </c>
    </row>
    <row r="156" spans="1:63" x14ac:dyDescent="0.3">
      <c r="A156" s="121">
        <v>19</v>
      </c>
      <c r="B156" s="154" t="s">
        <v>33</v>
      </c>
      <c r="C156" s="121">
        <v>1</v>
      </c>
      <c r="D156" s="121">
        <v>1</v>
      </c>
      <c r="E156" s="154" t="s">
        <v>30</v>
      </c>
      <c r="G156" s="121">
        <v>3</v>
      </c>
      <c r="H156" s="154" t="s">
        <v>28</v>
      </c>
      <c r="I156" s="121">
        <v>0</v>
      </c>
      <c r="J156" s="121">
        <v>1</v>
      </c>
      <c r="K156" s="154" t="s">
        <v>36</v>
      </c>
      <c r="M156" s="119" t="s">
        <v>130</v>
      </c>
      <c r="N156" s="90" t="s">
        <v>36</v>
      </c>
      <c r="O156" s="90">
        <f>SUMIF(E155:E160,N156,D155:D160)</f>
        <v>3</v>
      </c>
      <c r="P156" s="90">
        <f>((O156)/(C161))*(100)</f>
        <v>50</v>
      </c>
      <c r="R156" s="121">
        <v>19</v>
      </c>
      <c r="S156" s="154" t="s">
        <v>30</v>
      </c>
      <c r="T156" s="154">
        <v>67</v>
      </c>
      <c r="U156" s="121">
        <v>0</v>
      </c>
      <c r="V156" s="121">
        <v>1</v>
      </c>
      <c r="X156" s="121">
        <v>19</v>
      </c>
      <c r="Y156" s="154">
        <v>79</v>
      </c>
      <c r="Z156" s="121">
        <v>1</v>
      </c>
      <c r="AA156" s="121">
        <v>0</v>
      </c>
      <c r="AC156" s="121">
        <v>19</v>
      </c>
      <c r="AD156" s="4">
        <v>19.852156683432401</v>
      </c>
      <c r="AE156" s="121">
        <v>0.79420481295195544</v>
      </c>
      <c r="AF156" s="121">
        <v>0.20579518704804459</v>
      </c>
      <c r="AH156" s="121">
        <v>19</v>
      </c>
      <c r="AI156" s="120" t="s">
        <v>31</v>
      </c>
      <c r="AJ156" s="121">
        <v>0</v>
      </c>
      <c r="AK156" s="121">
        <v>0</v>
      </c>
      <c r="AL156" s="121">
        <v>1</v>
      </c>
      <c r="AN156" s="121">
        <v>19</v>
      </c>
      <c r="AO156" s="154" t="s">
        <v>26</v>
      </c>
      <c r="AP156" s="121">
        <v>0</v>
      </c>
      <c r="AQ156" s="121">
        <v>0</v>
      </c>
      <c r="AR156" s="121">
        <v>1</v>
      </c>
      <c r="AT156" s="121">
        <v>19</v>
      </c>
      <c r="AU156" s="154" t="s">
        <v>32</v>
      </c>
      <c r="AV156" s="121">
        <v>1</v>
      </c>
      <c r="AW156" s="121">
        <v>1</v>
      </c>
      <c r="AX156" s="121">
        <v>0</v>
      </c>
      <c r="AZ156" s="121">
        <v>19</v>
      </c>
      <c r="BA156" s="154" t="s">
        <v>25</v>
      </c>
      <c r="BB156" s="121">
        <v>1</v>
      </c>
      <c r="BC156" s="121">
        <v>1</v>
      </c>
      <c r="BD156" s="121">
        <v>0</v>
      </c>
      <c r="BF156" s="121">
        <v>19</v>
      </c>
      <c r="BG156" s="154" t="s">
        <v>38</v>
      </c>
      <c r="BH156" s="121">
        <v>1</v>
      </c>
      <c r="BI156" s="121">
        <v>0</v>
      </c>
      <c r="BJ156" s="121">
        <v>0</v>
      </c>
      <c r="BK156" s="121">
        <v>1</v>
      </c>
    </row>
    <row r="157" spans="1:63" x14ac:dyDescent="0.3">
      <c r="A157" s="121">
        <v>24</v>
      </c>
      <c r="B157" s="154" t="s">
        <v>33</v>
      </c>
      <c r="C157" s="121">
        <v>1</v>
      </c>
      <c r="D157" s="121">
        <v>1</v>
      </c>
      <c r="E157" s="154" t="s">
        <v>30</v>
      </c>
      <c r="G157" s="121">
        <v>6</v>
      </c>
      <c r="H157" s="154" t="s">
        <v>28</v>
      </c>
      <c r="I157" s="121">
        <v>0</v>
      </c>
      <c r="J157" s="121">
        <v>1</v>
      </c>
      <c r="K157" s="154" t="s">
        <v>36</v>
      </c>
      <c r="M157" s="119"/>
      <c r="N157" s="119" t="s">
        <v>30</v>
      </c>
      <c r="O157" s="90">
        <f>SUMIF(E155:E160,N157,D155:D160)</f>
        <v>3</v>
      </c>
      <c r="P157" s="90">
        <f>((O157)/(C161))*(100)</f>
        <v>50</v>
      </c>
      <c r="R157" s="121">
        <v>24</v>
      </c>
      <c r="S157" s="154" t="s">
        <v>30</v>
      </c>
      <c r="T157" s="154">
        <v>50</v>
      </c>
      <c r="U157" s="121">
        <v>0</v>
      </c>
      <c r="V157" s="121">
        <v>1</v>
      </c>
      <c r="X157" s="121">
        <v>24</v>
      </c>
      <c r="Y157" s="154">
        <v>82</v>
      </c>
      <c r="Z157" s="121">
        <v>1</v>
      </c>
      <c r="AA157" s="121">
        <v>0</v>
      </c>
      <c r="AC157" s="121">
        <v>24</v>
      </c>
      <c r="AD157" s="4">
        <v>24.526817529732984</v>
      </c>
      <c r="AE157" s="121">
        <v>0.27479805225189069</v>
      </c>
      <c r="AF157" s="121">
        <v>0.72520194774810931</v>
      </c>
      <c r="AH157" s="121">
        <v>24</v>
      </c>
      <c r="AI157" s="120" t="s">
        <v>25</v>
      </c>
      <c r="AJ157" s="121">
        <v>1</v>
      </c>
      <c r="AK157" s="121">
        <v>1</v>
      </c>
      <c r="AL157" s="121">
        <v>0</v>
      </c>
      <c r="AN157" s="121">
        <v>24</v>
      </c>
      <c r="AO157" s="154" t="s">
        <v>26</v>
      </c>
      <c r="AP157" s="121">
        <v>0</v>
      </c>
      <c r="AQ157" s="121">
        <v>0</v>
      </c>
      <c r="AR157" s="121">
        <v>1</v>
      </c>
      <c r="AT157" s="121">
        <v>24</v>
      </c>
      <c r="AU157" s="154" t="s">
        <v>27</v>
      </c>
      <c r="AV157" s="121">
        <v>0</v>
      </c>
      <c r="AW157" s="121">
        <v>0</v>
      </c>
      <c r="AX157" s="121">
        <v>1</v>
      </c>
      <c r="AZ157" s="121">
        <v>24</v>
      </c>
      <c r="BA157" s="154" t="s">
        <v>25</v>
      </c>
      <c r="BB157" s="121">
        <v>1</v>
      </c>
      <c r="BC157" s="121">
        <v>1</v>
      </c>
      <c r="BD157" s="121">
        <v>0</v>
      </c>
      <c r="BF157" s="121">
        <v>24</v>
      </c>
      <c r="BG157" s="154" t="s">
        <v>29</v>
      </c>
      <c r="BH157" s="121">
        <v>0.5</v>
      </c>
      <c r="BI157" s="121">
        <v>0</v>
      </c>
      <c r="BJ157" s="121">
        <v>1</v>
      </c>
      <c r="BK157" s="121">
        <v>0</v>
      </c>
    </row>
    <row r="158" spans="1:63" x14ac:dyDescent="0.3">
      <c r="A158" s="121">
        <v>32</v>
      </c>
      <c r="B158" s="154" t="s">
        <v>33</v>
      </c>
      <c r="C158" s="121">
        <v>1</v>
      </c>
      <c r="D158" s="121">
        <v>1</v>
      </c>
      <c r="E158" s="154" t="s">
        <v>36</v>
      </c>
      <c r="G158" s="121">
        <v>12</v>
      </c>
      <c r="H158" s="154" t="s">
        <v>28</v>
      </c>
      <c r="I158" s="121">
        <v>0</v>
      </c>
      <c r="J158" s="121">
        <v>1</v>
      </c>
      <c r="K158" s="154" t="s">
        <v>36</v>
      </c>
      <c r="M158" s="119"/>
      <c r="N158" s="119" t="s">
        <v>35</v>
      </c>
      <c r="O158" s="90">
        <f>SUMIF(E155:E160,N158,D155:D160)</f>
        <v>0</v>
      </c>
      <c r="P158" s="90">
        <f>((O158)/(C161))*(100)</f>
        <v>0</v>
      </c>
      <c r="R158" s="121">
        <v>32</v>
      </c>
      <c r="S158" s="154" t="s">
        <v>36</v>
      </c>
      <c r="T158" s="154">
        <v>38</v>
      </c>
      <c r="U158" s="121">
        <v>0.4</v>
      </c>
      <c r="V158" s="121">
        <v>0.6</v>
      </c>
      <c r="X158" s="121">
        <v>32</v>
      </c>
      <c r="Y158" s="154">
        <v>99</v>
      </c>
      <c r="Z158" s="121">
        <v>0.1</v>
      </c>
      <c r="AA158" s="121">
        <v>0.9</v>
      </c>
      <c r="AC158" s="121">
        <v>32</v>
      </c>
      <c r="AD158" s="4">
        <v>32.456398197138938</v>
      </c>
      <c r="AE158" s="121">
        <v>0</v>
      </c>
      <c r="AF158" s="121">
        <v>1</v>
      </c>
      <c r="AH158" s="121">
        <v>32</v>
      </c>
      <c r="AI158" s="120" t="s">
        <v>31</v>
      </c>
      <c r="AJ158" s="121">
        <v>0</v>
      </c>
      <c r="AK158" s="121">
        <v>0</v>
      </c>
      <c r="AL158" s="121">
        <v>1</v>
      </c>
      <c r="AN158" s="121">
        <v>32</v>
      </c>
      <c r="AO158" s="154" t="s">
        <v>39</v>
      </c>
      <c r="AP158" s="121">
        <v>1</v>
      </c>
      <c r="AQ158" s="121">
        <v>1</v>
      </c>
      <c r="AR158" s="121">
        <v>0</v>
      </c>
      <c r="AT158" s="121">
        <v>32</v>
      </c>
      <c r="AU158" s="154" t="s">
        <v>32</v>
      </c>
      <c r="AV158" s="121">
        <v>1</v>
      </c>
      <c r="AW158" s="121">
        <v>1</v>
      </c>
      <c r="AX158" s="121">
        <v>0</v>
      </c>
      <c r="AZ158" s="121">
        <v>32</v>
      </c>
      <c r="BA158" s="154" t="s">
        <v>25</v>
      </c>
      <c r="BB158" s="121">
        <v>1</v>
      </c>
      <c r="BC158" s="121">
        <v>1</v>
      </c>
      <c r="BD158" s="121">
        <v>0</v>
      </c>
      <c r="BF158" s="121">
        <v>32</v>
      </c>
      <c r="BG158" s="154" t="s">
        <v>34</v>
      </c>
      <c r="BH158" s="121">
        <v>0</v>
      </c>
      <c r="BI158" s="121">
        <v>1</v>
      </c>
      <c r="BJ158" s="121">
        <v>0</v>
      </c>
      <c r="BK158" s="121">
        <v>0</v>
      </c>
    </row>
    <row r="159" spans="1:63" x14ac:dyDescent="0.3">
      <c r="A159" s="121">
        <v>51</v>
      </c>
      <c r="B159" s="154" t="s">
        <v>33</v>
      </c>
      <c r="C159" s="121">
        <v>1</v>
      </c>
      <c r="D159" s="121">
        <v>1</v>
      </c>
      <c r="E159" s="154" t="s">
        <v>36</v>
      </c>
      <c r="G159" s="121">
        <v>14</v>
      </c>
      <c r="H159" s="154" t="s">
        <v>28</v>
      </c>
      <c r="I159" s="121">
        <v>0</v>
      </c>
      <c r="J159" s="121">
        <v>1</v>
      </c>
      <c r="K159" s="154" t="s">
        <v>36</v>
      </c>
      <c r="M159" s="119"/>
      <c r="N159" s="119"/>
      <c r="O159" s="119"/>
      <c r="P159" s="119"/>
      <c r="R159" s="121">
        <v>51</v>
      </c>
      <c r="S159" s="154" t="s">
        <v>36</v>
      </c>
      <c r="T159" s="154">
        <v>27</v>
      </c>
      <c r="U159" s="121">
        <v>0.95</v>
      </c>
      <c r="V159" s="121">
        <v>0.05</v>
      </c>
      <c r="X159" s="121">
        <v>51</v>
      </c>
      <c r="Y159" s="154">
        <v>83</v>
      </c>
      <c r="Z159" s="121">
        <v>1</v>
      </c>
      <c r="AA159" s="121">
        <v>0</v>
      </c>
      <c r="AC159" s="121">
        <v>51</v>
      </c>
      <c r="AD159" s="4">
        <v>23.763286411950588</v>
      </c>
      <c r="AE159" s="121">
        <v>0.35963484311660132</v>
      </c>
      <c r="AF159" s="121">
        <v>0.64036515688339868</v>
      </c>
      <c r="AH159" s="121">
        <v>51</v>
      </c>
      <c r="AI159" s="154" t="s">
        <v>25</v>
      </c>
      <c r="AJ159" s="121">
        <v>1</v>
      </c>
      <c r="AK159" s="121">
        <v>1</v>
      </c>
      <c r="AL159" s="121">
        <v>0</v>
      </c>
      <c r="AN159" s="121">
        <v>51</v>
      </c>
      <c r="AO159" s="154" t="s">
        <v>26</v>
      </c>
      <c r="AP159" s="121">
        <v>0</v>
      </c>
      <c r="AQ159" s="121">
        <v>0</v>
      </c>
      <c r="AR159" s="121">
        <v>1</v>
      </c>
      <c r="AT159" s="121">
        <v>51</v>
      </c>
      <c r="AU159" s="154" t="s">
        <v>27</v>
      </c>
      <c r="AV159" s="121">
        <v>0</v>
      </c>
      <c r="AW159" s="121">
        <v>0</v>
      </c>
      <c r="AX159" s="121">
        <v>1</v>
      </c>
      <c r="AZ159" s="121">
        <v>51</v>
      </c>
      <c r="BA159" s="154" t="s">
        <v>25</v>
      </c>
      <c r="BB159" s="121">
        <v>1</v>
      </c>
      <c r="BC159" s="121">
        <v>1</v>
      </c>
      <c r="BD159" s="121">
        <v>0</v>
      </c>
      <c r="BF159" s="121">
        <v>51</v>
      </c>
      <c r="BG159" s="154" t="s">
        <v>34</v>
      </c>
      <c r="BH159" s="121">
        <v>0</v>
      </c>
      <c r="BI159" s="121">
        <v>1</v>
      </c>
      <c r="BJ159" s="121">
        <v>0</v>
      </c>
      <c r="BK159" s="121">
        <v>0</v>
      </c>
    </row>
    <row r="160" spans="1:63" x14ac:dyDescent="0.3">
      <c r="A160" s="121">
        <v>58</v>
      </c>
      <c r="B160" s="154" t="s">
        <v>33</v>
      </c>
      <c r="C160" s="121">
        <v>1</v>
      </c>
      <c r="D160" s="121">
        <v>1</v>
      </c>
      <c r="E160" s="154" t="s">
        <v>30</v>
      </c>
      <c r="G160" s="121">
        <v>15</v>
      </c>
      <c r="H160" s="154" t="s">
        <v>28</v>
      </c>
      <c r="I160" s="121">
        <v>0</v>
      </c>
      <c r="J160" s="121">
        <v>1</v>
      </c>
      <c r="K160" s="154" t="s">
        <v>30</v>
      </c>
      <c r="M160" s="119"/>
      <c r="N160" s="119"/>
      <c r="O160" s="119"/>
      <c r="P160" s="119"/>
      <c r="R160" s="121">
        <v>58</v>
      </c>
      <c r="S160" s="154" t="s">
        <v>30</v>
      </c>
      <c r="T160" s="154">
        <v>65</v>
      </c>
      <c r="U160" s="121">
        <v>0</v>
      </c>
      <c r="V160" s="121">
        <v>1</v>
      </c>
      <c r="X160" s="121">
        <v>58</v>
      </c>
      <c r="Y160" s="154">
        <v>91</v>
      </c>
      <c r="Z160" s="121">
        <v>0.9</v>
      </c>
      <c r="AA160" s="121">
        <v>0.1</v>
      </c>
      <c r="AC160" s="121">
        <v>58</v>
      </c>
      <c r="AD160" s="4">
        <v>24.765704392336936</v>
      </c>
      <c r="AE160" s="121">
        <v>0.24825506751811824</v>
      </c>
      <c r="AF160" s="121">
        <v>0.75174493248188179</v>
      </c>
      <c r="AH160" s="121">
        <v>58</v>
      </c>
      <c r="AI160" s="154" t="s">
        <v>25</v>
      </c>
      <c r="AJ160" s="121">
        <v>1</v>
      </c>
      <c r="AK160" s="121">
        <v>1</v>
      </c>
      <c r="AL160" s="121">
        <v>0</v>
      </c>
      <c r="AN160" s="121">
        <v>58</v>
      </c>
      <c r="AO160" s="154" t="s">
        <v>26</v>
      </c>
      <c r="AP160" s="121">
        <v>0</v>
      </c>
      <c r="AQ160" s="121">
        <v>0</v>
      </c>
      <c r="AR160" s="121">
        <v>1</v>
      </c>
      <c r="AT160" s="121">
        <v>58</v>
      </c>
      <c r="AU160" s="154" t="s">
        <v>27</v>
      </c>
      <c r="AV160" s="121">
        <v>0</v>
      </c>
      <c r="AW160" s="121">
        <v>0</v>
      </c>
      <c r="AX160" s="121">
        <v>1</v>
      </c>
      <c r="AZ160" s="121">
        <v>58</v>
      </c>
      <c r="BA160" s="154" t="s">
        <v>25</v>
      </c>
      <c r="BB160" s="121">
        <v>1</v>
      </c>
      <c r="BC160" s="121">
        <v>1</v>
      </c>
      <c r="BD160" s="121">
        <v>0</v>
      </c>
      <c r="BF160" s="121">
        <v>58</v>
      </c>
      <c r="BG160" s="154" t="s">
        <v>29</v>
      </c>
      <c r="BH160" s="121">
        <v>0.5</v>
      </c>
      <c r="BI160" s="121">
        <v>0</v>
      </c>
      <c r="BJ160" s="121">
        <v>1</v>
      </c>
      <c r="BK160" s="121">
        <v>0</v>
      </c>
    </row>
    <row r="161" spans="1:63" x14ac:dyDescent="0.3">
      <c r="B161" s="129" t="s">
        <v>64</v>
      </c>
      <c r="C161">
        <f>SUM(C155:C160)</f>
        <v>6</v>
      </c>
      <c r="G161" s="121">
        <v>17</v>
      </c>
      <c r="H161" s="154" t="s">
        <v>28</v>
      </c>
      <c r="I161" s="121">
        <v>0</v>
      </c>
      <c r="J161" s="121">
        <v>1</v>
      </c>
      <c r="K161" s="154" t="s">
        <v>30</v>
      </c>
      <c r="M161" s="128" t="s">
        <v>285</v>
      </c>
      <c r="N161" s="119"/>
      <c r="O161" s="119"/>
      <c r="P161" s="128" t="s">
        <v>282</v>
      </c>
      <c r="T161" s="142" t="s">
        <v>64</v>
      </c>
      <c r="U161" s="142">
        <f>SUM(U155:U160)</f>
        <v>1.35</v>
      </c>
      <c r="V161" s="142">
        <f>SUM(V155:V160)</f>
        <v>4.6500000000000004</v>
      </c>
      <c r="Y161" s="142" t="s">
        <v>64</v>
      </c>
      <c r="Z161" s="142">
        <f>SUM(Z155:Z160)</f>
        <v>5</v>
      </c>
      <c r="AA161" s="142">
        <f>SUM(AA155:AA160)</f>
        <v>1</v>
      </c>
      <c r="AD161" s="142" t="s">
        <v>64</v>
      </c>
      <c r="AE161" s="142">
        <f>SUM(AE155:AE160)</f>
        <v>2.5077365633656798</v>
      </c>
      <c r="AF161" s="142">
        <f>SUM(AF155:AF160)</f>
        <v>3.4922634366343206</v>
      </c>
      <c r="AJ161" s="142" t="s">
        <v>64</v>
      </c>
      <c r="AK161" s="142">
        <f>SUM(AK155:AK160)</f>
        <v>3</v>
      </c>
      <c r="AL161" s="142">
        <f>SUM(AL155:AL160)</f>
        <v>3</v>
      </c>
      <c r="AP161" s="142" t="s">
        <v>64</v>
      </c>
      <c r="AQ161" s="142">
        <f>SUM(AQ155:AQ160)</f>
        <v>1</v>
      </c>
      <c r="AR161" s="142">
        <f>SUM(AR155:AR160)</f>
        <v>5</v>
      </c>
      <c r="AV161" s="142" t="s">
        <v>64</v>
      </c>
      <c r="AW161" s="142">
        <f>SUM(AW155:AW160)</f>
        <v>2</v>
      </c>
      <c r="AX161" s="142">
        <f>SUM(AX155:AX160)</f>
        <v>4</v>
      </c>
      <c r="BB161" s="142" t="s">
        <v>64</v>
      </c>
      <c r="BC161" s="142">
        <f>SUM(BC155:BC160)</f>
        <v>6</v>
      </c>
      <c r="BD161" s="142">
        <f>SUM(BD155:BD160)</f>
        <v>0</v>
      </c>
      <c r="BH161" s="142" t="s">
        <v>64</v>
      </c>
      <c r="BI161" s="142">
        <f>SUM(BI155:BI160)</f>
        <v>3</v>
      </c>
      <c r="BJ161" s="142">
        <f>SUM(BJ155:BJ160)</f>
        <v>2</v>
      </c>
      <c r="BK161" s="142">
        <f>SUM(BK155:BK160)</f>
        <v>1</v>
      </c>
    </row>
    <row r="162" spans="1:63" x14ac:dyDescent="0.3">
      <c r="G162" s="121">
        <v>18</v>
      </c>
      <c r="H162" s="154" t="s">
        <v>28</v>
      </c>
      <c r="I162" s="121">
        <v>0</v>
      </c>
      <c r="J162" s="121">
        <v>1</v>
      </c>
      <c r="K162" s="154" t="s">
        <v>36</v>
      </c>
      <c r="M162" s="119" t="s">
        <v>130</v>
      </c>
      <c r="N162" s="119" t="s">
        <v>36</v>
      </c>
      <c r="O162" s="119">
        <f>SUMIF(K155:K175,N162,J155:J175)</f>
        <v>14</v>
      </c>
      <c r="P162" s="119">
        <f>((O162)/(J176))*(100)</f>
        <v>66.666666666666657</v>
      </c>
      <c r="T162" s="141" t="s">
        <v>36</v>
      </c>
      <c r="U162" s="146">
        <f>SUMIF(S155:S160,T162,U155:U160)</f>
        <v>1.35</v>
      </c>
      <c r="V162" s="141">
        <f>SUMIF(S155:S160,T162,V155:V160)</f>
        <v>1.6500000000000001</v>
      </c>
      <c r="Y162" s="141" t="s">
        <v>36</v>
      </c>
      <c r="Z162" s="146">
        <f>SUMIF(S155:S160,Y162,Z155:Z160)</f>
        <v>2.1</v>
      </c>
      <c r="AA162" s="141">
        <f>SUMIF(S155:S160,Y162,AA155:AA160)</f>
        <v>0.9</v>
      </c>
      <c r="AD162" s="141" t="s">
        <v>36</v>
      </c>
      <c r="AE162" s="146">
        <f>SUMIF(S155:S160,AD162,AE155:AE160)</f>
        <v>1.1904786306437154</v>
      </c>
      <c r="AF162" s="141">
        <f>SUMIF(S155:S160,AD162,AF155:AF160)</f>
        <v>1.8095213693562844</v>
      </c>
      <c r="AJ162" s="141" t="s">
        <v>36</v>
      </c>
      <c r="AK162" s="146">
        <f>SUMIF(S155:S160,AJ162,AK155:AK160)</f>
        <v>1</v>
      </c>
      <c r="AL162" s="141">
        <f>SUMIF(S155:S160,AJ162,AL155:AL160)</f>
        <v>2</v>
      </c>
      <c r="AP162" s="141" t="s">
        <v>36</v>
      </c>
      <c r="AQ162" s="146">
        <f>SUMIF(S155:S160,AP162,AQ155:AQ160)</f>
        <v>1</v>
      </c>
      <c r="AR162" s="141">
        <f>SUMIF(S155:S160,AP162,AR155:AR160)</f>
        <v>2</v>
      </c>
      <c r="AV162" s="141" t="s">
        <v>36</v>
      </c>
      <c r="AW162" s="146">
        <f>SUMIF(S155:S160,AV162,AW155:AW160)</f>
        <v>1</v>
      </c>
      <c r="AX162" s="141">
        <f ca="1">SUMIF(S155:S161,AV162,AX155:AX160)</f>
        <v>2</v>
      </c>
      <c r="BB162" s="141" t="s">
        <v>36</v>
      </c>
      <c r="BC162" s="146">
        <f>SUMIF(S155:S160,BB162,BC155:BC160)</f>
        <v>3</v>
      </c>
      <c r="BD162" s="141">
        <f>SUMIF(S155:S160,BB162,BD155:BD160)</f>
        <v>0</v>
      </c>
      <c r="BH162" s="141" t="s">
        <v>36</v>
      </c>
      <c r="BI162" s="146">
        <f>SUMIF(S155:S160,BH162,BI155:BI160)</f>
        <v>3</v>
      </c>
      <c r="BJ162" s="141">
        <f>SUMIF(S155:S160,BH162,BJ155:BJ160)</f>
        <v>0</v>
      </c>
      <c r="BK162" s="141">
        <f>SUMIF(S155:S160,BI162,BK155:BK160)</f>
        <v>0</v>
      </c>
    </row>
    <row r="163" spans="1:63" x14ac:dyDescent="0.3">
      <c r="A163" s="142" t="s">
        <v>36</v>
      </c>
      <c r="B163" s="142">
        <f>COUNTIF(E155:E160, "Rendah")</f>
        <v>3</v>
      </c>
      <c r="G163" s="121">
        <v>22</v>
      </c>
      <c r="H163" s="154" t="s">
        <v>28</v>
      </c>
      <c r="I163" s="121">
        <v>0</v>
      </c>
      <c r="J163" s="121">
        <v>1</v>
      </c>
      <c r="K163" s="154" t="s">
        <v>36</v>
      </c>
      <c r="M163" s="119"/>
      <c r="N163" s="119" t="s">
        <v>30</v>
      </c>
      <c r="O163" s="119">
        <f>SUMIF(K155:K175,N163,J155:J175)</f>
        <v>7</v>
      </c>
      <c r="P163" s="119">
        <f>((O163)/(J176))*(100)</f>
        <v>33.333333333333329</v>
      </c>
      <c r="T163" s="141" t="s">
        <v>30</v>
      </c>
      <c r="U163" s="146">
        <f>SUMIF(S156:S161,T163,U156:U161)</f>
        <v>0</v>
      </c>
      <c r="V163" s="141">
        <f>SUMIF(S155:S160,T163,V155:V160)</f>
        <v>3</v>
      </c>
      <c r="Y163" s="141" t="s">
        <v>30</v>
      </c>
      <c r="Z163" s="146">
        <f>SUMIF(S155:S160,Y163,Z155:Z160)</f>
        <v>2.9</v>
      </c>
      <c r="AA163" s="141">
        <f>SUMIF(S155:S160,Y163,AA155:AA160)</f>
        <v>0.1</v>
      </c>
      <c r="AD163" s="141" t="s">
        <v>30</v>
      </c>
      <c r="AE163" s="146">
        <f>SUMIF(S155:S160,AD163,AE155:AE160)</f>
        <v>1.3172579327219645</v>
      </c>
      <c r="AF163" s="141">
        <f>SUMIF(S155:S160,AD163,AF155:AF160)</f>
        <v>1.6827420672780358</v>
      </c>
      <c r="AJ163" s="141" t="s">
        <v>30</v>
      </c>
      <c r="AK163" s="146">
        <f>SUMIF(S155:S160,AJ163,AK155:AK160)</f>
        <v>2</v>
      </c>
      <c r="AL163" s="141">
        <f>SUMIF(S155:S160,AJ163,AL155:AL160)</f>
        <v>1</v>
      </c>
      <c r="AP163" s="141" t="s">
        <v>30</v>
      </c>
      <c r="AQ163" s="146">
        <f>SUMIF(S155:S160,AP163,AQ155:AQ160)</f>
        <v>0</v>
      </c>
      <c r="AR163" s="141">
        <f>SUMIF(S155:S160,AP163,AR155:AR160)</f>
        <v>3</v>
      </c>
      <c r="AV163" s="141" t="s">
        <v>30</v>
      </c>
      <c r="AW163" s="146">
        <f>SUMIF(S155:S160,AV163,AW155:AW160)</f>
        <v>1</v>
      </c>
      <c r="AX163" s="141">
        <f>SUMIF(S155:S160,AV163,AX155:AX160)</f>
        <v>2</v>
      </c>
      <c r="BB163" s="141" t="s">
        <v>30</v>
      </c>
      <c r="BC163" s="146">
        <f>SUMIF(S155:S160,BB163,BC155:BC160)</f>
        <v>3</v>
      </c>
      <c r="BD163" s="141">
        <f>SUMIF(S155:S160,BB163,BD155:BD160)</f>
        <v>0</v>
      </c>
      <c r="BH163" s="141" t="s">
        <v>30</v>
      </c>
      <c r="BI163" s="146">
        <f>SUMIF(S155:S160,BH163,BI155:BI160)</f>
        <v>0</v>
      </c>
      <c r="BJ163" s="141">
        <f>SUMIF(S155:S160,BH163,BJ155:BJ160)</f>
        <v>2</v>
      </c>
      <c r="BK163" s="141">
        <f>SUMIF(S155:S160,BH163,BK155:BK160)</f>
        <v>1</v>
      </c>
    </row>
    <row r="164" spans="1:63" x14ac:dyDescent="0.3">
      <c r="A164" s="142" t="s">
        <v>30</v>
      </c>
      <c r="B164" s="142">
        <f>COUNTIF(E155:E160, "Sedang")</f>
        <v>3</v>
      </c>
      <c r="G164" s="121">
        <v>26</v>
      </c>
      <c r="H164" s="154" t="s">
        <v>28</v>
      </c>
      <c r="I164" s="121">
        <v>0</v>
      </c>
      <c r="J164" s="121">
        <v>1</v>
      </c>
      <c r="K164" s="154" t="s">
        <v>36</v>
      </c>
      <c r="M164" s="119"/>
      <c r="N164" s="119" t="s">
        <v>35</v>
      </c>
      <c r="O164" s="119">
        <f>SUMIF(K155:K175,N164,J155:J175)</f>
        <v>0</v>
      </c>
      <c r="P164" s="119">
        <f>((O164)/(J176))*(100)</f>
        <v>0</v>
      </c>
      <c r="T164" s="141" t="s">
        <v>35</v>
      </c>
      <c r="U164" s="146">
        <f>SUMIF(S157:S162,T164,U157:U162)</f>
        <v>0</v>
      </c>
      <c r="V164" s="141">
        <f>SUMIF(S157:S162,T164,V157:V162)</f>
        <v>0</v>
      </c>
      <c r="Y164" s="141" t="s">
        <v>35</v>
      </c>
      <c r="Z164" s="146">
        <f>SUMIF(S155:S160,Y164,Z155:Z160)</f>
        <v>0</v>
      </c>
      <c r="AA164" s="141">
        <f>SUMIF(X157:X162,Y164,AA157:AA162)</f>
        <v>0</v>
      </c>
      <c r="AD164" s="141" t="s">
        <v>35</v>
      </c>
      <c r="AE164" s="146">
        <f>SUMIF(S155:S160,AD164,AE155:AE160)</f>
        <v>0</v>
      </c>
      <c r="AF164" s="141">
        <f>SUMIF(AC157:AC162,AD164,AF157:AF162)</f>
        <v>0</v>
      </c>
      <c r="AJ164" s="141" t="s">
        <v>35</v>
      </c>
      <c r="AK164" s="146">
        <f>SUMIF(S155:S160,AJ164,AK155:AK160)</f>
        <v>0</v>
      </c>
      <c r="AL164" s="141">
        <f>SUMIF(AI157:AI162,AJ164,AL157:AL162)</f>
        <v>0</v>
      </c>
      <c r="AP164" s="141" t="s">
        <v>35</v>
      </c>
      <c r="AQ164" s="146">
        <f>SUMIF(Y155:Y160,AP164,AQ155:AQ160)</f>
        <v>0</v>
      </c>
      <c r="AR164" s="141">
        <f>SUMIF(AO157:AO162,AP164,AR157:AR162)</f>
        <v>0</v>
      </c>
      <c r="AV164" s="141" t="s">
        <v>35</v>
      </c>
      <c r="AW164" s="146">
        <f>SUMIF(AU157:AU162,AV164,AW157:AW162)</f>
        <v>0</v>
      </c>
      <c r="AX164" s="141">
        <f>SUMIF(AU157:AU162,AV164,AX157:AX162)</f>
        <v>0</v>
      </c>
      <c r="BB164" s="141" t="s">
        <v>35</v>
      </c>
      <c r="BC164" s="146">
        <f>SUMIF(AK155:AK160,BB164,BC155:BC160)</f>
        <v>0</v>
      </c>
      <c r="BD164" s="141">
        <f>SUMIF(BA157:BA162,BB164,BD157:BD162)</f>
        <v>0</v>
      </c>
      <c r="BH164" s="141" t="s">
        <v>35</v>
      </c>
      <c r="BI164" s="146">
        <f>SUMIF(AQ155:AQ160,BH164,BI155:BI160)</f>
        <v>0</v>
      </c>
      <c r="BJ164" s="141">
        <f>SUMIF(BG157:BG162,BH164,BJ157:BJ162)</f>
        <v>0</v>
      </c>
      <c r="BK164" s="141">
        <f>SUMIF(BH157:BH162,BI164,BK157:BK162)</f>
        <v>0</v>
      </c>
    </row>
    <row r="165" spans="1:63" x14ac:dyDescent="0.3">
      <c r="A165" s="142" t="s">
        <v>35</v>
      </c>
      <c r="B165" s="142">
        <f>COUNTIF(E155:E160, "Tinggi")</f>
        <v>0</v>
      </c>
      <c r="G165" s="121">
        <v>28</v>
      </c>
      <c r="H165" s="154" t="s">
        <v>28</v>
      </c>
      <c r="I165" s="121">
        <v>0</v>
      </c>
      <c r="J165" s="121">
        <v>1</v>
      </c>
      <c r="K165" s="154" t="s">
        <v>30</v>
      </c>
    </row>
    <row r="166" spans="1:63" x14ac:dyDescent="0.3">
      <c r="G166" s="121">
        <v>29</v>
      </c>
      <c r="H166" s="154" t="s">
        <v>28</v>
      </c>
      <c r="I166" s="121">
        <v>0</v>
      </c>
      <c r="J166" s="121">
        <v>1</v>
      </c>
      <c r="K166" s="154" t="s">
        <v>36</v>
      </c>
      <c r="M166" s="219" t="s">
        <v>270</v>
      </c>
      <c r="N166" s="219"/>
      <c r="O166" s="157" t="s">
        <v>55</v>
      </c>
      <c r="P166" s="123">
        <f>-(U162/U161)*LOG((U162/U161),2)-(0)-(0)</f>
        <v>0</v>
      </c>
      <c r="Q166" s="157" t="s">
        <v>43</v>
      </c>
      <c r="R166" s="123">
        <f>-(V162/V161)*LOG((V162/V161),2)-(V163/V161)*LOG((V163/V161),2)-(0)</f>
        <v>0.9383153522334069</v>
      </c>
      <c r="S166" s="145"/>
      <c r="T166" s="123"/>
    </row>
    <row r="167" spans="1:63" x14ac:dyDescent="0.3">
      <c r="G167" s="121">
        <v>33</v>
      </c>
      <c r="H167" s="154" t="s">
        <v>28</v>
      </c>
      <c r="I167" s="121">
        <v>0</v>
      </c>
      <c r="J167" s="121">
        <v>1</v>
      </c>
      <c r="K167" s="154" t="s">
        <v>36</v>
      </c>
      <c r="M167" s="219" t="s">
        <v>272</v>
      </c>
      <c r="N167" s="219"/>
      <c r="O167" s="157" t="s">
        <v>44</v>
      </c>
      <c r="P167" s="123">
        <f>-(Z162/Z161)*LOG((Z162/Z161),2)-(Z163/Z161)*LOG((Z163/Z161),2)-(0)</f>
        <v>0.98145389503365366</v>
      </c>
      <c r="Q167" s="157" t="s">
        <v>258</v>
      </c>
      <c r="R167" s="123">
        <f>-(AA162/AA161)*LOG((AA162/AA161),2)-(AA163/AA161)*LOG((AA163/AA161),2)-(0)</f>
        <v>0.46899559358928122</v>
      </c>
      <c r="S167" s="157"/>
      <c r="T167" s="123"/>
    </row>
    <row r="168" spans="1:63" x14ac:dyDescent="0.3">
      <c r="G168" s="121">
        <v>34</v>
      </c>
      <c r="H168" s="154" t="s">
        <v>28</v>
      </c>
      <c r="I168" s="121">
        <v>0</v>
      </c>
      <c r="J168" s="121">
        <v>1</v>
      </c>
      <c r="K168" s="154" t="s">
        <v>36</v>
      </c>
      <c r="M168" s="219" t="s">
        <v>273</v>
      </c>
      <c r="N168" s="219"/>
      <c r="O168" s="157" t="s">
        <v>44</v>
      </c>
      <c r="P168" s="123">
        <f>-(AE162/AE161)*LOG((AE162/AE161),2)-(AE163/AE161)*LOG((AE163/AE161),2)-(0)</f>
        <v>0.99815556829130103</v>
      </c>
      <c r="Q168" s="157" t="s">
        <v>47</v>
      </c>
      <c r="R168" s="123">
        <f>-(AF162/AF161)*LOG((AF162/AF161),2)-(AF163/AF161)*LOG((AF163/AF161),2)-(0)</f>
        <v>0.99904912660704648</v>
      </c>
      <c r="S168" s="157"/>
      <c r="T168" s="123"/>
    </row>
    <row r="169" spans="1:63" x14ac:dyDescent="0.3">
      <c r="G169" s="121">
        <v>36</v>
      </c>
      <c r="H169" s="154" t="s">
        <v>28</v>
      </c>
      <c r="I169" s="121">
        <v>0</v>
      </c>
      <c r="J169" s="121">
        <v>1</v>
      </c>
      <c r="K169" s="154" t="s">
        <v>36</v>
      </c>
      <c r="M169" s="219" t="s">
        <v>274</v>
      </c>
      <c r="N169" s="219"/>
      <c r="O169" s="157" t="s">
        <v>25</v>
      </c>
      <c r="P169" s="123">
        <f>-(AK162/AK161)*LOG((AK162/AK161),2)-(AK163/AK161)*LOG((AK163/AK161),2)-(0)</f>
        <v>0.91829583405448956</v>
      </c>
      <c r="Q169" s="157" t="s">
        <v>34</v>
      </c>
      <c r="R169" s="123">
        <f>-(AL162/AL161)*LOG((AL162/AL161),2)-(AL163/AL161)*LOG((AL163/AL161),2)-(0)</f>
        <v>0.91829583405448956</v>
      </c>
      <c r="S169" s="157"/>
      <c r="T169" s="123"/>
    </row>
    <row r="170" spans="1:63" x14ac:dyDescent="0.3">
      <c r="G170" s="121">
        <v>38</v>
      </c>
      <c r="H170" s="154" t="s">
        <v>28</v>
      </c>
      <c r="I170" s="121">
        <v>0</v>
      </c>
      <c r="J170" s="121">
        <v>1</v>
      </c>
      <c r="K170" s="154" t="s">
        <v>30</v>
      </c>
      <c r="M170" s="219" t="s">
        <v>275</v>
      </c>
      <c r="N170" s="219"/>
      <c r="O170" s="157" t="s">
        <v>26</v>
      </c>
      <c r="P170" s="123">
        <f>-(AQ162/AQ161)*LOG((AQ162/AQ161),2)-(0)-(0)</f>
        <v>0</v>
      </c>
      <c r="Q170" s="157" t="s">
        <v>39</v>
      </c>
      <c r="R170" s="123">
        <f ca="1">-(AX162/AX161)*LOG((AX162/AX161),2)-(AX163/AX161)*LOG((AX163/AX161),2)-(0)</f>
        <v>1</v>
      </c>
      <c r="S170" s="157"/>
      <c r="T170" s="123"/>
    </row>
    <row r="171" spans="1:63" x14ac:dyDescent="0.3">
      <c r="G171" s="121">
        <v>41</v>
      </c>
      <c r="H171" s="154" t="s">
        <v>28</v>
      </c>
      <c r="I171" s="121">
        <v>0</v>
      </c>
      <c r="J171" s="121">
        <v>1</v>
      </c>
      <c r="K171" s="154" t="s">
        <v>30</v>
      </c>
      <c r="M171" s="219" t="s">
        <v>276</v>
      </c>
      <c r="N171" s="219"/>
      <c r="O171" s="149" t="s">
        <v>27</v>
      </c>
      <c r="P171" s="123">
        <f>-(AW162/AW161)*LOG((AW162/AW161),2)-(AW163/AW161)*LOG((AW163/AW161),2)-(0)</f>
        <v>1</v>
      </c>
      <c r="Q171" s="149" t="s">
        <v>32</v>
      </c>
      <c r="R171" s="123">
        <f ca="1">-(AX162/AX161)*LOG((AX162/AX161),2)-(AX163/AX161)*LOG((AX163/AX161),2)-(0)</f>
        <v>1</v>
      </c>
      <c r="S171" s="157"/>
      <c r="T171" s="123"/>
    </row>
    <row r="172" spans="1:63" x14ac:dyDescent="0.3">
      <c r="G172" s="121">
        <v>42</v>
      </c>
      <c r="H172" s="154" t="s">
        <v>28</v>
      </c>
      <c r="I172" s="121">
        <v>0</v>
      </c>
      <c r="J172" s="121">
        <v>1</v>
      </c>
      <c r="K172" s="154" t="s">
        <v>30</v>
      </c>
      <c r="M172" s="157" t="s">
        <v>278</v>
      </c>
      <c r="N172" s="157"/>
      <c r="O172" s="157" t="s">
        <v>25</v>
      </c>
      <c r="P172" s="123">
        <f>-(BC162/BC161)*LOG((BC162/BC161),2)-(BC163/BC161)*LOG((BC163/BC161),2)-(0)</f>
        <v>1</v>
      </c>
      <c r="Q172" s="157" t="s">
        <v>34</v>
      </c>
      <c r="R172" s="123">
        <f>-(0)-(0)-(0)</f>
        <v>0</v>
      </c>
      <c r="S172" s="157"/>
      <c r="T172" s="123"/>
    </row>
    <row r="173" spans="1:63" x14ac:dyDescent="0.3">
      <c r="G173" s="121">
        <v>46</v>
      </c>
      <c r="H173" s="154" t="s">
        <v>28</v>
      </c>
      <c r="I173" s="121">
        <v>0</v>
      </c>
      <c r="J173" s="121">
        <v>1</v>
      </c>
      <c r="K173" s="154" t="s">
        <v>36</v>
      </c>
      <c r="M173" s="157" t="s">
        <v>279</v>
      </c>
      <c r="N173" s="157"/>
      <c r="O173" s="157" t="s">
        <v>34</v>
      </c>
      <c r="P173" s="123">
        <f>-(BI162/BI161)*LOG((BI162/BI161),2)-(0)-(0)</f>
        <v>0</v>
      </c>
      <c r="Q173" s="149" t="s">
        <v>29</v>
      </c>
      <c r="R173" s="123">
        <f>-(0)-(BJ163/BJ161)*LOG((BJ163/BJ161),2)-(0)</f>
        <v>0</v>
      </c>
      <c r="S173" s="149" t="s">
        <v>38</v>
      </c>
      <c r="T173" s="123">
        <f>-(0)-(BK163/BK161)*LOG((BK163/BK161),2)-(0)</f>
        <v>0</v>
      </c>
    </row>
    <row r="174" spans="1:63" x14ac:dyDescent="0.3">
      <c r="G174" s="121">
        <v>55</v>
      </c>
      <c r="H174" s="154" t="s">
        <v>28</v>
      </c>
      <c r="I174" s="121">
        <v>0</v>
      </c>
      <c r="J174" s="121">
        <v>1</v>
      </c>
      <c r="K174" s="154" t="s">
        <v>36</v>
      </c>
    </row>
    <row r="175" spans="1:63" x14ac:dyDescent="0.3">
      <c r="G175" s="121">
        <v>57</v>
      </c>
      <c r="H175" s="154" t="s">
        <v>28</v>
      </c>
      <c r="I175" s="121">
        <v>0</v>
      </c>
      <c r="J175" s="121">
        <v>1</v>
      </c>
      <c r="K175" s="154" t="s">
        <v>36</v>
      </c>
      <c r="M175" s="220" t="s">
        <v>261</v>
      </c>
      <c r="N175" s="220"/>
      <c r="O175" s="220"/>
      <c r="P175" s="151">
        <f>-((3/6)*LOG((3/6),2))-((3/6)*LOG((3/6),2))-(0)</f>
        <v>1</v>
      </c>
    </row>
    <row r="176" spans="1:63" x14ac:dyDescent="0.3">
      <c r="I176" t="s">
        <v>64</v>
      </c>
      <c r="J176">
        <f>SUM(J155:J175)</f>
        <v>21</v>
      </c>
      <c r="M176" s="217" t="s">
        <v>65</v>
      </c>
      <c r="N176" s="217"/>
      <c r="O176" s="217"/>
      <c r="P176" s="151">
        <f>(P175)-((U161/6)*P166)-((V161/6)*R166)</f>
        <v>0.27280560201910964</v>
      </c>
    </row>
    <row r="177" spans="1:19" x14ac:dyDescent="0.3">
      <c r="M177" s="217" t="s">
        <v>263</v>
      </c>
      <c r="N177" s="217"/>
      <c r="O177" s="217"/>
      <c r="P177" s="151">
        <f>(P175)-((Z161/6)*P167)-((AA161/6)*R167)</f>
        <v>0.10395582187374178</v>
      </c>
    </row>
    <row r="178" spans="1:19" x14ac:dyDescent="0.3">
      <c r="M178" s="217" t="s">
        <v>67</v>
      </c>
      <c r="N178" s="217"/>
      <c r="O178" s="217"/>
      <c r="P178" s="151">
        <f>(P175)-((AE161/6)*P168)-((AF161/6)*R168)</f>
        <v>1.3243415362691469E-3</v>
      </c>
    </row>
    <row r="179" spans="1:19" x14ac:dyDescent="0.3">
      <c r="M179" s="217" t="s">
        <v>264</v>
      </c>
      <c r="N179" s="217"/>
      <c r="O179" s="217"/>
      <c r="P179" s="151">
        <f>(P175)-((AK161/6)*P169)-((AL161/6)*R169)</f>
        <v>8.1704165945510443E-2</v>
      </c>
    </row>
    <row r="180" spans="1:19" x14ac:dyDescent="0.3">
      <c r="M180" s="217" t="s">
        <v>265</v>
      </c>
      <c r="N180" s="217"/>
      <c r="O180" s="217"/>
      <c r="P180" s="151">
        <f ca="1">(P175)-((AQ161/6)*P170)-((AR161/6)*R170)</f>
        <v>0.16666666666666663</v>
      </c>
    </row>
    <row r="181" spans="1:19" x14ac:dyDescent="0.3">
      <c r="M181" s="217" t="s">
        <v>266</v>
      </c>
      <c r="N181" s="217"/>
      <c r="O181" s="217"/>
      <c r="P181" s="151">
        <f ca="1">(P175)-((AW161/6)*P171)-((AX161/6)*R171)</f>
        <v>0</v>
      </c>
    </row>
    <row r="182" spans="1:19" x14ac:dyDescent="0.3">
      <c r="M182" s="217" t="s">
        <v>268</v>
      </c>
      <c r="N182" s="217"/>
      <c r="O182" s="217"/>
      <c r="P182" s="151">
        <f>(P175)-((BC161/6)*P172)-((BD161/6)*R172)</f>
        <v>0</v>
      </c>
    </row>
    <row r="183" spans="1:19" x14ac:dyDescent="0.3">
      <c r="M183" s="218" t="s">
        <v>269</v>
      </c>
      <c r="N183" s="218"/>
      <c r="O183" s="218"/>
      <c r="P183" s="152">
        <f>(P175)-((BI161/6)*P173)-((BJ161/6)*R173)-((BK161/6)*T173)</f>
        <v>1</v>
      </c>
    </row>
    <row r="184" spans="1:19" x14ac:dyDescent="0.3">
      <c r="A184" s="121" t="s">
        <v>77</v>
      </c>
      <c r="B184" s="139" t="s">
        <v>260</v>
      </c>
      <c r="C184" s="154" t="s">
        <v>34</v>
      </c>
      <c r="D184" s="139" t="s">
        <v>66</v>
      </c>
      <c r="F184" s="121" t="s">
        <v>77</v>
      </c>
      <c r="G184" s="139" t="s">
        <v>260</v>
      </c>
      <c r="H184" s="154" t="s">
        <v>29</v>
      </c>
      <c r="I184" s="139" t="s">
        <v>66</v>
      </c>
    </row>
    <row r="185" spans="1:19" x14ac:dyDescent="0.3">
      <c r="A185" s="121">
        <v>9</v>
      </c>
      <c r="B185" s="154" t="s">
        <v>34</v>
      </c>
      <c r="C185" s="121">
        <v>1</v>
      </c>
      <c r="D185" s="154" t="s">
        <v>36</v>
      </c>
      <c r="F185" s="121">
        <v>24</v>
      </c>
      <c r="G185" s="154" t="s">
        <v>29</v>
      </c>
      <c r="H185" s="121">
        <v>1</v>
      </c>
      <c r="I185" s="154" t="s">
        <v>30</v>
      </c>
    </row>
    <row r="186" spans="1:19" x14ac:dyDescent="0.3">
      <c r="A186" s="121">
        <v>32</v>
      </c>
      <c r="B186" s="154" t="s">
        <v>34</v>
      </c>
      <c r="C186" s="121">
        <v>1</v>
      </c>
      <c r="D186" s="154" t="s">
        <v>36</v>
      </c>
      <c r="F186" s="121">
        <v>58</v>
      </c>
      <c r="G186" s="154" t="s">
        <v>29</v>
      </c>
      <c r="H186" s="121">
        <v>1</v>
      </c>
      <c r="I186" s="154" t="s">
        <v>30</v>
      </c>
      <c r="K186" s="121" t="s">
        <v>77</v>
      </c>
      <c r="L186" s="139" t="s">
        <v>260</v>
      </c>
      <c r="M186" s="154" t="s">
        <v>38</v>
      </c>
      <c r="N186" s="139" t="s">
        <v>66</v>
      </c>
      <c r="P186" s="155" t="s">
        <v>283</v>
      </c>
      <c r="Q186" s="153">
        <v>0.7</v>
      </c>
    </row>
    <row r="187" spans="1:19" x14ac:dyDescent="0.3">
      <c r="A187" s="121">
        <v>51</v>
      </c>
      <c r="B187" s="154" t="s">
        <v>34</v>
      </c>
      <c r="C187" s="121">
        <v>1</v>
      </c>
      <c r="D187" s="154" t="s">
        <v>36</v>
      </c>
      <c r="G187" t="s">
        <v>64</v>
      </c>
      <c r="H187">
        <f>SUM(H185:H186)</f>
        <v>2</v>
      </c>
      <c r="K187" s="121">
        <v>19</v>
      </c>
      <c r="L187" s="154" t="s">
        <v>38</v>
      </c>
      <c r="M187" s="121">
        <v>1</v>
      </c>
      <c r="N187" s="154" t="s">
        <v>30</v>
      </c>
    </row>
    <row r="188" spans="1:19" x14ac:dyDescent="0.3">
      <c r="B188" s="126" t="s">
        <v>64</v>
      </c>
      <c r="C188">
        <f>SUM(C185:C187)</f>
        <v>3</v>
      </c>
      <c r="L188" t="s">
        <v>64</v>
      </c>
      <c r="M188">
        <v>1</v>
      </c>
    </row>
    <row r="189" spans="1:19" x14ac:dyDescent="0.3">
      <c r="P189" s="128" t="s">
        <v>286</v>
      </c>
      <c r="Q189" s="119"/>
      <c r="R189" s="119"/>
      <c r="S189" s="128" t="s">
        <v>282</v>
      </c>
    </row>
    <row r="190" spans="1:19" x14ac:dyDescent="0.3">
      <c r="A190" s="142" t="s">
        <v>36</v>
      </c>
      <c r="B190" s="142">
        <v>3</v>
      </c>
      <c r="P190" s="30" t="s">
        <v>130</v>
      </c>
      <c r="Q190" s="30" t="s">
        <v>36</v>
      </c>
      <c r="R190" s="30">
        <f>SUMIF(D185:D187,Q190,C185:C187)</f>
        <v>3</v>
      </c>
      <c r="S190" s="30">
        <f>((R190)/(C188))*(100)</f>
        <v>100</v>
      </c>
    </row>
    <row r="191" spans="1:19" x14ac:dyDescent="0.3">
      <c r="A191" s="142" t="s">
        <v>30</v>
      </c>
      <c r="B191" s="142">
        <v>0</v>
      </c>
      <c r="P191" s="119"/>
      <c r="Q191" s="119" t="s">
        <v>30</v>
      </c>
      <c r="R191" s="90">
        <f>SUMIF(D185:D187,Q191,C185:C187)</f>
        <v>0</v>
      </c>
      <c r="S191" s="90">
        <f>((R191)/(C188))*(100)</f>
        <v>0</v>
      </c>
    </row>
    <row r="192" spans="1:19" x14ac:dyDescent="0.3">
      <c r="A192" s="142" t="s">
        <v>35</v>
      </c>
      <c r="B192" s="142">
        <v>0</v>
      </c>
      <c r="P192" s="119"/>
      <c r="Q192" s="119" t="s">
        <v>35</v>
      </c>
      <c r="R192" s="90">
        <f>SUMIF(D185:D187,Q192,C185:C187)</f>
        <v>0</v>
      </c>
      <c r="S192" s="90">
        <f>((R192)/(C188))*(100)</f>
        <v>0</v>
      </c>
    </row>
    <row r="193" spans="16:19" x14ac:dyDescent="0.3">
      <c r="P193" s="119"/>
      <c r="Q193" s="119"/>
      <c r="R193" s="119"/>
      <c r="S193" s="119"/>
    </row>
    <row r="194" spans="16:19" x14ac:dyDescent="0.3">
      <c r="P194" s="119"/>
      <c r="Q194" s="119"/>
      <c r="R194" s="119"/>
      <c r="S194" s="119"/>
    </row>
    <row r="195" spans="16:19" x14ac:dyDescent="0.3">
      <c r="P195" s="128" t="s">
        <v>287</v>
      </c>
      <c r="Q195" s="119"/>
      <c r="R195" s="119"/>
      <c r="S195" s="128" t="s">
        <v>282</v>
      </c>
    </row>
    <row r="196" spans="16:19" x14ac:dyDescent="0.3">
      <c r="P196" s="119" t="s">
        <v>130</v>
      </c>
      <c r="Q196" s="119" t="s">
        <v>36</v>
      </c>
      <c r="R196" s="119">
        <f>SUMIF(I185:I186,Q196,H185:H186)</f>
        <v>0</v>
      </c>
      <c r="S196" s="119">
        <f>((R196)/(H187))*(100)</f>
        <v>0</v>
      </c>
    </row>
    <row r="197" spans="16:19" x14ac:dyDescent="0.3">
      <c r="P197" s="119"/>
      <c r="Q197" s="30" t="s">
        <v>30</v>
      </c>
      <c r="R197" s="30">
        <f>SUMIF(I185:I186,Q197,H185:H186)</f>
        <v>2</v>
      </c>
      <c r="S197" s="30">
        <f>((R197)/(H187))*(100)</f>
        <v>100</v>
      </c>
    </row>
    <row r="198" spans="16:19" x14ac:dyDescent="0.3">
      <c r="P198" s="119"/>
      <c r="Q198" s="119" t="s">
        <v>35</v>
      </c>
      <c r="R198" s="119">
        <f>SUMIF(I185:I186,Q198,H185:H186)</f>
        <v>0</v>
      </c>
      <c r="S198" s="119">
        <f>((R198)/(H187))*(100)</f>
        <v>0</v>
      </c>
    </row>
    <row r="200" spans="16:19" x14ac:dyDescent="0.3">
      <c r="P200" s="128" t="s">
        <v>288</v>
      </c>
    </row>
    <row r="201" spans="16:19" x14ac:dyDescent="0.3">
      <c r="P201" s="119" t="s">
        <v>130</v>
      </c>
      <c r="Q201" s="90" t="s">
        <v>36</v>
      </c>
      <c r="R201" s="90">
        <f>SUMIF(N187,Q201,M187)</f>
        <v>0</v>
      </c>
      <c r="S201" s="90">
        <v>0</v>
      </c>
    </row>
    <row r="202" spans="16:19" x14ac:dyDescent="0.3">
      <c r="P202" s="119"/>
      <c r="Q202" s="30" t="s">
        <v>30</v>
      </c>
      <c r="R202" s="30">
        <f>SUMIF(N187,Q202,M187)</f>
        <v>1</v>
      </c>
      <c r="S202" s="30">
        <v>100</v>
      </c>
    </row>
    <row r="203" spans="16:19" x14ac:dyDescent="0.3">
      <c r="P203" s="119"/>
      <c r="Q203" s="119" t="s">
        <v>35</v>
      </c>
      <c r="R203" s="90">
        <f>SUMIF(N187,Q203,M187)</f>
        <v>0</v>
      </c>
      <c r="S203" s="90">
        <v>0</v>
      </c>
    </row>
    <row r="210" spans="6:64" x14ac:dyDescent="0.3">
      <c r="F210" s="139" t="s">
        <v>77</v>
      </c>
      <c r="G210" s="139" t="s">
        <v>64</v>
      </c>
      <c r="H210" s="139" t="s">
        <v>256</v>
      </c>
      <c r="I210" s="139" t="s">
        <v>66</v>
      </c>
      <c r="N210" s="139" t="s">
        <v>66</v>
      </c>
      <c r="O210" s="139" t="s">
        <v>77</v>
      </c>
      <c r="P210" s="139" t="s">
        <v>4</v>
      </c>
      <c r="Q210" s="139" t="s">
        <v>55</v>
      </c>
      <c r="R210" s="139" t="s">
        <v>43</v>
      </c>
      <c r="T210" s="139" t="s">
        <v>77</v>
      </c>
      <c r="U210" s="139" t="s">
        <v>56</v>
      </c>
      <c r="V210" s="139" t="s">
        <v>44</v>
      </c>
      <c r="W210" s="139" t="s">
        <v>258</v>
      </c>
      <c r="Y210" s="139" t="s">
        <v>10</v>
      </c>
      <c r="Z210" s="139" t="s">
        <v>44</v>
      </c>
      <c r="AA210" s="139" t="s">
        <v>47</v>
      </c>
      <c r="AB210" s="119"/>
      <c r="AC210" s="139" t="s">
        <v>11</v>
      </c>
      <c r="AD210" s="139" t="s">
        <v>259</v>
      </c>
      <c r="AE210" s="139" t="s">
        <v>25</v>
      </c>
      <c r="AF210" s="139" t="s">
        <v>34</v>
      </c>
      <c r="AH210" s="139" t="s">
        <v>48</v>
      </c>
      <c r="AI210" s="139" t="s">
        <v>259</v>
      </c>
      <c r="AJ210" s="139" t="s">
        <v>26</v>
      </c>
      <c r="AK210" s="139" t="s">
        <v>39</v>
      </c>
      <c r="AL210" s="119"/>
      <c r="AM210" s="139" t="s">
        <v>13</v>
      </c>
      <c r="AN210" s="139" t="s">
        <v>259</v>
      </c>
      <c r="AO210" s="166" t="s">
        <v>27</v>
      </c>
      <c r="AP210" s="166" t="s">
        <v>32</v>
      </c>
      <c r="AQ210" s="119"/>
      <c r="AR210" s="139" t="s">
        <v>52</v>
      </c>
      <c r="AS210" s="142" t="s">
        <v>259</v>
      </c>
      <c r="AT210" s="166" t="s">
        <v>28</v>
      </c>
      <c r="AU210" s="166" t="s">
        <v>33</v>
      </c>
      <c r="AW210" s="139" t="s">
        <v>77</v>
      </c>
      <c r="AX210" s="139" t="s">
        <v>15</v>
      </c>
      <c r="AY210" s="139" t="s">
        <v>259</v>
      </c>
      <c r="AZ210" s="139" t="s">
        <v>25</v>
      </c>
      <c r="BA210" s="139" t="s">
        <v>34</v>
      </c>
      <c r="BB210" s="119"/>
      <c r="BC210" s="139" t="s">
        <v>260</v>
      </c>
      <c r="BD210" s="139" t="s">
        <v>259</v>
      </c>
      <c r="BE210" s="158" t="s">
        <v>34</v>
      </c>
      <c r="BF210" s="158" t="s">
        <v>29</v>
      </c>
      <c r="BG210" s="158" t="s">
        <v>38</v>
      </c>
      <c r="BH210" s="139" t="s">
        <v>77</v>
      </c>
      <c r="BI210" s="139" t="s">
        <v>66</v>
      </c>
    </row>
    <row r="211" spans="6:64" x14ac:dyDescent="0.3">
      <c r="F211" s="160">
        <v>1</v>
      </c>
      <c r="G211" s="160">
        <v>215</v>
      </c>
      <c r="H211" s="160">
        <v>0.5</v>
      </c>
      <c r="I211" s="158" t="s">
        <v>30</v>
      </c>
      <c r="N211" s="158" t="s">
        <v>30</v>
      </c>
      <c r="O211" s="160">
        <v>1</v>
      </c>
      <c r="P211" s="158">
        <v>52</v>
      </c>
      <c r="Q211" s="121">
        <v>0</v>
      </c>
      <c r="R211" s="121">
        <v>1</v>
      </c>
      <c r="T211" s="160">
        <v>1</v>
      </c>
      <c r="U211" s="158">
        <v>78</v>
      </c>
      <c r="V211" s="121">
        <v>1</v>
      </c>
      <c r="W211" s="121">
        <v>0</v>
      </c>
      <c r="Y211" s="4">
        <v>23.598931085099178</v>
      </c>
      <c r="Z211" s="121">
        <v>0.37789654610009138</v>
      </c>
      <c r="AA211" s="121">
        <v>0.62210345389990862</v>
      </c>
      <c r="AB211" s="119"/>
      <c r="AC211" s="120" t="s">
        <v>25</v>
      </c>
      <c r="AD211" s="121">
        <v>1</v>
      </c>
      <c r="AE211" s="121">
        <v>1</v>
      </c>
      <c r="AF211" s="121">
        <v>0</v>
      </c>
      <c r="AH211" s="158" t="s">
        <v>26</v>
      </c>
      <c r="AI211" s="121">
        <v>0</v>
      </c>
      <c r="AJ211" s="121">
        <v>0</v>
      </c>
      <c r="AK211" s="121">
        <v>1</v>
      </c>
      <c r="AL211" s="119"/>
      <c r="AM211" s="158" t="s">
        <v>27</v>
      </c>
      <c r="AN211" s="121">
        <v>0</v>
      </c>
      <c r="AO211" s="121">
        <v>0</v>
      </c>
      <c r="AP211" s="121">
        <v>1</v>
      </c>
      <c r="AQ211" s="119"/>
      <c r="AR211" s="158" t="s">
        <v>28</v>
      </c>
      <c r="AS211" s="121">
        <v>0</v>
      </c>
      <c r="AT211" s="121">
        <v>0</v>
      </c>
      <c r="AU211" s="121">
        <v>1</v>
      </c>
      <c r="AW211" s="160">
        <v>1</v>
      </c>
      <c r="AX211" s="158" t="s">
        <v>25</v>
      </c>
      <c r="AY211" s="121">
        <v>1</v>
      </c>
      <c r="AZ211" s="121">
        <v>1</v>
      </c>
      <c r="BA211" s="121">
        <v>0</v>
      </c>
      <c r="BB211" s="119"/>
      <c r="BC211" s="158" t="s">
        <v>29</v>
      </c>
      <c r="BD211" s="121">
        <v>0.5</v>
      </c>
      <c r="BE211" s="121">
        <v>0</v>
      </c>
      <c r="BF211" s="121">
        <v>1</v>
      </c>
      <c r="BG211" s="121">
        <v>0</v>
      </c>
      <c r="BH211" s="160">
        <v>1</v>
      </c>
      <c r="BI211" s="158" t="s">
        <v>30</v>
      </c>
    </row>
    <row r="212" spans="6:64" x14ac:dyDescent="0.3">
      <c r="F212" s="160">
        <v>3</v>
      </c>
      <c r="G212" s="160">
        <v>209</v>
      </c>
      <c r="H212" s="160">
        <v>0.3</v>
      </c>
      <c r="I212" s="158" t="s">
        <v>36</v>
      </c>
      <c r="N212" s="158" t="s">
        <v>36</v>
      </c>
      <c r="O212" s="160">
        <v>3</v>
      </c>
      <c r="P212" s="158">
        <v>56</v>
      </c>
      <c r="Q212" s="121">
        <v>0</v>
      </c>
      <c r="R212" s="121">
        <v>1</v>
      </c>
      <c r="T212" s="160">
        <v>3</v>
      </c>
      <c r="U212" s="158">
        <v>98</v>
      </c>
      <c r="V212" s="121">
        <v>0.2</v>
      </c>
      <c r="W212" s="121">
        <v>0.8</v>
      </c>
      <c r="Y212" s="4">
        <v>26.840928029472394</v>
      </c>
      <c r="Z212" s="121">
        <v>1.76746633919562E-2</v>
      </c>
      <c r="AA212" s="121">
        <v>0.98232533660804378</v>
      </c>
      <c r="AB212" s="119"/>
      <c r="AC212" s="120" t="s">
        <v>25</v>
      </c>
      <c r="AD212" s="121">
        <v>1</v>
      </c>
      <c r="AE212" s="121">
        <v>1</v>
      </c>
      <c r="AF212" s="121">
        <v>0</v>
      </c>
      <c r="AH212" s="158" t="s">
        <v>26</v>
      </c>
      <c r="AI212" s="121">
        <v>0</v>
      </c>
      <c r="AJ212" s="121">
        <v>0</v>
      </c>
      <c r="AK212" s="121">
        <v>1</v>
      </c>
      <c r="AL212" s="119"/>
      <c r="AM212" s="158" t="s">
        <v>27</v>
      </c>
      <c r="AN212" s="121">
        <v>0</v>
      </c>
      <c r="AO212" s="121">
        <v>0</v>
      </c>
      <c r="AP212" s="121">
        <v>1</v>
      </c>
      <c r="AQ212" s="119"/>
      <c r="AR212" s="158" t="s">
        <v>28</v>
      </c>
      <c r="AS212" s="121">
        <v>0</v>
      </c>
      <c r="AT212" s="121">
        <v>0</v>
      </c>
      <c r="AU212" s="121">
        <v>1</v>
      </c>
      <c r="AW212" s="160">
        <v>3</v>
      </c>
      <c r="AX212" s="158" t="s">
        <v>25</v>
      </c>
      <c r="AY212" s="121">
        <v>1</v>
      </c>
      <c r="AZ212" s="121">
        <v>1</v>
      </c>
      <c r="BA212" s="121">
        <v>0</v>
      </c>
      <c r="BB212" s="119"/>
      <c r="BC212" s="158" t="s">
        <v>34</v>
      </c>
      <c r="BD212" s="121">
        <v>0</v>
      </c>
      <c r="BE212" s="121">
        <v>1</v>
      </c>
      <c r="BF212" s="121">
        <v>0</v>
      </c>
      <c r="BG212" s="121">
        <v>0</v>
      </c>
      <c r="BH212" s="160">
        <v>3</v>
      </c>
      <c r="BI212" s="158" t="s">
        <v>36</v>
      </c>
    </row>
    <row r="213" spans="6:64" x14ac:dyDescent="0.3">
      <c r="F213" s="160">
        <v>4</v>
      </c>
      <c r="G213" s="160">
        <v>245</v>
      </c>
      <c r="H213" s="160">
        <v>0.625</v>
      </c>
      <c r="I213" s="158" t="s">
        <v>30</v>
      </c>
      <c r="N213" s="158" t="s">
        <v>30</v>
      </c>
      <c r="O213" s="160">
        <v>4</v>
      </c>
      <c r="P213" s="158">
        <v>51</v>
      </c>
      <c r="Q213" s="121">
        <v>0</v>
      </c>
      <c r="R213" s="121">
        <v>1</v>
      </c>
      <c r="T213" s="160">
        <v>4</v>
      </c>
      <c r="U213" s="158">
        <v>98</v>
      </c>
      <c r="V213" s="121">
        <v>0.2</v>
      </c>
      <c r="W213" s="121">
        <v>0.8</v>
      </c>
      <c r="Y213" s="4">
        <v>28.356290174471997</v>
      </c>
      <c r="Z213" s="121">
        <v>0</v>
      </c>
      <c r="AA213" s="121">
        <v>1</v>
      </c>
      <c r="AB213" s="119"/>
      <c r="AC213" s="120" t="s">
        <v>25</v>
      </c>
      <c r="AD213" s="121">
        <v>1</v>
      </c>
      <c r="AE213" s="121">
        <v>1</v>
      </c>
      <c r="AF213" s="121">
        <v>0</v>
      </c>
      <c r="AH213" s="158" t="s">
        <v>26</v>
      </c>
      <c r="AI213" s="121">
        <v>0</v>
      </c>
      <c r="AJ213" s="121">
        <v>0</v>
      </c>
      <c r="AK213" s="121">
        <v>1</v>
      </c>
      <c r="AL213" s="119"/>
      <c r="AM213" s="158" t="s">
        <v>27</v>
      </c>
      <c r="AN213" s="121">
        <v>0</v>
      </c>
      <c r="AO213" s="121">
        <v>0</v>
      </c>
      <c r="AP213" s="121">
        <v>1</v>
      </c>
      <c r="AQ213" s="119"/>
      <c r="AR213" s="158" t="s">
        <v>33</v>
      </c>
      <c r="AS213" s="121">
        <v>1</v>
      </c>
      <c r="AT213" s="121">
        <v>1</v>
      </c>
      <c r="AU213" s="121">
        <v>0</v>
      </c>
      <c r="AW213" s="160">
        <v>4</v>
      </c>
      <c r="AX213" s="158" t="s">
        <v>31</v>
      </c>
      <c r="AY213" s="121">
        <v>0</v>
      </c>
      <c r="AZ213" s="121">
        <v>0</v>
      </c>
      <c r="BA213" s="121">
        <v>1</v>
      </c>
      <c r="BB213" s="119"/>
      <c r="BC213" s="158" t="s">
        <v>34</v>
      </c>
      <c r="BD213" s="121">
        <v>0</v>
      </c>
      <c r="BE213" s="121">
        <v>1</v>
      </c>
      <c r="BF213" s="121">
        <v>0</v>
      </c>
      <c r="BG213" s="121">
        <v>0</v>
      </c>
      <c r="BH213" s="160">
        <v>4</v>
      </c>
      <c r="BI213" s="158" t="s">
        <v>30</v>
      </c>
    </row>
    <row r="214" spans="6:64" x14ac:dyDescent="0.3">
      <c r="F214" s="160">
        <v>5</v>
      </c>
      <c r="G214" s="160">
        <v>236</v>
      </c>
      <c r="H214" s="160">
        <v>0.85</v>
      </c>
      <c r="I214" s="158" t="s">
        <v>30</v>
      </c>
      <c r="N214" s="158" t="s">
        <v>30</v>
      </c>
      <c r="O214" s="160">
        <v>5</v>
      </c>
      <c r="P214" s="158">
        <v>71</v>
      </c>
      <c r="Q214" s="121">
        <v>0</v>
      </c>
      <c r="R214" s="121">
        <v>1</v>
      </c>
      <c r="T214" s="160">
        <v>5</v>
      </c>
      <c r="U214" s="158">
        <v>88</v>
      </c>
      <c r="V214" s="121">
        <v>1</v>
      </c>
      <c r="W214" s="121">
        <v>0</v>
      </c>
      <c r="Y214" s="4">
        <v>27.531908650789774</v>
      </c>
      <c r="Z214" s="121">
        <v>0</v>
      </c>
      <c r="AA214" s="121">
        <v>1</v>
      </c>
      <c r="AB214" s="119"/>
      <c r="AC214" s="120" t="s">
        <v>31</v>
      </c>
      <c r="AD214" s="121">
        <v>0</v>
      </c>
      <c r="AE214" s="121">
        <v>0</v>
      </c>
      <c r="AF214" s="121">
        <v>1</v>
      </c>
      <c r="AH214" s="158" t="s">
        <v>26</v>
      </c>
      <c r="AI214" s="121">
        <v>0</v>
      </c>
      <c r="AJ214" s="121">
        <v>0</v>
      </c>
      <c r="AK214" s="121">
        <v>1</v>
      </c>
      <c r="AL214" s="119"/>
      <c r="AM214" s="158" t="s">
        <v>32</v>
      </c>
      <c r="AN214" s="121">
        <v>1</v>
      </c>
      <c r="AO214" s="121">
        <v>1</v>
      </c>
      <c r="AP214" s="121">
        <v>0</v>
      </c>
      <c r="AQ214" s="119"/>
      <c r="AR214" s="158" t="s">
        <v>33</v>
      </c>
      <c r="AS214" s="121">
        <v>1</v>
      </c>
      <c r="AT214" s="121">
        <v>1</v>
      </c>
      <c r="AU214" s="121">
        <v>0</v>
      </c>
      <c r="AW214" s="160">
        <v>5</v>
      </c>
      <c r="AX214" s="158" t="s">
        <v>25</v>
      </c>
      <c r="AY214" s="121">
        <v>1</v>
      </c>
      <c r="AZ214" s="121">
        <v>1</v>
      </c>
      <c r="BA214" s="121">
        <v>0</v>
      </c>
      <c r="BB214" s="119"/>
      <c r="BC214" s="158" t="s">
        <v>38</v>
      </c>
      <c r="BD214" s="121">
        <v>1</v>
      </c>
      <c r="BE214" s="121">
        <v>0</v>
      </c>
      <c r="BF214" s="121">
        <v>0</v>
      </c>
      <c r="BG214" s="121">
        <v>1</v>
      </c>
      <c r="BH214" s="160">
        <v>5</v>
      </c>
      <c r="BI214" s="158" t="s">
        <v>30</v>
      </c>
    </row>
    <row r="215" spans="6:64" x14ac:dyDescent="0.3">
      <c r="F215" s="160">
        <v>7</v>
      </c>
      <c r="G215" s="160">
        <v>266</v>
      </c>
      <c r="H215" s="160">
        <v>0.1</v>
      </c>
      <c r="I215" s="158" t="s">
        <v>35</v>
      </c>
      <c r="N215" s="158" t="s">
        <v>35</v>
      </c>
      <c r="O215" s="160">
        <v>7</v>
      </c>
      <c r="P215" s="158">
        <v>55</v>
      </c>
      <c r="Q215" s="121">
        <v>0</v>
      </c>
      <c r="R215" s="121">
        <v>1</v>
      </c>
      <c r="T215" s="160">
        <v>7</v>
      </c>
      <c r="U215" s="158">
        <v>97</v>
      </c>
      <c r="V215" s="121">
        <v>0.3</v>
      </c>
      <c r="W215" s="121">
        <v>0.7</v>
      </c>
      <c r="Y215" s="4">
        <v>27.695595003287313</v>
      </c>
      <c r="Z215" s="121">
        <v>0</v>
      </c>
      <c r="AA215" s="121">
        <v>1</v>
      </c>
      <c r="AB215" s="119"/>
      <c r="AC215" s="120" t="s">
        <v>31</v>
      </c>
      <c r="AD215" s="121">
        <v>0</v>
      </c>
      <c r="AE215" s="121">
        <v>0</v>
      </c>
      <c r="AF215" s="121">
        <v>1</v>
      </c>
      <c r="AH215" s="158" t="s">
        <v>26</v>
      </c>
      <c r="AI215" s="121">
        <v>0</v>
      </c>
      <c r="AJ215" s="121">
        <v>0</v>
      </c>
      <c r="AK215" s="121">
        <v>1</v>
      </c>
      <c r="AL215" s="119"/>
      <c r="AM215" s="158" t="s">
        <v>27</v>
      </c>
      <c r="AN215" s="121">
        <v>0</v>
      </c>
      <c r="AO215" s="121">
        <v>0</v>
      </c>
      <c r="AP215" s="121">
        <v>1</v>
      </c>
      <c r="AQ215" s="119"/>
      <c r="AR215" s="158" t="s">
        <v>28</v>
      </c>
      <c r="AS215" s="121">
        <v>0</v>
      </c>
      <c r="AT215" s="121">
        <v>0</v>
      </c>
      <c r="AU215" s="121">
        <v>1</v>
      </c>
      <c r="AW215" s="160">
        <v>7</v>
      </c>
      <c r="AX215" s="158" t="s">
        <v>25</v>
      </c>
      <c r="AY215" s="121">
        <v>1</v>
      </c>
      <c r="AZ215" s="121">
        <v>1</v>
      </c>
      <c r="BA215" s="121">
        <v>0</v>
      </c>
      <c r="BB215" s="119"/>
      <c r="BC215" s="158" t="s">
        <v>29</v>
      </c>
      <c r="BD215" s="121">
        <v>0.5</v>
      </c>
      <c r="BE215" s="121">
        <v>0</v>
      </c>
      <c r="BF215" s="121">
        <v>1</v>
      </c>
      <c r="BG215" s="121">
        <v>0</v>
      </c>
      <c r="BH215" s="160">
        <v>7</v>
      </c>
      <c r="BI215" s="158" t="s">
        <v>35</v>
      </c>
      <c r="BK215" s="139" t="s">
        <v>77</v>
      </c>
      <c r="BL215" s="139" t="s">
        <v>77</v>
      </c>
    </row>
    <row r="216" spans="6:64" x14ac:dyDescent="0.3">
      <c r="F216" s="160">
        <v>9</v>
      </c>
      <c r="G216" s="160">
        <v>212</v>
      </c>
      <c r="H216" s="160">
        <v>0.4</v>
      </c>
      <c r="I216" s="158" t="s">
        <v>36</v>
      </c>
      <c r="N216" s="158" t="s">
        <v>36</v>
      </c>
      <c r="O216" s="160">
        <v>9</v>
      </c>
      <c r="P216" s="158">
        <v>55</v>
      </c>
      <c r="Q216" s="121">
        <v>0</v>
      </c>
      <c r="R216" s="121">
        <v>1</v>
      </c>
      <c r="T216" s="160">
        <v>9</v>
      </c>
      <c r="U216" s="158">
        <v>72</v>
      </c>
      <c r="V216" s="121">
        <v>1</v>
      </c>
      <c r="W216" s="121">
        <v>0</v>
      </c>
      <c r="Y216" s="4">
        <v>19.522405912255973</v>
      </c>
      <c r="Z216" s="121">
        <v>0.83084378752711407</v>
      </c>
      <c r="AA216" s="121">
        <v>0.1691562124728859</v>
      </c>
      <c r="AB216" s="119"/>
      <c r="AC216" s="120" t="s">
        <v>31</v>
      </c>
      <c r="AD216" s="121">
        <v>0</v>
      </c>
      <c r="AE216" s="121">
        <v>0</v>
      </c>
      <c r="AF216" s="121">
        <v>1</v>
      </c>
      <c r="AH216" s="158" t="s">
        <v>26</v>
      </c>
      <c r="AI216" s="121">
        <v>0</v>
      </c>
      <c r="AJ216" s="121">
        <v>0</v>
      </c>
      <c r="AK216" s="121">
        <v>1</v>
      </c>
      <c r="AL216" s="119"/>
      <c r="AM216" s="158" t="s">
        <v>27</v>
      </c>
      <c r="AN216" s="121">
        <v>0</v>
      </c>
      <c r="AO216" s="121">
        <v>0</v>
      </c>
      <c r="AP216" s="121">
        <v>1</v>
      </c>
      <c r="AQ216" s="119"/>
      <c r="AR216" s="158" t="s">
        <v>33</v>
      </c>
      <c r="AS216" s="121">
        <v>1</v>
      </c>
      <c r="AT216" s="121">
        <v>1</v>
      </c>
      <c r="AU216" s="121">
        <v>0</v>
      </c>
      <c r="AW216" s="160">
        <v>9</v>
      </c>
      <c r="AX216" s="158" t="s">
        <v>25</v>
      </c>
      <c r="AY216" s="121">
        <v>1</v>
      </c>
      <c r="AZ216" s="121">
        <v>1</v>
      </c>
      <c r="BA216" s="121">
        <v>0</v>
      </c>
      <c r="BB216" s="119"/>
      <c r="BC216" s="158" t="s">
        <v>34</v>
      </c>
      <c r="BD216" s="121">
        <v>0</v>
      </c>
      <c r="BE216" s="121">
        <v>1</v>
      </c>
      <c r="BF216" s="121">
        <v>0</v>
      </c>
      <c r="BG216" s="121">
        <v>0</v>
      </c>
      <c r="BH216" s="160">
        <v>9</v>
      </c>
      <c r="BI216" s="158" t="s">
        <v>36</v>
      </c>
      <c r="BK216" s="160">
        <v>3</v>
      </c>
      <c r="BL216" s="160">
        <v>1</v>
      </c>
    </row>
    <row r="217" spans="6:64" x14ac:dyDescent="0.3">
      <c r="F217" s="160">
        <v>10</v>
      </c>
      <c r="G217" s="160">
        <v>239</v>
      </c>
      <c r="H217" s="160">
        <v>0.77500000000000002</v>
      </c>
      <c r="I217" s="158" t="s">
        <v>30</v>
      </c>
      <c r="N217" s="158" t="s">
        <v>30</v>
      </c>
      <c r="O217" s="160">
        <v>10</v>
      </c>
      <c r="P217" s="158">
        <v>57</v>
      </c>
      <c r="Q217" s="121">
        <v>0</v>
      </c>
      <c r="R217" s="121">
        <v>1</v>
      </c>
      <c r="T217" s="160">
        <v>10</v>
      </c>
      <c r="U217" s="158">
        <v>105</v>
      </c>
      <c r="V217" s="121">
        <v>0</v>
      </c>
      <c r="W217" s="121">
        <v>1</v>
      </c>
      <c r="Y217" s="4">
        <v>26.805411030176899</v>
      </c>
      <c r="Z217" s="121">
        <v>2.1620996647011264E-2</v>
      </c>
      <c r="AA217" s="121">
        <v>0.97837900335298877</v>
      </c>
      <c r="AB217" s="119"/>
      <c r="AC217" s="120" t="s">
        <v>31</v>
      </c>
      <c r="AD217" s="121">
        <v>0</v>
      </c>
      <c r="AE217" s="121">
        <v>0</v>
      </c>
      <c r="AF217" s="121">
        <v>1</v>
      </c>
      <c r="AH217" s="158" t="s">
        <v>26</v>
      </c>
      <c r="AI217" s="121">
        <v>0</v>
      </c>
      <c r="AJ217" s="121">
        <v>0</v>
      </c>
      <c r="AK217" s="121">
        <v>1</v>
      </c>
      <c r="AL217" s="119"/>
      <c r="AM217" s="158" t="s">
        <v>27</v>
      </c>
      <c r="AN217" s="121">
        <v>0</v>
      </c>
      <c r="AO217" s="121">
        <v>0</v>
      </c>
      <c r="AP217" s="121">
        <v>1</v>
      </c>
      <c r="AQ217" s="119"/>
      <c r="AR217" s="158" t="s">
        <v>33</v>
      </c>
      <c r="AS217" s="121">
        <v>1</v>
      </c>
      <c r="AT217" s="121">
        <v>1</v>
      </c>
      <c r="AU217" s="121">
        <v>0</v>
      </c>
      <c r="AW217" s="160">
        <v>10</v>
      </c>
      <c r="AX217" s="158" t="s">
        <v>31</v>
      </c>
      <c r="AY217" s="121">
        <v>0</v>
      </c>
      <c r="AZ217" s="121">
        <v>0</v>
      </c>
      <c r="BA217" s="121">
        <v>1</v>
      </c>
      <c r="BB217" s="119"/>
      <c r="BC217" s="158" t="s">
        <v>34</v>
      </c>
      <c r="BD217" s="121">
        <v>0</v>
      </c>
      <c r="BE217" s="121">
        <v>1</v>
      </c>
      <c r="BF217" s="121">
        <v>0</v>
      </c>
      <c r="BG217" s="121">
        <v>0</v>
      </c>
      <c r="BH217" s="160">
        <v>10</v>
      </c>
      <c r="BI217" s="158" t="s">
        <v>30</v>
      </c>
      <c r="BK217" s="160">
        <v>4</v>
      </c>
      <c r="BL217" s="160">
        <v>7</v>
      </c>
    </row>
    <row r="218" spans="6:64" x14ac:dyDescent="0.3">
      <c r="F218" s="160">
        <v>13</v>
      </c>
      <c r="G218" s="160">
        <v>231</v>
      </c>
      <c r="H218" s="160">
        <v>0.97499999999999998</v>
      </c>
      <c r="I218" s="158" t="s">
        <v>30</v>
      </c>
      <c r="N218" s="158" t="s">
        <v>30</v>
      </c>
      <c r="O218" s="160">
        <v>13</v>
      </c>
      <c r="P218" s="158">
        <v>52</v>
      </c>
      <c r="Q218" s="121">
        <v>0</v>
      </c>
      <c r="R218" s="121">
        <v>1</v>
      </c>
      <c r="T218" s="160">
        <v>13</v>
      </c>
      <c r="U218" s="158">
        <v>85</v>
      </c>
      <c r="V218" s="121">
        <v>1</v>
      </c>
      <c r="W218" s="121">
        <v>0</v>
      </c>
      <c r="Y218" s="4">
        <v>27.028166638556247</v>
      </c>
      <c r="Z218" s="121">
        <v>0</v>
      </c>
      <c r="AA218" s="121">
        <v>1</v>
      </c>
      <c r="AB218" s="119"/>
      <c r="AC218" s="120" t="s">
        <v>25</v>
      </c>
      <c r="AD218" s="121">
        <v>1</v>
      </c>
      <c r="AE218" s="121">
        <v>1</v>
      </c>
      <c r="AF218" s="121">
        <v>0</v>
      </c>
      <c r="AH218" s="158" t="s">
        <v>26</v>
      </c>
      <c r="AI218" s="121">
        <v>0</v>
      </c>
      <c r="AJ218" s="121">
        <v>0</v>
      </c>
      <c r="AK218" s="121">
        <v>1</v>
      </c>
      <c r="AL218" s="119"/>
      <c r="AM218" s="158" t="s">
        <v>32</v>
      </c>
      <c r="AN218" s="121">
        <v>1</v>
      </c>
      <c r="AO218" s="121">
        <v>1</v>
      </c>
      <c r="AP218" s="121">
        <v>0</v>
      </c>
      <c r="AQ218" s="119"/>
      <c r="AR218" s="158" t="s">
        <v>33</v>
      </c>
      <c r="AS218" s="121">
        <v>1</v>
      </c>
      <c r="AT218" s="121">
        <v>1</v>
      </c>
      <c r="AU218" s="121">
        <v>0</v>
      </c>
      <c r="AW218" s="160">
        <v>13</v>
      </c>
      <c r="AX218" s="158" t="s">
        <v>25</v>
      </c>
      <c r="AY218" s="121">
        <v>1</v>
      </c>
      <c r="AZ218" s="121">
        <v>1</v>
      </c>
      <c r="BA218" s="121">
        <v>0</v>
      </c>
      <c r="BB218" s="119"/>
      <c r="BC218" s="158" t="s">
        <v>29</v>
      </c>
      <c r="BD218" s="121">
        <v>0.5</v>
      </c>
      <c r="BE218" s="121">
        <v>0</v>
      </c>
      <c r="BF218" s="121">
        <v>1</v>
      </c>
      <c r="BG218" s="121">
        <v>0</v>
      </c>
      <c r="BH218" s="160">
        <v>13</v>
      </c>
      <c r="BI218" s="158" t="s">
        <v>30</v>
      </c>
      <c r="BK218" s="160">
        <v>9</v>
      </c>
      <c r="BL218" s="160">
        <v>13</v>
      </c>
    </row>
    <row r="219" spans="6:64" x14ac:dyDescent="0.3">
      <c r="F219" s="160">
        <v>15</v>
      </c>
      <c r="G219" s="160">
        <v>224</v>
      </c>
      <c r="H219" s="160">
        <v>0.8</v>
      </c>
      <c r="I219" s="158" t="s">
        <v>30</v>
      </c>
      <c r="N219" s="158" t="s">
        <v>30</v>
      </c>
      <c r="O219" s="160">
        <v>15</v>
      </c>
      <c r="P219" s="158">
        <v>51</v>
      </c>
      <c r="Q219" s="121">
        <v>0</v>
      </c>
      <c r="R219" s="121">
        <v>1</v>
      </c>
      <c r="T219" s="160">
        <v>15</v>
      </c>
      <c r="U219" s="158">
        <v>84</v>
      </c>
      <c r="V219" s="121">
        <v>1</v>
      </c>
      <c r="W219" s="121">
        <v>0</v>
      </c>
      <c r="Y219" s="4">
        <v>23.319615912208501</v>
      </c>
      <c r="Z219" s="121">
        <v>0.4089315653101665</v>
      </c>
      <c r="AA219" s="121">
        <v>0.5910684346898335</v>
      </c>
      <c r="AB219" s="119"/>
      <c r="AC219" s="120" t="s">
        <v>25</v>
      </c>
      <c r="AD219" s="121">
        <v>1</v>
      </c>
      <c r="AE219" s="121">
        <v>1</v>
      </c>
      <c r="AF219" s="121">
        <v>0</v>
      </c>
      <c r="AH219" s="158" t="s">
        <v>26</v>
      </c>
      <c r="AI219" s="121">
        <v>0</v>
      </c>
      <c r="AJ219" s="121">
        <v>0</v>
      </c>
      <c r="AK219" s="121">
        <v>1</v>
      </c>
      <c r="AL219" s="119"/>
      <c r="AM219" s="158" t="s">
        <v>27</v>
      </c>
      <c r="AN219" s="121">
        <v>0</v>
      </c>
      <c r="AO219" s="121">
        <v>0</v>
      </c>
      <c r="AP219" s="121">
        <v>1</v>
      </c>
      <c r="AQ219" s="119"/>
      <c r="AR219" s="158" t="s">
        <v>28</v>
      </c>
      <c r="AS219" s="121">
        <v>0</v>
      </c>
      <c r="AT219" s="121">
        <v>0</v>
      </c>
      <c r="AU219" s="121">
        <v>1</v>
      </c>
      <c r="AW219" s="160">
        <v>15</v>
      </c>
      <c r="AX219" s="158" t="s">
        <v>25</v>
      </c>
      <c r="AY219" s="121">
        <v>1</v>
      </c>
      <c r="AZ219" s="121">
        <v>1</v>
      </c>
      <c r="BA219" s="121">
        <v>0</v>
      </c>
      <c r="BB219" s="119"/>
      <c r="BC219" s="158" t="s">
        <v>38</v>
      </c>
      <c r="BD219" s="121">
        <v>1</v>
      </c>
      <c r="BE219" s="121">
        <v>0</v>
      </c>
      <c r="BF219" s="121">
        <v>0</v>
      </c>
      <c r="BG219" s="121">
        <v>1</v>
      </c>
      <c r="BH219" s="160">
        <v>15</v>
      </c>
      <c r="BI219" s="158" t="s">
        <v>30</v>
      </c>
      <c r="BK219" s="160">
        <v>10</v>
      </c>
      <c r="BL219" s="160">
        <v>17</v>
      </c>
    </row>
    <row r="220" spans="6:64" x14ac:dyDescent="0.3">
      <c r="F220" s="160">
        <v>17</v>
      </c>
      <c r="G220" s="160">
        <v>217</v>
      </c>
      <c r="H220" s="160">
        <v>0.56666666666666665</v>
      </c>
      <c r="I220" s="158" t="s">
        <v>30</v>
      </c>
      <c r="N220" s="158" t="s">
        <v>30</v>
      </c>
      <c r="O220" s="160">
        <v>17</v>
      </c>
      <c r="P220" s="158">
        <v>69</v>
      </c>
      <c r="Q220" s="121">
        <v>0</v>
      </c>
      <c r="R220" s="121">
        <v>1</v>
      </c>
      <c r="T220" s="160">
        <v>17</v>
      </c>
      <c r="U220" s="158">
        <v>81</v>
      </c>
      <c r="V220" s="121">
        <v>1</v>
      </c>
      <c r="W220" s="121">
        <v>0</v>
      </c>
      <c r="Y220" s="4">
        <v>19.421700090977414</v>
      </c>
      <c r="Z220" s="121">
        <v>0.84203332322473179</v>
      </c>
      <c r="AA220" s="121">
        <v>0.15796667677526818</v>
      </c>
      <c r="AB220" s="119"/>
      <c r="AC220" s="120" t="s">
        <v>31</v>
      </c>
      <c r="AD220" s="121">
        <v>0</v>
      </c>
      <c r="AE220" s="121">
        <v>0</v>
      </c>
      <c r="AF220" s="121">
        <v>1</v>
      </c>
      <c r="AH220" s="158" t="s">
        <v>39</v>
      </c>
      <c r="AI220" s="121">
        <v>1</v>
      </c>
      <c r="AJ220" s="121">
        <v>1</v>
      </c>
      <c r="AK220" s="121">
        <v>0</v>
      </c>
      <c r="AL220" s="119"/>
      <c r="AM220" s="158" t="s">
        <v>32</v>
      </c>
      <c r="AN220" s="121">
        <v>1</v>
      </c>
      <c r="AO220" s="121">
        <v>1</v>
      </c>
      <c r="AP220" s="121">
        <v>0</v>
      </c>
      <c r="AQ220" s="119"/>
      <c r="AR220" s="158" t="s">
        <v>28</v>
      </c>
      <c r="AS220" s="121">
        <v>0</v>
      </c>
      <c r="AT220" s="121">
        <v>0</v>
      </c>
      <c r="AU220" s="121">
        <v>1</v>
      </c>
      <c r="AW220" s="160">
        <v>17</v>
      </c>
      <c r="AX220" s="158" t="s">
        <v>31</v>
      </c>
      <c r="AY220" s="121">
        <v>0</v>
      </c>
      <c r="AZ220" s="121">
        <v>0</v>
      </c>
      <c r="BA220" s="121">
        <v>1</v>
      </c>
      <c r="BB220" s="119"/>
      <c r="BC220" s="158" t="s">
        <v>29</v>
      </c>
      <c r="BD220" s="121">
        <v>0.5</v>
      </c>
      <c r="BE220" s="121">
        <v>0</v>
      </c>
      <c r="BF220" s="121">
        <v>1</v>
      </c>
      <c r="BG220" s="121">
        <v>0</v>
      </c>
      <c r="BH220" s="160">
        <v>17</v>
      </c>
      <c r="BI220" s="158" t="s">
        <v>30</v>
      </c>
      <c r="BK220" s="160">
        <v>20</v>
      </c>
      <c r="BL220" s="160">
        <v>27</v>
      </c>
    </row>
    <row r="221" spans="6:64" x14ac:dyDescent="0.3">
      <c r="F221" s="160">
        <v>20</v>
      </c>
      <c r="G221" s="160">
        <v>247</v>
      </c>
      <c r="H221" s="160">
        <v>0.57499999999999996</v>
      </c>
      <c r="I221" s="158" t="s">
        <v>35</v>
      </c>
      <c r="N221" s="158" t="s">
        <v>35</v>
      </c>
      <c r="O221" s="160">
        <v>20</v>
      </c>
      <c r="P221" s="158">
        <v>62</v>
      </c>
      <c r="Q221" s="121">
        <v>0</v>
      </c>
      <c r="R221" s="121">
        <v>1</v>
      </c>
      <c r="T221" s="160">
        <v>20</v>
      </c>
      <c r="U221" s="158">
        <v>108</v>
      </c>
      <c r="V221" s="121">
        <v>0</v>
      </c>
      <c r="W221" s="121">
        <v>1</v>
      </c>
      <c r="Y221" s="4">
        <v>27.059921294981542</v>
      </c>
      <c r="Z221" s="121">
        <v>0</v>
      </c>
      <c r="AA221" s="121">
        <v>1</v>
      </c>
      <c r="AB221" s="119"/>
      <c r="AC221" s="120" t="s">
        <v>31</v>
      </c>
      <c r="AD221" s="121">
        <v>0</v>
      </c>
      <c r="AE221" s="121">
        <v>0</v>
      </c>
      <c r="AF221" s="121">
        <v>1</v>
      </c>
      <c r="AH221" s="158" t="s">
        <v>39</v>
      </c>
      <c r="AI221" s="121">
        <v>1</v>
      </c>
      <c r="AJ221" s="121">
        <v>1</v>
      </c>
      <c r="AK221" s="121">
        <v>0</v>
      </c>
      <c r="AL221" s="119"/>
      <c r="AM221" s="158" t="s">
        <v>32</v>
      </c>
      <c r="AN221" s="121">
        <v>1</v>
      </c>
      <c r="AO221" s="121">
        <v>1</v>
      </c>
      <c r="AP221" s="121">
        <v>0</v>
      </c>
      <c r="AQ221" s="119"/>
      <c r="AR221" s="158" t="s">
        <v>28</v>
      </c>
      <c r="AS221" s="121">
        <v>0</v>
      </c>
      <c r="AT221" s="121">
        <v>0</v>
      </c>
      <c r="AU221" s="121">
        <v>1</v>
      </c>
      <c r="AW221" s="160">
        <v>20</v>
      </c>
      <c r="AX221" s="158" t="s">
        <v>31</v>
      </c>
      <c r="AY221" s="121">
        <v>0</v>
      </c>
      <c r="AZ221" s="121">
        <v>0</v>
      </c>
      <c r="BA221" s="121">
        <v>1</v>
      </c>
      <c r="BB221" s="119"/>
      <c r="BC221" s="158" t="s">
        <v>34</v>
      </c>
      <c r="BD221" s="121">
        <v>0</v>
      </c>
      <c r="BE221" s="121">
        <v>1</v>
      </c>
      <c r="BF221" s="121">
        <v>0</v>
      </c>
      <c r="BG221" s="121">
        <v>0</v>
      </c>
      <c r="BH221" s="160">
        <v>20</v>
      </c>
      <c r="BI221" s="158" t="s">
        <v>35</v>
      </c>
      <c r="BK221" s="160">
        <v>21</v>
      </c>
      <c r="BL221" s="160">
        <v>31</v>
      </c>
    </row>
    <row r="222" spans="6:64" x14ac:dyDescent="0.3">
      <c r="F222" s="160">
        <v>21</v>
      </c>
      <c r="G222" s="160">
        <v>237</v>
      </c>
      <c r="H222" s="160">
        <v>0.82499999999999996</v>
      </c>
      <c r="I222" s="158" t="s">
        <v>30</v>
      </c>
      <c r="N222" s="158" t="s">
        <v>30</v>
      </c>
      <c r="O222" s="160">
        <v>21</v>
      </c>
      <c r="P222" s="158">
        <v>52</v>
      </c>
      <c r="Q222" s="121">
        <v>0</v>
      </c>
      <c r="R222" s="121">
        <v>1</v>
      </c>
      <c r="T222" s="160">
        <v>21</v>
      </c>
      <c r="U222" s="158">
        <v>93</v>
      </c>
      <c r="V222" s="121">
        <v>0.7</v>
      </c>
      <c r="W222" s="121">
        <v>0.3</v>
      </c>
      <c r="Y222" s="4">
        <v>33.246135552913202</v>
      </c>
      <c r="Z222" s="121">
        <v>0</v>
      </c>
      <c r="AA222" s="121">
        <v>1</v>
      </c>
      <c r="AB222" s="119"/>
      <c r="AC222" s="120" t="s">
        <v>31</v>
      </c>
      <c r="AD222" s="121">
        <v>0</v>
      </c>
      <c r="AE222" s="121">
        <v>0</v>
      </c>
      <c r="AF222" s="121">
        <v>1</v>
      </c>
      <c r="AH222" s="158" t="s">
        <v>26</v>
      </c>
      <c r="AI222" s="121">
        <v>0</v>
      </c>
      <c r="AJ222" s="121">
        <v>0</v>
      </c>
      <c r="AK222" s="121">
        <v>1</v>
      </c>
      <c r="AL222" s="119"/>
      <c r="AM222" s="158" t="s">
        <v>32</v>
      </c>
      <c r="AN222" s="121">
        <v>1</v>
      </c>
      <c r="AO222" s="121">
        <v>1</v>
      </c>
      <c r="AP222" s="121">
        <v>0</v>
      </c>
      <c r="AQ222" s="119"/>
      <c r="AR222" s="158" t="s">
        <v>28</v>
      </c>
      <c r="AS222" s="121">
        <v>0</v>
      </c>
      <c r="AT222" s="121">
        <v>0</v>
      </c>
      <c r="AU222" s="121">
        <v>1</v>
      </c>
      <c r="AW222" s="160">
        <v>21</v>
      </c>
      <c r="AX222" s="158" t="s">
        <v>31</v>
      </c>
      <c r="AY222" s="121">
        <v>0</v>
      </c>
      <c r="AZ222" s="121">
        <v>0</v>
      </c>
      <c r="BA222" s="121">
        <v>1</v>
      </c>
      <c r="BB222" s="119"/>
      <c r="BC222" s="158" t="s">
        <v>34</v>
      </c>
      <c r="BD222" s="121">
        <v>0</v>
      </c>
      <c r="BE222" s="121">
        <v>1</v>
      </c>
      <c r="BF222" s="121">
        <v>0</v>
      </c>
      <c r="BG222" s="121">
        <v>0</v>
      </c>
      <c r="BH222" s="160">
        <v>21</v>
      </c>
      <c r="BI222" s="158" t="s">
        <v>30</v>
      </c>
      <c r="BK222" s="160">
        <v>32</v>
      </c>
      <c r="BL222" s="160">
        <v>35</v>
      </c>
    </row>
    <row r="223" spans="6:64" x14ac:dyDescent="0.3">
      <c r="F223" s="160">
        <v>23</v>
      </c>
      <c r="G223" s="160">
        <v>261</v>
      </c>
      <c r="H223" s="160">
        <v>0.22500000000000001</v>
      </c>
      <c r="I223" s="158" t="s">
        <v>35</v>
      </c>
      <c r="N223" s="158" t="s">
        <v>35</v>
      </c>
      <c r="O223" s="160">
        <v>23</v>
      </c>
      <c r="P223" s="158">
        <v>57</v>
      </c>
      <c r="Q223" s="121">
        <v>0</v>
      </c>
      <c r="R223" s="121">
        <v>1</v>
      </c>
      <c r="T223" s="160">
        <v>23</v>
      </c>
      <c r="U223" s="158">
        <v>88</v>
      </c>
      <c r="V223" s="121">
        <v>1</v>
      </c>
      <c r="W223" s="121">
        <v>0</v>
      </c>
      <c r="Y223" s="4">
        <v>24.570312499999993</v>
      </c>
      <c r="Z223" s="121">
        <v>0.26996527777777857</v>
      </c>
      <c r="AA223" s="121">
        <v>0.73003472222222143</v>
      </c>
      <c r="AB223" s="119"/>
      <c r="AC223" s="120" t="s">
        <v>31</v>
      </c>
      <c r="AD223" s="121">
        <v>0</v>
      </c>
      <c r="AE223" s="121">
        <v>0</v>
      </c>
      <c r="AF223" s="121">
        <v>1</v>
      </c>
      <c r="AH223" s="158" t="s">
        <v>39</v>
      </c>
      <c r="AI223" s="121">
        <v>1</v>
      </c>
      <c r="AJ223" s="121">
        <v>1</v>
      </c>
      <c r="AK223" s="121">
        <v>0</v>
      </c>
      <c r="AL223" s="119"/>
      <c r="AM223" s="158" t="s">
        <v>27</v>
      </c>
      <c r="AN223" s="121">
        <v>0</v>
      </c>
      <c r="AO223" s="121">
        <v>0</v>
      </c>
      <c r="AP223" s="121">
        <v>1</v>
      </c>
      <c r="AQ223" s="119"/>
      <c r="AR223" s="158" t="s">
        <v>33</v>
      </c>
      <c r="AS223" s="121">
        <v>1</v>
      </c>
      <c r="AT223" s="121">
        <v>1</v>
      </c>
      <c r="AU223" s="121">
        <v>0</v>
      </c>
      <c r="AW223" s="160">
        <v>23</v>
      </c>
      <c r="AX223" s="158" t="s">
        <v>25</v>
      </c>
      <c r="AY223" s="121">
        <v>1</v>
      </c>
      <c r="AZ223" s="121">
        <v>1</v>
      </c>
      <c r="BA223" s="121">
        <v>0</v>
      </c>
      <c r="BB223" s="119"/>
      <c r="BC223" s="158" t="s">
        <v>38</v>
      </c>
      <c r="BD223" s="121">
        <v>1</v>
      </c>
      <c r="BE223" s="121">
        <v>0</v>
      </c>
      <c r="BF223" s="121">
        <v>0</v>
      </c>
      <c r="BG223" s="121">
        <v>1</v>
      </c>
      <c r="BH223" s="160">
        <v>23</v>
      </c>
      <c r="BI223" s="158" t="s">
        <v>35</v>
      </c>
      <c r="BK223" s="160">
        <v>33</v>
      </c>
      <c r="BL223" s="160">
        <v>36</v>
      </c>
    </row>
    <row r="224" spans="6:64" x14ac:dyDescent="0.3">
      <c r="F224" s="160">
        <v>25</v>
      </c>
      <c r="G224" s="160">
        <v>250</v>
      </c>
      <c r="H224" s="160">
        <v>0.5</v>
      </c>
      <c r="I224" s="158" t="s">
        <v>35</v>
      </c>
      <c r="N224" s="158" t="s">
        <v>35</v>
      </c>
      <c r="O224" s="160">
        <v>25</v>
      </c>
      <c r="P224" s="158">
        <v>50</v>
      </c>
      <c r="Q224" s="121">
        <v>0</v>
      </c>
      <c r="R224" s="121">
        <v>1</v>
      </c>
      <c r="T224" s="160">
        <v>25</v>
      </c>
      <c r="U224" s="158">
        <v>84</v>
      </c>
      <c r="V224" s="121">
        <v>1</v>
      </c>
      <c r="W224" s="121">
        <v>0</v>
      </c>
      <c r="Y224" s="4">
        <v>21.671206537413873</v>
      </c>
      <c r="Z224" s="121">
        <v>0.59208816250956964</v>
      </c>
      <c r="AA224" s="121">
        <v>0.40791183749043036</v>
      </c>
      <c r="AB224" s="119"/>
      <c r="AC224" s="120" t="s">
        <v>25</v>
      </c>
      <c r="AD224" s="121">
        <v>1</v>
      </c>
      <c r="AE224" s="121">
        <v>1</v>
      </c>
      <c r="AF224" s="121">
        <v>0</v>
      </c>
      <c r="AH224" s="158" t="s">
        <v>26</v>
      </c>
      <c r="AI224" s="121">
        <v>0</v>
      </c>
      <c r="AJ224" s="121">
        <v>0</v>
      </c>
      <c r="AK224" s="121">
        <v>1</v>
      </c>
      <c r="AL224" s="119"/>
      <c r="AM224" s="158" t="s">
        <v>27</v>
      </c>
      <c r="AN224" s="121">
        <v>0</v>
      </c>
      <c r="AO224" s="121">
        <v>0</v>
      </c>
      <c r="AP224" s="121">
        <v>1</v>
      </c>
      <c r="AQ224" s="119"/>
      <c r="AR224" s="158" t="s">
        <v>33</v>
      </c>
      <c r="AS224" s="121">
        <v>1</v>
      </c>
      <c r="AT224" s="121">
        <v>1</v>
      </c>
      <c r="AU224" s="121">
        <v>0</v>
      </c>
      <c r="AW224" s="160">
        <v>25</v>
      </c>
      <c r="AX224" s="158" t="s">
        <v>25</v>
      </c>
      <c r="AY224" s="121">
        <v>1</v>
      </c>
      <c r="AZ224" s="121">
        <v>1</v>
      </c>
      <c r="BA224" s="121">
        <v>0</v>
      </c>
      <c r="BB224" s="119"/>
      <c r="BC224" s="158" t="s">
        <v>38</v>
      </c>
      <c r="BD224" s="121">
        <v>1</v>
      </c>
      <c r="BE224" s="121">
        <v>0</v>
      </c>
      <c r="BF224" s="121">
        <v>0</v>
      </c>
      <c r="BG224" s="121">
        <v>1</v>
      </c>
      <c r="BH224" s="160">
        <v>25</v>
      </c>
      <c r="BI224" s="158" t="s">
        <v>35</v>
      </c>
      <c r="BK224" s="160">
        <v>41</v>
      </c>
      <c r="BL224" s="160">
        <v>38</v>
      </c>
    </row>
    <row r="225" spans="6:64" x14ac:dyDescent="0.3">
      <c r="F225" s="160">
        <v>27</v>
      </c>
      <c r="G225" s="160">
        <v>244</v>
      </c>
      <c r="H225" s="160">
        <v>0.65</v>
      </c>
      <c r="I225" s="158" t="s">
        <v>35</v>
      </c>
      <c r="N225" s="158" t="s">
        <v>35</v>
      </c>
      <c r="O225" s="160">
        <v>27</v>
      </c>
      <c r="P225" s="158">
        <v>50</v>
      </c>
      <c r="Q225" s="121">
        <v>0</v>
      </c>
      <c r="R225" s="121">
        <v>1</v>
      </c>
      <c r="T225" s="160">
        <v>27</v>
      </c>
      <c r="U225" s="158">
        <v>97</v>
      </c>
      <c r="V225" s="121">
        <v>0.3</v>
      </c>
      <c r="W225" s="121">
        <v>0.7</v>
      </c>
      <c r="Y225" s="4">
        <v>28</v>
      </c>
      <c r="Z225" s="121">
        <v>0</v>
      </c>
      <c r="AA225" s="121">
        <v>1</v>
      </c>
      <c r="AB225" s="119"/>
      <c r="AC225" s="120" t="s">
        <v>31</v>
      </c>
      <c r="AD225" s="121">
        <v>0</v>
      </c>
      <c r="AE225" s="121">
        <v>0</v>
      </c>
      <c r="AF225" s="121">
        <v>1</v>
      </c>
      <c r="AH225" s="158" t="s">
        <v>26</v>
      </c>
      <c r="AI225" s="121">
        <v>0</v>
      </c>
      <c r="AJ225" s="121">
        <v>0</v>
      </c>
      <c r="AK225" s="121">
        <v>1</v>
      </c>
      <c r="AL225" s="119"/>
      <c r="AM225" s="158" t="s">
        <v>32</v>
      </c>
      <c r="AN225" s="121">
        <v>1</v>
      </c>
      <c r="AO225" s="121">
        <v>1</v>
      </c>
      <c r="AP225" s="121">
        <v>0</v>
      </c>
      <c r="AQ225" s="119"/>
      <c r="AR225" s="158" t="s">
        <v>33</v>
      </c>
      <c r="AS225" s="121">
        <v>1</v>
      </c>
      <c r="AT225" s="121">
        <v>1</v>
      </c>
      <c r="AU225" s="121">
        <v>0</v>
      </c>
      <c r="AW225" s="160">
        <v>27</v>
      </c>
      <c r="AX225" s="158" t="s">
        <v>31</v>
      </c>
      <c r="AY225" s="121">
        <v>0</v>
      </c>
      <c r="AZ225" s="121">
        <v>0</v>
      </c>
      <c r="BA225" s="121">
        <v>1</v>
      </c>
      <c r="BB225" s="119"/>
      <c r="BC225" s="158" t="s">
        <v>29</v>
      </c>
      <c r="BD225" s="121">
        <v>0.5</v>
      </c>
      <c r="BE225" s="121">
        <v>0</v>
      </c>
      <c r="BF225" s="121">
        <v>1</v>
      </c>
      <c r="BG225" s="121">
        <v>0</v>
      </c>
      <c r="BH225" s="160">
        <v>27</v>
      </c>
      <c r="BI225" s="158" t="s">
        <v>35</v>
      </c>
      <c r="BK225" s="160">
        <v>42</v>
      </c>
      <c r="BL225" s="160">
        <v>40</v>
      </c>
    </row>
    <row r="226" spans="6:64" x14ac:dyDescent="0.3">
      <c r="F226" s="160">
        <v>31</v>
      </c>
      <c r="G226" s="160">
        <v>266</v>
      </c>
      <c r="H226" s="160">
        <v>0.1</v>
      </c>
      <c r="I226" s="158" t="s">
        <v>35</v>
      </c>
      <c r="N226" s="158" t="s">
        <v>35</v>
      </c>
      <c r="O226" s="160">
        <v>31</v>
      </c>
      <c r="P226" s="158">
        <v>85</v>
      </c>
      <c r="Q226" s="121">
        <v>0</v>
      </c>
      <c r="R226" s="121">
        <v>1</v>
      </c>
      <c r="T226" s="160">
        <v>31</v>
      </c>
      <c r="U226" s="158">
        <v>68</v>
      </c>
      <c r="V226" s="121">
        <v>1</v>
      </c>
      <c r="W226" s="121">
        <v>0</v>
      </c>
      <c r="Y226" s="4">
        <v>24.582560296846012</v>
      </c>
      <c r="Z226" s="121">
        <v>0.26860441146155423</v>
      </c>
      <c r="AA226" s="121">
        <v>0.73139558853844577</v>
      </c>
      <c r="AB226" s="119"/>
      <c r="AC226" s="120" t="s">
        <v>31</v>
      </c>
      <c r="AD226" s="121">
        <v>0</v>
      </c>
      <c r="AE226" s="121">
        <v>0</v>
      </c>
      <c r="AF226" s="121">
        <v>1</v>
      </c>
      <c r="AH226" s="158" t="s">
        <v>39</v>
      </c>
      <c r="AI226" s="121">
        <v>1</v>
      </c>
      <c r="AJ226" s="121">
        <v>1</v>
      </c>
      <c r="AK226" s="121">
        <v>0</v>
      </c>
      <c r="AL226" s="119"/>
      <c r="AM226" s="158" t="s">
        <v>27</v>
      </c>
      <c r="AN226" s="121">
        <v>0</v>
      </c>
      <c r="AO226" s="121">
        <v>0</v>
      </c>
      <c r="AP226" s="121">
        <v>1</v>
      </c>
      <c r="AQ226" s="119"/>
      <c r="AR226" s="158" t="s">
        <v>28</v>
      </c>
      <c r="AS226" s="121">
        <v>0</v>
      </c>
      <c r="AT226" s="121">
        <v>0</v>
      </c>
      <c r="AU226" s="121">
        <v>1</v>
      </c>
      <c r="AW226" s="160">
        <v>31</v>
      </c>
      <c r="AX226" s="158" t="s">
        <v>25</v>
      </c>
      <c r="AY226" s="121">
        <v>1</v>
      </c>
      <c r="AZ226" s="121">
        <v>1</v>
      </c>
      <c r="BA226" s="121">
        <v>0</v>
      </c>
      <c r="BB226" s="119"/>
      <c r="BC226" s="158" t="s">
        <v>29</v>
      </c>
      <c r="BD226" s="121">
        <v>0.5</v>
      </c>
      <c r="BE226" s="121">
        <v>0</v>
      </c>
      <c r="BF226" s="121">
        <v>1</v>
      </c>
      <c r="BG226" s="121">
        <v>0</v>
      </c>
      <c r="BH226" s="160">
        <v>31</v>
      </c>
      <c r="BI226" s="158" t="s">
        <v>35</v>
      </c>
      <c r="BK226" s="160">
        <v>51</v>
      </c>
      <c r="BL226" s="160">
        <v>54</v>
      </c>
    </row>
    <row r="227" spans="6:64" x14ac:dyDescent="0.3">
      <c r="F227" s="160">
        <v>32</v>
      </c>
      <c r="G227" s="160">
        <v>203</v>
      </c>
      <c r="H227" s="160">
        <v>0.1</v>
      </c>
      <c r="I227" s="158" t="s">
        <v>36</v>
      </c>
      <c r="N227" s="158" t="s">
        <v>36</v>
      </c>
      <c r="O227" s="160">
        <v>32</v>
      </c>
      <c r="P227" s="158">
        <v>38</v>
      </c>
      <c r="Q227" s="121">
        <v>0.4</v>
      </c>
      <c r="R227" s="121">
        <v>0.6</v>
      </c>
      <c r="T227" s="160">
        <v>32</v>
      </c>
      <c r="U227" s="158">
        <v>99</v>
      </c>
      <c r="V227" s="121">
        <v>0.1</v>
      </c>
      <c r="W227" s="121">
        <v>0.9</v>
      </c>
      <c r="Y227" s="4">
        <v>32.456398197138938</v>
      </c>
      <c r="Z227" s="121">
        <v>0</v>
      </c>
      <c r="AA227" s="121">
        <v>1</v>
      </c>
      <c r="AB227" s="119"/>
      <c r="AC227" s="120" t="s">
        <v>31</v>
      </c>
      <c r="AD227" s="121">
        <v>0</v>
      </c>
      <c r="AE227" s="121">
        <v>0</v>
      </c>
      <c r="AF227" s="121">
        <v>1</v>
      </c>
      <c r="AH227" s="158" t="s">
        <v>39</v>
      </c>
      <c r="AI227" s="121">
        <v>1</v>
      </c>
      <c r="AJ227" s="121">
        <v>1</v>
      </c>
      <c r="AK227" s="121">
        <v>0</v>
      </c>
      <c r="AL227" s="119"/>
      <c r="AM227" s="158" t="s">
        <v>32</v>
      </c>
      <c r="AN227" s="121">
        <v>1</v>
      </c>
      <c r="AO227" s="121">
        <v>1</v>
      </c>
      <c r="AP227" s="121">
        <v>0</v>
      </c>
      <c r="AQ227" s="119"/>
      <c r="AR227" s="158" t="s">
        <v>33</v>
      </c>
      <c r="AS227" s="121">
        <v>1</v>
      </c>
      <c r="AT227" s="121">
        <v>1</v>
      </c>
      <c r="AU227" s="121">
        <v>0</v>
      </c>
      <c r="AW227" s="160">
        <v>32</v>
      </c>
      <c r="AX227" s="158" t="s">
        <v>25</v>
      </c>
      <c r="AY227" s="121">
        <v>1</v>
      </c>
      <c r="AZ227" s="121">
        <v>1</v>
      </c>
      <c r="BA227" s="121">
        <v>0</v>
      </c>
      <c r="BB227" s="119"/>
      <c r="BC227" s="158" t="s">
        <v>34</v>
      </c>
      <c r="BD227" s="121">
        <v>0</v>
      </c>
      <c r="BE227" s="121">
        <v>1</v>
      </c>
      <c r="BF227" s="121">
        <v>0</v>
      </c>
      <c r="BG227" s="121">
        <v>0</v>
      </c>
      <c r="BH227" s="160">
        <v>32</v>
      </c>
      <c r="BI227" s="158" t="s">
        <v>36</v>
      </c>
      <c r="BK227" s="160">
        <v>52</v>
      </c>
      <c r="BL227" s="160">
        <v>56</v>
      </c>
    </row>
    <row r="228" spans="6:64" x14ac:dyDescent="0.3">
      <c r="F228" s="160">
        <v>33</v>
      </c>
      <c r="G228" s="160">
        <v>201</v>
      </c>
      <c r="H228" s="160">
        <v>3.3333333333333333E-2</v>
      </c>
      <c r="I228" s="158" t="s">
        <v>36</v>
      </c>
      <c r="N228" s="158" t="s">
        <v>36</v>
      </c>
      <c r="O228" s="160">
        <v>33</v>
      </c>
      <c r="P228" s="158">
        <v>62</v>
      </c>
      <c r="Q228" s="121">
        <v>0</v>
      </c>
      <c r="R228" s="121">
        <v>1</v>
      </c>
      <c r="T228" s="160">
        <v>33</v>
      </c>
      <c r="U228" s="158">
        <v>98</v>
      </c>
      <c r="V228" s="121">
        <v>0.2</v>
      </c>
      <c r="W228" s="121">
        <v>0.8</v>
      </c>
      <c r="Y228" s="4">
        <v>27.622564236621685</v>
      </c>
      <c r="Z228" s="121">
        <v>0</v>
      </c>
      <c r="AA228" s="121">
        <v>1</v>
      </c>
      <c r="AB228" s="119"/>
      <c r="AC228" s="120" t="s">
        <v>31</v>
      </c>
      <c r="AD228" s="121">
        <v>0</v>
      </c>
      <c r="AE228" s="121">
        <v>0</v>
      </c>
      <c r="AF228" s="121">
        <v>1</v>
      </c>
      <c r="AH228" s="158" t="s">
        <v>26</v>
      </c>
      <c r="AI228" s="121">
        <v>0</v>
      </c>
      <c r="AJ228" s="121">
        <v>0</v>
      </c>
      <c r="AK228" s="121">
        <v>1</v>
      </c>
      <c r="AL228" s="119"/>
      <c r="AM228" s="158" t="s">
        <v>32</v>
      </c>
      <c r="AN228" s="121">
        <v>1</v>
      </c>
      <c r="AO228" s="121">
        <v>1</v>
      </c>
      <c r="AP228" s="121">
        <v>0</v>
      </c>
      <c r="AQ228" s="119"/>
      <c r="AR228" s="158" t="s">
        <v>28</v>
      </c>
      <c r="AS228" s="121">
        <v>0</v>
      </c>
      <c r="AT228" s="121">
        <v>0</v>
      </c>
      <c r="AU228" s="121">
        <v>1</v>
      </c>
      <c r="AW228" s="160">
        <v>33</v>
      </c>
      <c r="AX228" s="158" t="s">
        <v>25</v>
      </c>
      <c r="AY228" s="121">
        <v>1</v>
      </c>
      <c r="AZ228" s="121">
        <v>1</v>
      </c>
      <c r="BA228" s="121">
        <v>0</v>
      </c>
      <c r="BB228" s="119"/>
      <c r="BC228" s="158" t="s">
        <v>34</v>
      </c>
      <c r="BD228" s="121">
        <v>0</v>
      </c>
      <c r="BE228" s="121">
        <v>1</v>
      </c>
      <c r="BF228" s="121">
        <v>0</v>
      </c>
      <c r="BG228" s="121">
        <v>0</v>
      </c>
      <c r="BH228" s="160">
        <v>33</v>
      </c>
      <c r="BI228" s="158" t="s">
        <v>36</v>
      </c>
      <c r="BK228" s="160">
        <v>57</v>
      </c>
      <c r="BL228" s="160">
        <v>58</v>
      </c>
    </row>
    <row r="229" spans="6:64" x14ac:dyDescent="0.3">
      <c r="F229" s="160">
        <v>35</v>
      </c>
      <c r="G229" s="160">
        <v>242</v>
      </c>
      <c r="H229" s="160">
        <v>0.7</v>
      </c>
      <c r="I229" s="158" t="s">
        <v>30</v>
      </c>
      <c r="N229" s="158" t="s">
        <v>30</v>
      </c>
      <c r="O229" s="160">
        <v>35</v>
      </c>
      <c r="P229" s="158">
        <v>70</v>
      </c>
      <c r="Q229" s="121">
        <v>0</v>
      </c>
      <c r="R229" s="121">
        <v>1</v>
      </c>
      <c r="T229" s="160">
        <v>35</v>
      </c>
      <c r="U229" s="158">
        <v>78</v>
      </c>
      <c r="V229" s="121">
        <v>1</v>
      </c>
      <c r="W229" s="121">
        <v>0</v>
      </c>
      <c r="Y229" s="4">
        <v>20.730013886133701</v>
      </c>
      <c r="Z229" s="121">
        <v>0.69666512376292211</v>
      </c>
      <c r="AA229" s="121">
        <v>0.30333487623707789</v>
      </c>
      <c r="AB229" s="119"/>
      <c r="AC229" s="120" t="s">
        <v>31</v>
      </c>
      <c r="AD229" s="121">
        <v>0</v>
      </c>
      <c r="AE229" s="121">
        <v>0</v>
      </c>
      <c r="AF229" s="121">
        <v>1</v>
      </c>
      <c r="AH229" s="158" t="s">
        <v>26</v>
      </c>
      <c r="AI229" s="121">
        <v>0</v>
      </c>
      <c r="AJ229" s="121">
        <v>0</v>
      </c>
      <c r="AK229" s="121">
        <v>1</v>
      </c>
      <c r="AL229" s="119"/>
      <c r="AM229" s="158" t="s">
        <v>27</v>
      </c>
      <c r="AN229" s="121">
        <v>0</v>
      </c>
      <c r="AO229" s="121">
        <v>0</v>
      </c>
      <c r="AP229" s="121">
        <v>1</v>
      </c>
      <c r="AQ229" s="119"/>
      <c r="AR229" s="158" t="s">
        <v>33</v>
      </c>
      <c r="AS229" s="121">
        <v>1</v>
      </c>
      <c r="AT229" s="121">
        <v>1</v>
      </c>
      <c r="AU229" s="121">
        <v>0</v>
      </c>
      <c r="AW229" s="160">
        <v>35</v>
      </c>
      <c r="AX229" s="158" t="s">
        <v>25</v>
      </c>
      <c r="AY229" s="121">
        <v>1</v>
      </c>
      <c r="AZ229" s="121">
        <v>1</v>
      </c>
      <c r="BA229" s="121">
        <v>0</v>
      </c>
      <c r="BB229" s="119"/>
      <c r="BC229" s="158" t="s">
        <v>29</v>
      </c>
      <c r="BD229" s="121">
        <v>0.5</v>
      </c>
      <c r="BE229" s="121">
        <v>0</v>
      </c>
      <c r="BF229" s="121">
        <v>1</v>
      </c>
      <c r="BG229" s="121">
        <v>0</v>
      </c>
      <c r="BH229" s="160">
        <v>35</v>
      </c>
      <c r="BI229" s="158" t="s">
        <v>30</v>
      </c>
      <c r="BL229" s="160">
        <v>59</v>
      </c>
    </row>
    <row r="230" spans="6:64" x14ac:dyDescent="0.3">
      <c r="F230" s="160">
        <v>36</v>
      </c>
      <c r="G230" s="160">
        <v>209</v>
      </c>
      <c r="H230" s="160">
        <v>0.3</v>
      </c>
      <c r="I230" s="158" t="s">
        <v>36</v>
      </c>
      <c r="N230" s="158" t="s">
        <v>36</v>
      </c>
      <c r="O230" s="160">
        <v>36</v>
      </c>
      <c r="P230" s="158">
        <v>32</v>
      </c>
      <c r="Q230" s="121">
        <v>0.7</v>
      </c>
      <c r="R230" s="121">
        <v>0.3</v>
      </c>
      <c r="T230" s="160">
        <v>36</v>
      </c>
      <c r="U230" s="158">
        <v>88</v>
      </c>
      <c r="V230" s="121">
        <v>1</v>
      </c>
      <c r="W230" s="121">
        <v>0</v>
      </c>
      <c r="Y230" s="4">
        <v>26.360544217687082</v>
      </c>
      <c r="Z230" s="121">
        <v>7.1050642479213152E-2</v>
      </c>
      <c r="AA230" s="121">
        <v>0.92894935752078689</v>
      </c>
      <c r="AB230" s="119"/>
      <c r="AC230" s="158" t="s">
        <v>25</v>
      </c>
      <c r="AD230" s="121">
        <v>1</v>
      </c>
      <c r="AE230" s="121">
        <v>1</v>
      </c>
      <c r="AF230" s="121">
        <v>0</v>
      </c>
      <c r="AH230" s="158" t="s">
        <v>26</v>
      </c>
      <c r="AI230" s="121">
        <v>0</v>
      </c>
      <c r="AJ230" s="121">
        <v>0</v>
      </c>
      <c r="AK230" s="121">
        <v>1</v>
      </c>
      <c r="AL230" s="119"/>
      <c r="AM230" s="158" t="s">
        <v>27</v>
      </c>
      <c r="AN230" s="121">
        <v>0</v>
      </c>
      <c r="AO230" s="121">
        <v>0</v>
      </c>
      <c r="AP230" s="121">
        <v>1</v>
      </c>
      <c r="AQ230" s="119"/>
      <c r="AR230" s="158" t="s">
        <v>28</v>
      </c>
      <c r="AS230" s="121">
        <v>0</v>
      </c>
      <c r="AT230" s="121">
        <v>0</v>
      </c>
      <c r="AU230" s="121">
        <v>1</v>
      </c>
      <c r="AW230" s="160">
        <v>36</v>
      </c>
      <c r="AX230" s="158" t="s">
        <v>25</v>
      </c>
      <c r="AY230" s="121">
        <v>1</v>
      </c>
      <c r="AZ230" s="121">
        <v>1</v>
      </c>
      <c r="BA230" s="121">
        <v>0</v>
      </c>
      <c r="BB230" s="119"/>
      <c r="BC230" s="158" t="s">
        <v>29</v>
      </c>
      <c r="BD230" s="121">
        <v>0.5</v>
      </c>
      <c r="BE230" s="121">
        <v>0</v>
      </c>
      <c r="BF230" s="121">
        <v>1</v>
      </c>
      <c r="BG230" s="121">
        <v>0</v>
      </c>
      <c r="BH230" s="160">
        <v>36</v>
      </c>
      <c r="BI230" s="158" t="s">
        <v>36</v>
      </c>
    </row>
    <row r="231" spans="6:64" x14ac:dyDescent="0.3">
      <c r="F231" s="160">
        <v>37</v>
      </c>
      <c r="G231" s="160">
        <v>251</v>
      </c>
      <c r="H231" s="160">
        <v>0.47499999999999998</v>
      </c>
      <c r="I231" s="158" t="s">
        <v>35</v>
      </c>
      <c r="N231" s="158" t="s">
        <v>35</v>
      </c>
      <c r="O231" s="160">
        <v>37</v>
      </c>
      <c r="P231" s="158">
        <v>43</v>
      </c>
      <c r="Q231" s="121">
        <v>0.15</v>
      </c>
      <c r="R231" s="121">
        <v>0.85</v>
      </c>
      <c r="T231" s="160">
        <v>37</v>
      </c>
      <c r="U231" s="158">
        <v>128</v>
      </c>
      <c r="V231" s="121">
        <v>0</v>
      </c>
      <c r="W231" s="121">
        <v>1</v>
      </c>
      <c r="Y231" s="4">
        <v>40.369734953257947</v>
      </c>
      <c r="Z231" s="121">
        <v>0</v>
      </c>
      <c r="AA231" s="121">
        <v>1</v>
      </c>
      <c r="AB231" s="119"/>
      <c r="AC231" s="158" t="s">
        <v>25</v>
      </c>
      <c r="AD231" s="121">
        <v>1</v>
      </c>
      <c r="AE231" s="121">
        <v>1</v>
      </c>
      <c r="AF231" s="121">
        <v>0</v>
      </c>
      <c r="AH231" s="158" t="s">
        <v>39</v>
      </c>
      <c r="AI231" s="121">
        <v>1</v>
      </c>
      <c r="AJ231" s="121">
        <v>1</v>
      </c>
      <c r="AK231" s="121">
        <v>0</v>
      </c>
      <c r="AL231" s="119"/>
      <c r="AM231" s="158" t="s">
        <v>32</v>
      </c>
      <c r="AN231" s="121">
        <v>1</v>
      </c>
      <c r="AO231" s="121">
        <v>1</v>
      </c>
      <c r="AP231" s="121">
        <v>0</v>
      </c>
      <c r="AQ231" s="119"/>
      <c r="AR231" s="158" t="s">
        <v>33</v>
      </c>
      <c r="AS231" s="121">
        <v>1</v>
      </c>
      <c r="AT231" s="121">
        <v>1</v>
      </c>
      <c r="AU231" s="121">
        <v>0</v>
      </c>
      <c r="AW231" s="160">
        <v>37</v>
      </c>
      <c r="AX231" s="158" t="s">
        <v>31</v>
      </c>
      <c r="AY231" s="121">
        <v>0</v>
      </c>
      <c r="AZ231" s="121">
        <v>0</v>
      </c>
      <c r="BA231" s="121">
        <v>1</v>
      </c>
      <c r="BB231" s="119"/>
      <c r="BC231" s="158" t="s">
        <v>38</v>
      </c>
      <c r="BD231" s="121">
        <v>1</v>
      </c>
      <c r="BE231" s="121">
        <v>0</v>
      </c>
      <c r="BF231" s="121">
        <v>0</v>
      </c>
      <c r="BG231" s="121">
        <v>1</v>
      </c>
      <c r="BH231" s="160">
        <v>37</v>
      </c>
      <c r="BI231" s="158" t="s">
        <v>35</v>
      </c>
    </row>
    <row r="232" spans="6:64" x14ac:dyDescent="0.3">
      <c r="F232" s="160">
        <v>38</v>
      </c>
      <c r="G232" s="160">
        <v>205</v>
      </c>
      <c r="H232" s="160">
        <v>0.16666666666666666</v>
      </c>
      <c r="I232" s="158" t="s">
        <v>30</v>
      </c>
      <c r="N232" s="158" t="s">
        <v>30</v>
      </c>
      <c r="O232" s="160">
        <v>38</v>
      </c>
      <c r="P232" s="158">
        <v>31</v>
      </c>
      <c r="Q232" s="121">
        <v>0.75</v>
      </c>
      <c r="R232" s="121">
        <v>0.25</v>
      </c>
      <c r="T232" s="160">
        <v>38</v>
      </c>
      <c r="U232" s="158">
        <v>89</v>
      </c>
      <c r="V232" s="121">
        <v>1</v>
      </c>
      <c r="W232" s="121">
        <v>0</v>
      </c>
      <c r="Y232" s="4">
        <v>31.301350186727948</v>
      </c>
      <c r="Z232" s="121">
        <v>0</v>
      </c>
      <c r="AA232" s="121">
        <v>1</v>
      </c>
      <c r="AB232" s="119"/>
      <c r="AC232" s="158" t="s">
        <v>31</v>
      </c>
      <c r="AD232" s="121">
        <v>0</v>
      </c>
      <c r="AE232" s="121">
        <v>0</v>
      </c>
      <c r="AF232" s="121">
        <v>1</v>
      </c>
      <c r="AH232" s="158" t="s">
        <v>39</v>
      </c>
      <c r="AI232" s="121">
        <v>1</v>
      </c>
      <c r="AJ232" s="121">
        <v>1</v>
      </c>
      <c r="AK232" s="121">
        <v>0</v>
      </c>
      <c r="AL232" s="119"/>
      <c r="AM232" s="158" t="s">
        <v>32</v>
      </c>
      <c r="AN232" s="121">
        <v>1</v>
      </c>
      <c r="AO232" s="121">
        <v>1</v>
      </c>
      <c r="AP232" s="121">
        <v>0</v>
      </c>
      <c r="AQ232" s="119"/>
      <c r="AR232" s="158" t="s">
        <v>28</v>
      </c>
      <c r="AS232" s="121">
        <v>0</v>
      </c>
      <c r="AT232" s="121">
        <v>0</v>
      </c>
      <c r="AU232" s="121">
        <v>1</v>
      </c>
      <c r="AW232" s="160">
        <v>38</v>
      </c>
      <c r="AX232" s="158" t="s">
        <v>31</v>
      </c>
      <c r="AY232" s="121">
        <v>0</v>
      </c>
      <c r="AZ232" s="121">
        <v>0</v>
      </c>
      <c r="BA232" s="121">
        <v>1</v>
      </c>
      <c r="BB232" s="119"/>
      <c r="BC232" s="158" t="s">
        <v>29</v>
      </c>
      <c r="BD232" s="121">
        <v>0.5</v>
      </c>
      <c r="BE232" s="121">
        <v>0</v>
      </c>
      <c r="BF232" s="121">
        <v>1</v>
      </c>
      <c r="BG232" s="121">
        <v>0</v>
      </c>
      <c r="BH232" s="160">
        <v>38</v>
      </c>
      <c r="BI232" s="158" t="s">
        <v>30</v>
      </c>
    </row>
    <row r="233" spans="6:64" x14ac:dyDescent="0.3">
      <c r="F233" s="160">
        <v>40</v>
      </c>
      <c r="G233" s="160">
        <v>233</v>
      </c>
      <c r="H233" s="160">
        <v>0.92500000000000004</v>
      </c>
      <c r="I233" s="158" t="s">
        <v>30</v>
      </c>
      <c r="N233" s="158" t="s">
        <v>30</v>
      </c>
      <c r="O233" s="160">
        <v>40</v>
      </c>
      <c r="P233" s="158">
        <v>41</v>
      </c>
      <c r="Q233" s="121">
        <v>0.25</v>
      </c>
      <c r="R233" s="121">
        <v>0.75</v>
      </c>
      <c r="T233" s="160">
        <v>40</v>
      </c>
      <c r="U233" s="158">
        <v>97</v>
      </c>
      <c r="V233" s="121">
        <v>0.3</v>
      </c>
      <c r="W233" s="121">
        <v>0.7</v>
      </c>
      <c r="Y233" s="4">
        <v>26.888888888888889</v>
      </c>
      <c r="Z233" s="121">
        <v>1.2345679012345635E-2</v>
      </c>
      <c r="AA233" s="121">
        <v>0.98765432098765438</v>
      </c>
      <c r="AB233" s="119"/>
      <c r="AC233" s="158" t="s">
        <v>31</v>
      </c>
      <c r="AD233" s="121">
        <v>0</v>
      </c>
      <c r="AE233" s="121">
        <v>0</v>
      </c>
      <c r="AF233" s="121">
        <v>1</v>
      </c>
      <c r="AH233" s="158" t="s">
        <v>26</v>
      </c>
      <c r="AI233" s="121">
        <v>0</v>
      </c>
      <c r="AJ233" s="121">
        <v>0</v>
      </c>
      <c r="AK233" s="121">
        <v>1</v>
      </c>
      <c r="AL233" s="119"/>
      <c r="AM233" s="158" t="s">
        <v>32</v>
      </c>
      <c r="AN233" s="121">
        <v>1</v>
      </c>
      <c r="AO233" s="121">
        <v>1</v>
      </c>
      <c r="AP233" s="121">
        <v>0</v>
      </c>
      <c r="AQ233" s="119"/>
      <c r="AR233" s="158" t="s">
        <v>28</v>
      </c>
      <c r="AS233" s="121">
        <v>0</v>
      </c>
      <c r="AT233" s="121">
        <v>0</v>
      </c>
      <c r="AU233" s="121">
        <v>1</v>
      </c>
      <c r="AW233" s="160">
        <v>40</v>
      </c>
      <c r="AX233" s="158" t="s">
        <v>31</v>
      </c>
      <c r="AY233" s="121">
        <v>0</v>
      </c>
      <c r="AZ233" s="121">
        <v>0</v>
      </c>
      <c r="BA233" s="121">
        <v>1</v>
      </c>
      <c r="BB233" s="119"/>
      <c r="BC233" s="158" t="s">
        <v>29</v>
      </c>
      <c r="BD233" s="121">
        <v>0.5</v>
      </c>
      <c r="BE233" s="121">
        <v>0</v>
      </c>
      <c r="BF233" s="121">
        <v>1</v>
      </c>
      <c r="BG233" s="121">
        <v>0</v>
      </c>
      <c r="BH233" s="160">
        <v>40</v>
      </c>
      <c r="BI233" s="158" t="s">
        <v>30</v>
      </c>
    </row>
    <row r="234" spans="6:64" x14ac:dyDescent="0.3">
      <c r="F234" s="160">
        <v>41</v>
      </c>
      <c r="G234" s="160">
        <v>209</v>
      </c>
      <c r="H234" s="160">
        <v>0.3</v>
      </c>
      <c r="I234" s="158" t="s">
        <v>30</v>
      </c>
      <c r="N234" s="158" t="s">
        <v>30</v>
      </c>
      <c r="O234" s="160">
        <v>41</v>
      </c>
      <c r="P234" s="158">
        <v>35</v>
      </c>
      <c r="Q234" s="121">
        <v>0.55000000000000004</v>
      </c>
      <c r="R234" s="121">
        <v>0.45</v>
      </c>
      <c r="T234" s="160">
        <v>41</v>
      </c>
      <c r="U234" s="158">
        <v>71</v>
      </c>
      <c r="V234" s="121">
        <v>1</v>
      </c>
      <c r="W234" s="121">
        <v>0</v>
      </c>
      <c r="Y234" s="4">
        <v>19.438507030643446</v>
      </c>
      <c r="Z234" s="121">
        <v>0.84016588548406146</v>
      </c>
      <c r="AA234" s="121">
        <v>0.15983411451593849</v>
      </c>
      <c r="AB234" s="119"/>
      <c r="AC234" s="158" t="s">
        <v>25</v>
      </c>
      <c r="AD234" s="121">
        <v>1</v>
      </c>
      <c r="AE234" s="121">
        <v>1</v>
      </c>
      <c r="AF234" s="121">
        <v>0</v>
      </c>
      <c r="AH234" s="158" t="s">
        <v>39</v>
      </c>
      <c r="AI234" s="121">
        <v>1</v>
      </c>
      <c r="AJ234" s="121">
        <v>1</v>
      </c>
      <c r="AK234" s="121">
        <v>0</v>
      </c>
      <c r="AL234" s="119"/>
      <c r="AM234" s="158" t="s">
        <v>27</v>
      </c>
      <c r="AN234" s="121">
        <v>0</v>
      </c>
      <c r="AO234" s="121">
        <v>0</v>
      </c>
      <c r="AP234" s="121">
        <v>1</v>
      </c>
      <c r="AQ234" s="119"/>
      <c r="AR234" s="158" t="s">
        <v>28</v>
      </c>
      <c r="AS234" s="121">
        <v>0</v>
      </c>
      <c r="AT234" s="121">
        <v>0</v>
      </c>
      <c r="AU234" s="121">
        <v>1</v>
      </c>
      <c r="AW234" s="160">
        <v>41</v>
      </c>
      <c r="AX234" s="158" t="s">
        <v>25</v>
      </c>
      <c r="AY234" s="121">
        <v>1</v>
      </c>
      <c r="AZ234" s="121">
        <v>1</v>
      </c>
      <c r="BA234" s="121">
        <v>0</v>
      </c>
      <c r="BB234" s="119"/>
      <c r="BC234" s="158" t="s">
        <v>34</v>
      </c>
      <c r="BD234" s="121">
        <v>0</v>
      </c>
      <c r="BE234" s="121">
        <v>1</v>
      </c>
      <c r="BF234" s="121">
        <v>0</v>
      </c>
      <c r="BG234" s="121">
        <v>0</v>
      </c>
      <c r="BH234" s="160">
        <v>41</v>
      </c>
      <c r="BI234" s="158" t="s">
        <v>30</v>
      </c>
    </row>
    <row r="235" spans="6:64" x14ac:dyDescent="0.3">
      <c r="F235" s="160">
        <v>42</v>
      </c>
      <c r="G235" s="160">
        <v>225</v>
      </c>
      <c r="H235" s="160">
        <v>0.83333333333333337</v>
      </c>
      <c r="I235" s="158" t="s">
        <v>30</v>
      </c>
      <c r="N235" s="158" t="s">
        <v>30</v>
      </c>
      <c r="O235" s="160">
        <v>42</v>
      </c>
      <c r="P235" s="158">
        <v>36</v>
      </c>
      <c r="Q235" s="121">
        <v>0.5</v>
      </c>
      <c r="R235" s="121">
        <v>0.5</v>
      </c>
      <c r="T235" s="160">
        <v>42</v>
      </c>
      <c r="U235" s="158">
        <v>101</v>
      </c>
      <c r="V235" s="121">
        <v>0</v>
      </c>
      <c r="W235" s="121">
        <v>1</v>
      </c>
      <c r="Y235" s="4">
        <v>29.453124999999996</v>
      </c>
      <c r="Z235" s="121">
        <v>0</v>
      </c>
      <c r="AA235" s="121">
        <v>1</v>
      </c>
      <c r="AB235" s="119"/>
      <c r="AC235" s="158" t="s">
        <v>31</v>
      </c>
      <c r="AD235" s="121">
        <v>0</v>
      </c>
      <c r="AE235" s="121">
        <v>0</v>
      </c>
      <c r="AF235" s="121">
        <v>1</v>
      </c>
      <c r="AH235" s="158" t="s">
        <v>39</v>
      </c>
      <c r="AI235" s="121">
        <v>1</v>
      </c>
      <c r="AJ235" s="121">
        <v>1</v>
      </c>
      <c r="AK235" s="121">
        <v>0</v>
      </c>
      <c r="AL235" s="119"/>
      <c r="AM235" s="158" t="s">
        <v>27</v>
      </c>
      <c r="AN235" s="121">
        <v>0</v>
      </c>
      <c r="AO235" s="121">
        <v>0</v>
      </c>
      <c r="AP235" s="121">
        <v>1</v>
      </c>
      <c r="AQ235" s="119"/>
      <c r="AR235" s="158" t="s">
        <v>28</v>
      </c>
      <c r="AS235" s="121">
        <v>0</v>
      </c>
      <c r="AT235" s="121">
        <v>0</v>
      </c>
      <c r="AU235" s="121">
        <v>1</v>
      </c>
      <c r="AW235" s="160">
        <v>42</v>
      </c>
      <c r="AX235" s="158" t="s">
        <v>31</v>
      </c>
      <c r="AY235" s="121">
        <v>0</v>
      </c>
      <c r="AZ235" s="121">
        <v>0</v>
      </c>
      <c r="BA235" s="121">
        <v>1</v>
      </c>
      <c r="BB235" s="119"/>
      <c r="BC235" s="158" t="s">
        <v>34</v>
      </c>
      <c r="BD235" s="121">
        <v>0</v>
      </c>
      <c r="BE235" s="121">
        <v>1</v>
      </c>
      <c r="BF235" s="121">
        <v>0</v>
      </c>
      <c r="BG235" s="121">
        <v>0</v>
      </c>
      <c r="BH235" s="160">
        <v>42</v>
      </c>
      <c r="BI235" s="158" t="s">
        <v>30</v>
      </c>
    </row>
    <row r="236" spans="6:64" x14ac:dyDescent="0.3">
      <c r="F236" s="160">
        <v>43</v>
      </c>
      <c r="G236" s="160">
        <v>261</v>
      </c>
      <c r="H236" s="160">
        <v>0.22500000000000001</v>
      </c>
      <c r="I236" s="158" t="s">
        <v>35</v>
      </c>
      <c r="N236" s="158" t="s">
        <v>35</v>
      </c>
      <c r="O236" s="160">
        <v>43</v>
      </c>
      <c r="P236" s="158">
        <v>55</v>
      </c>
      <c r="Q236" s="121">
        <v>0</v>
      </c>
      <c r="R236" s="121">
        <v>1</v>
      </c>
      <c r="T236" s="160">
        <v>43</v>
      </c>
      <c r="U236" s="158">
        <v>98</v>
      </c>
      <c r="V236" s="121">
        <v>0.2</v>
      </c>
      <c r="W236" s="121">
        <v>0.8</v>
      </c>
      <c r="Y236" s="4">
        <v>29.061694108311844</v>
      </c>
      <c r="Z236" s="121">
        <v>0</v>
      </c>
      <c r="AA236" s="121">
        <v>1</v>
      </c>
      <c r="AB236" s="119"/>
      <c r="AC236" s="158" t="s">
        <v>31</v>
      </c>
      <c r="AD236" s="121">
        <v>0</v>
      </c>
      <c r="AE236" s="121">
        <v>0</v>
      </c>
      <c r="AF236" s="121">
        <v>1</v>
      </c>
      <c r="AH236" s="158" t="s">
        <v>26</v>
      </c>
      <c r="AI236" s="121">
        <v>0</v>
      </c>
      <c r="AJ236" s="121">
        <v>0</v>
      </c>
      <c r="AK236" s="121">
        <v>1</v>
      </c>
      <c r="AL236" s="119"/>
      <c r="AM236" s="158" t="s">
        <v>32</v>
      </c>
      <c r="AN236" s="121">
        <v>1</v>
      </c>
      <c r="AO236" s="121">
        <v>1</v>
      </c>
      <c r="AP236" s="121">
        <v>0</v>
      </c>
      <c r="AQ236" s="119"/>
      <c r="AR236" s="158" t="s">
        <v>33</v>
      </c>
      <c r="AS236" s="121">
        <v>1</v>
      </c>
      <c r="AT236" s="121">
        <v>1</v>
      </c>
      <c r="AU236" s="121">
        <v>0</v>
      </c>
      <c r="AW236" s="160">
        <v>43</v>
      </c>
      <c r="AX236" s="158" t="s">
        <v>31</v>
      </c>
      <c r="AY236" s="121">
        <v>0</v>
      </c>
      <c r="AZ236" s="121">
        <v>0</v>
      </c>
      <c r="BA236" s="121">
        <v>1</v>
      </c>
      <c r="BB236" s="119"/>
      <c r="BC236" s="158" t="s">
        <v>38</v>
      </c>
      <c r="BD236" s="121">
        <v>1</v>
      </c>
      <c r="BE236" s="121">
        <v>0</v>
      </c>
      <c r="BF236" s="121">
        <v>0</v>
      </c>
      <c r="BG236" s="121">
        <v>1</v>
      </c>
      <c r="BH236" s="160">
        <v>43</v>
      </c>
      <c r="BI236" s="158" t="s">
        <v>35</v>
      </c>
    </row>
    <row r="237" spans="6:64" x14ac:dyDescent="0.3">
      <c r="F237" s="160">
        <v>44</v>
      </c>
      <c r="G237" s="160">
        <v>255</v>
      </c>
      <c r="H237" s="160">
        <v>0.375</v>
      </c>
      <c r="I237" s="158" t="s">
        <v>35</v>
      </c>
      <c r="N237" s="158" t="s">
        <v>35</v>
      </c>
      <c r="O237" s="160">
        <v>44</v>
      </c>
      <c r="P237" s="158">
        <v>37</v>
      </c>
      <c r="Q237" s="121">
        <v>0.45</v>
      </c>
      <c r="R237" s="121">
        <v>0.55000000000000004</v>
      </c>
      <c r="T237" s="160">
        <v>44</v>
      </c>
      <c r="U237" s="158">
        <v>85</v>
      </c>
      <c r="V237" s="121">
        <v>1</v>
      </c>
      <c r="W237" s="121">
        <v>0</v>
      </c>
      <c r="Y237" s="4">
        <v>25.526514289819325</v>
      </c>
      <c r="Z237" s="121">
        <v>0.16372063446451948</v>
      </c>
      <c r="AA237" s="121">
        <v>0.83627936553548055</v>
      </c>
      <c r="AB237" s="119"/>
      <c r="AC237" s="158" t="s">
        <v>31</v>
      </c>
      <c r="AD237" s="121">
        <v>0</v>
      </c>
      <c r="AE237" s="121">
        <v>0</v>
      </c>
      <c r="AF237" s="121">
        <v>1</v>
      </c>
      <c r="AH237" s="158" t="s">
        <v>26</v>
      </c>
      <c r="AI237" s="121">
        <v>0</v>
      </c>
      <c r="AJ237" s="121">
        <v>0</v>
      </c>
      <c r="AK237" s="121">
        <v>1</v>
      </c>
      <c r="AL237" s="119"/>
      <c r="AM237" s="158" t="s">
        <v>27</v>
      </c>
      <c r="AN237" s="121">
        <v>0</v>
      </c>
      <c r="AO237" s="121">
        <v>0</v>
      </c>
      <c r="AP237" s="121">
        <v>1</v>
      </c>
      <c r="AQ237" s="119"/>
      <c r="AR237" s="158" t="s">
        <v>33</v>
      </c>
      <c r="AS237" s="121">
        <v>1</v>
      </c>
      <c r="AT237" s="121">
        <v>1</v>
      </c>
      <c r="AU237" s="121">
        <v>0</v>
      </c>
      <c r="AW237" s="160">
        <v>44</v>
      </c>
      <c r="AX237" s="158" t="s">
        <v>25</v>
      </c>
      <c r="AY237" s="121">
        <v>1</v>
      </c>
      <c r="AZ237" s="121">
        <v>1</v>
      </c>
      <c r="BA237" s="121">
        <v>0</v>
      </c>
      <c r="BB237" s="119"/>
      <c r="BC237" s="158" t="s">
        <v>38</v>
      </c>
      <c r="BD237" s="121">
        <v>1</v>
      </c>
      <c r="BE237" s="121">
        <v>0</v>
      </c>
      <c r="BF237" s="121">
        <v>0</v>
      </c>
      <c r="BG237" s="121">
        <v>1</v>
      </c>
      <c r="BH237" s="160">
        <v>44</v>
      </c>
      <c r="BI237" s="158" t="s">
        <v>35</v>
      </c>
    </row>
    <row r="238" spans="6:64" x14ac:dyDescent="0.3">
      <c r="F238" s="160">
        <v>45</v>
      </c>
      <c r="G238" s="160">
        <v>253</v>
      </c>
      <c r="H238" s="160">
        <v>0.42499999999999999</v>
      </c>
      <c r="I238" s="158" t="s">
        <v>35</v>
      </c>
      <c r="N238" s="158" t="s">
        <v>35</v>
      </c>
      <c r="O238" s="160">
        <v>45</v>
      </c>
      <c r="P238" s="158">
        <v>70</v>
      </c>
      <c r="Q238" s="121">
        <v>0</v>
      </c>
      <c r="R238" s="121">
        <v>1</v>
      </c>
      <c r="T238" s="160">
        <v>45</v>
      </c>
      <c r="U238" s="158">
        <v>85</v>
      </c>
      <c r="V238" s="121">
        <v>1</v>
      </c>
      <c r="W238" s="121">
        <v>0</v>
      </c>
      <c r="Y238" s="4">
        <v>19.705930775952684</v>
      </c>
      <c r="Z238" s="121">
        <v>0.81045213600525734</v>
      </c>
      <c r="AA238" s="121">
        <v>0.18954786399474266</v>
      </c>
      <c r="AB238" s="119"/>
      <c r="AC238" s="158" t="s">
        <v>31</v>
      </c>
      <c r="AD238" s="121">
        <v>0</v>
      </c>
      <c r="AE238" s="121">
        <v>0</v>
      </c>
      <c r="AF238" s="121">
        <v>1</v>
      </c>
      <c r="AH238" s="158" t="s">
        <v>39</v>
      </c>
      <c r="AI238" s="121">
        <v>1</v>
      </c>
      <c r="AJ238" s="121">
        <v>1</v>
      </c>
      <c r="AK238" s="121">
        <v>0</v>
      </c>
      <c r="AL238" s="119"/>
      <c r="AM238" s="158" t="s">
        <v>27</v>
      </c>
      <c r="AN238" s="121">
        <v>0</v>
      </c>
      <c r="AO238" s="121">
        <v>0</v>
      </c>
      <c r="AP238" s="121">
        <v>1</v>
      </c>
      <c r="AQ238" s="119"/>
      <c r="AR238" s="158" t="s">
        <v>33</v>
      </c>
      <c r="AS238" s="121">
        <v>1</v>
      </c>
      <c r="AT238" s="121">
        <v>1</v>
      </c>
      <c r="AU238" s="121">
        <v>0</v>
      </c>
      <c r="AW238" s="160">
        <v>45</v>
      </c>
      <c r="AX238" s="158" t="s">
        <v>25</v>
      </c>
      <c r="AY238" s="121">
        <v>1</v>
      </c>
      <c r="AZ238" s="121">
        <v>1</v>
      </c>
      <c r="BA238" s="121">
        <v>0</v>
      </c>
      <c r="BB238" s="119"/>
      <c r="BC238" s="158" t="s">
        <v>38</v>
      </c>
      <c r="BD238" s="121">
        <v>1</v>
      </c>
      <c r="BE238" s="121">
        <v>0</v>
      </c>
      <c r="BF238" s="121">
        <v>0</v>
      </c>
      <c r="BG238" s="121">
        <v>1</v>
      </c>
      <c r="BH238" s="160">
        <v>45</v>
      </c>
      <c r="BI238" s="158" t="s">
        <v>35</v>
      </c>
    </row>
    <row r="239" spans="6:64" x14ac:dyDescent="0.3">
      <c r="F239" s="160">
        <v>51</v>
      </c>
      <c r="G239" s="160">
        <v>227</v>
      </c>
      <c r="H239" s="160">
        <v>0.9</v>
      </c>
      <c r="I239" s="158" t="s">
        <v>36</v>
      </c>
      <c r="N239" s="158" t="s">
        <v>36</v>
      </c>
      <c r="O239" s="160">
        <v>51</v>
      </c>
      <c r="P239" s="158">
        <v>27</v>
      </c>
      <c r="Q239" s="121">
        <v>0.95</v>
      </c>
      <c r="R239" s="121">
        <v>0.05</v>
      </c>
      <c r="T239" s="160">
        <v>51</v>
      </c>
      <c r="U239" s="158">
        <v>83</v>
      </c>
      <c r="V239" s="121">
        <v>1</v>
      </c>
      <c r="W239" s="121">
        <v>0</v>
      </c>
      <c r="Y239" s="4">
        <v>23.763286411950588</v>
      </c>
      <c r="Z239" s="121">
        <v>0.35963484311660132</v>
      </c>
      <c r="AA239" s="121">
        <v>0.64036515688339868</v>
      </c>
      <c r="AB239" s="119"/>
      <c r="AC239" s="158" t="s">
        <v>25</v>
      </c>
      <c r="AD239" s="121">
        <v>1</v>
      </c>
      <c r="AE239" s="121">
        <v>1</v>
      </c>
      <c r="AF239" s="121">
        <v>0</v>
      </c>
      <c r="AH239" s="158" t="s">
        <v>26</v>
      </c>
      <c r="AI239" s="121">
        <v>0</v>
      </c>
      <c r="AJ239" s="121">
        <v>0</v>
      </c>
      <c r="AK239" s="121">
        <v>1</v>
      </c>
      <c r="AL239" s="119"/>
      <c r="AM239" s="158" t="s">
        <v>27</v>
      </c>
      <c r="AN239" s="121">
        <v>0</v>
      </c>
      <c r="AO239" s="121">
        <v>0</v>
      </c>
      <c r="AP239" s="121">
        <v>1</v>
      </c>
      <c r="AQ239" s="119"/>
      <c r="AR239" s="158" t="s">
        <v>33</v>
      </c>
      <c r="AS239" s="121">
        <v>1</v>
      </c>
      <c r="AT239" s="121">
        <v>1</v>
      </c>
      <c r="AU239" s="121">
        <v>0</v>
      </c>
      <c r="AW239" s="160">
        <v>51</v>
      </c>
      <c r="AX239" s="158" t="s">
        <v>25</v>
      </c>
      <c r="AY239" s="121">
        <v>1</v>
      </c>
      <c r="AZ239" s="121">
        <v>1</v>
      </c>
      <c r="BA239" s="121">
        <v>0</v>
      </c>
      <c r="BB239" s="119"/>
      <c r="BC239" s="158" t="s">
        <v>34</v>
      </c>
      <c r="BD239" s="121">
        <v>0</v>
      </c>
      <c r="BE239" s="121">
        <v>1</v>
      </c>
      <c r="BF239" s="121">
        <v>0</v>
      </c>
      <c r="BG239" s="121">
        <v>0</v>
      </c>
      <c r="BH239" s="160">
        <v>51</v>
      </c>
      <c r="BI239" s="158" t="s">
        <v>36</v>
      </c>
    </row>
    <row r="240" spans="6:64" x14ac:dyDescent="0.3">
      <c r="F240" s="160">
        <v>52</v>
      </c>
      <c r="G240" s="160">
        <v>235</v>
      </c>
      <c r="H240" s="160">
        <v>0.875</v>
      </c>
      <c r="I240" s="158" t="s">
        <v>35</v>
      </c>
      <c r="N240" s="158" t="s">
        <v>35</v>
      </c>
      <c r="O240" s="160">
        <v>52</v>
      </c>
      <c r="P240" s="158">
        <v>80</v>
      </c>
      <c r="Q240" s="121">
        <v>0</v>
      </c>
      <c r="R240" s="121">
        <v>1</v>
      </c>
      <c r="T240" s="160">
        <v>52</v>
      </c>
      <c r="U240" s="158">
        <v>87</v>
      </c>
      <c r="V240" s="121">
        <v>1</v>
      </c>
      <c r="W240" s="121">
        <v>0</v>
      </c>
      <c r="Y240" s="4">
        <v>20.035707200952192</v>
      </c>
      <c r="Z240" s="121">
        <v>0.77381031100531195</v>
      </c>
      <c r="AA240" s="121">
        <v>0.22618968899468803</v>
      </c>
      <c r="AB240" s="119"/>
      <c r="AC240" s="158" t="s">
        <v>31</v>
      </c>
      <c r="AD240" s="121">
        <v>0</v>
      </c>
      <c r="AE240" s="121">
        <v>0</v>
      </c>
      <c r="AF240" s="121">
        <v>1</v>
      </c>
      <c r="AH240" s="158" t="s">
        <v>39</v>
      </c>
      <c r="AI240" s="121">
        <v>1</v>
      </c>
      <c r="AJ240" s="121">
        <v>1</v>
      </c>
      <c r="AK240" s="121">
        <v>0</v>
      </c>
      <c r="AL240" s="119"/>
      <c r="AM240" s="158" t="s">
        <v>27</v>
      </c>
      <c r="AN240" s="121">
        <v>0</v>
      </c>
      <c r="AO240" s="121">
        <v>0</v>
      </c>
      <c r="AP240" s="121">
        <v>1</v>
      </c>
      <c r="AQ240" s="119"/>
      <c r="AR240" s="158" t="s">
        <v>33</v>
      </c>
      <c r="AS240" s="121">
        <v>1</v>
      </c>
      <c r="AT240" s="121">
        <v>1</v>
      </c>
      <c r="AU240" s="121">
        <v>0</v>
      </c>
      <c r="AW240" s="160">
        <v>52</v>
      </c>
      <c r="AX240" s="158" t="s">
        <v>31</v>
      </c>
      <c r="AY240" s="121">
        <v>0</v>
      </c>
      <c r="AZ240" s="121">
        <v>0</v>
      </c>
      <c r="BA240" s="121">
        <v>1</v>
      </c>
      <c r="BB240" s="119"/>
      <c r="BC240" s="158" t="s">
        <v>34</v>
      </c>
      <c r="BD240" s="121">
        <v>0</v>
      </c>
      <c r="BE240" s="121">
        <v>1</v>
      </c>
      <c r="BF240" s="121">
        <v>0</v>
      </c>
      <c r="BG240" s="121">
        <v>0</v>
      </c>
      <c r="BH240" s="160">
        <v>52</v>
      </c>
      <c r="BI240" s="158" t="s">
        <v>35</v>
      </c>
    </row>
    <row r="241" spans="6:61" x14ac:dyDescent="0.3">
      <c r="F241" s="160">
        <v>54</v>
      </c>
      <c r="G241" s="160">
        <v>256</v>
      </c>
      <c r="H241" s="160">
        <v>0.35</v>
      </c>
      <c r="I241" s="158" t="s">
        <v>30</v>
      </c>
      <c r="N241" s="158" t="s">
        <v>30</v>
      </c>
      <c r="O241" s="160">
        <v>54</v>
      </c>
      <c r="P241" s="158">
        <v>80</v>
      </c>
      <c r="Q241" s="121">
        <v>0</v>
      </c>
      <c r="R241" s="121">
        <v>1</v>
      </c>
      <c r="T241" s="160">
        <v>54</v>
      </c>
      <c r="U241" s="158">
        <v>78</v>
      </c>
      <c r="V241" s="121">
        <v>1</v>
      </c>
      <c r="W241" s="121">
        <v>0</v>
      </c>
      <c r="Y241" s="4">
        <v>20.894901144640997</v>
      </c>
      <c r="Z241" s="121">
        <v>0.67834431726211142</v>
      </c>
      <c r="AA241" s="121">
        <v>0.32165568273788853</v>
      </c>
      <c r="AB241" s="119"/>
      <c r="AC241" s="158" t="s">
        <v>31</v>
      </c>
      <c r="AD241" s="121">
        <v>0</v>
      </c>
      <c r="AE241" s="121">
        <v>0</v>
      </c>
      <c r="AF241" s="121">
        <v>1</v>
      </c>
      <c r="AH241" s="158" t="s">
        <v>26</v>
      </c>
      <c r="AI241" s="121">
        <v>0</v>
      </c>
      <c r="AJ241" s="121">
        <v>0</v>
      </c>
      <c r="AK241" s="121">
        <v>1</v>
      </c>
      <c r="AL241" s="119"/>
      <c r="AM241" s="158" t="s">
        <v>27</v>
      </c>
      <c r="AN241" s="121">
        <v>0</v>
      </c>
      <c r="AO241" s="121">
        <v>0</v>
      </c>
      <c r="AP241" s="121">
        <v>1</v>
      </c>
      <c r="AQ241" s="119"/>
      <c r="AR241" s="158" t="s">
        <v>28</v>
      </c>
      <c r="AS241" s="121">
        <v>0</v>
      </c>
      <c r="AT241" s="121">
        <v>0</v>
      </c>
      <c r="AU241" s="121">
        <v>1</v>
      </c>
      <c r="AW241" s="160">
        <v>54</v>
      </c>
      <c r="AX241" s="158" t="s">
        <v>31</v>
      </c>
      <c r="AY241" s="121">
        <v>0</v>
      </c>
      <c r="AZ241" s="121">
        <v>0</v>
      </c>
      <c r="BA241" s="121">
        <v>1</v>
      </c>
      <c r="BB241" s="119"/>
      <c r="BC241" s="158" t="s">
        <v>29</v>
      </c>
      <c r="BD241" s="121">
        <v>0.5</v>
      </c>
      <c r="BE241" s="121">
        <v>0</v>
      </c>
      <c r="BF241" s="121">
        <v>1</v>
      </c>
      <c r="BG241" s="121">
        <v>0</v>
      </c>
      <c r="BH241" s="160">
        <v>54</v>
      </c>
      <c r="BI241" s="158" t="s">
        <v>30</v>
      </c>
    </row>
    <row r="242" spans="6:61" x14ac:dyDescent="0.3">
      <c r="F242" s="160">
        <v>56</v>
      </c>
      <c r="G242" s="160">
        <v>259</v>
      </c>
      <c r="H242" s="160">
        <v>0.27500000000000002</v>
      </c>
      <c r="I242" s="158" t="s">
        <v>35</v>
      </c>
      <c r="N242" s="158" t="s">
        <v>35</v>
      </c>
      <c r="O242" s="160">
        <v>56</v>
      </c>
      <c r="P242" s="158">
        <v>51</v>
      </c>
      <c r="Q242" s="121">
        <v>0</v>
      </c>
      <c r="R242" s="121">
        <v>1</v>
      </c>
      <c r="T242" s="160">
        <v>56</v>
      </c>
      <c r="U242" s="158">
        <v>85</v>
      </c>
      <c r="V242" s="121">
        <f t="shared" ref="V242:V245" si="58">IF(U242&lt;=$AF$1,1,IF(AND($AF$1&lt;U242,U242&lt;$AF$2),($AF$2-U242)/($AF$2-$AF$1),IF(U242&gt;=$AF$2,0)))</f>
        <v>1</v>
      </c>
      <c r="W242" s="121">
        <f t="shared" ref="W242:W245" si="59">IF(U242&lt;=$AF$1,0,IF(AND($AF$1&lt;U242,U242&lt;$AF$2),(U242-$AF$1)/($AF$2-$AF$1),IF(U242&gt;=$AF$2,1)))</f>
        <v>0</v>
      </c>
      <c r="Y242" s="4">
        <v>22.812933941678239</v>
      </c>
      <c r="Z242" s="121">
        <v>0.46522956203575128</v>
      </c>
      <c r="AA242" s="121">
        <v>0.53477043796424872</v>
      </c>
      <c r="AB242" s="119"/>
      <c r="AC242" s="158" t="s">
        <v>31</v>
      </c>
      <c r="AD242" s="121">
        <v>0</v>
      </c>
      <c r="AE242" s="121">
        <v>0</v>
      </c>
      <c r="AF242" s="121">
        <v>1</v>
      </c>
      <c r="AH242" s="158" t="s">
        <v>39</v>
      </c>
      <c r="AI242" s="121">
        <v>1</v>
      </c>
      <c r="AJ242" s="121">
        <v>1</v>
      </c>
      <c r="AK242" s="121">
        <v>0</v>
      </c>
      <c r="AL242" s="119"/>
      <c r="AM242" s="158" t="s">
        <v>27</v>
      </c>
      <c r="AN242" s="121">
        <v>0</v>
      </c>
      <c r="AO242" s="121">
        <v>0</v>
      </c>
      <c r="AP242" s="121">
        <v>1</v>
      </c>
      <c r="AQ242" s="119"/>
      <c r="AR242" s="158" t="s">
        <v>33</v>
      </c>
      <c r="AS242" s="121">
        <v>1</v>
      </c>
      <c r="AT242" s="121">
        <v>1</v>
      </c>
      <c r="AU242" s="121">
        <v>0</v>
      </c>
      <c r="AW242" s="160">
        <v>56</v>
      </c>
      <c r="AX242" s="158" t="s">
        <v>31</v>
      </c>
      <c r="AY242" s="121">
        <v>0</v>
      </c>
      <c r="AZ242" s="121">
        <v>0</v>
      </c>
      <c r="BA242" s="121">
        <v>1</v>
      </c>
      <c r="BB242" s="119"/>
      <c r="BC242" s="158" t="s">
        <v>29</v>
      </c>
      <c r="BD242" s="121">
        <v>0.5</v>
      </c>
      <c r="BE242" s="121">
        <v>0</v>
      </c>
      <c r="BF242" s="121">
        <v>1</v>
      </c>
      <c r="BG242" s="121">
        <v>0</v>
      </c>
      <c r="BH242" s="160">
        <v>56</v>
      </c>
      <c r="BI242" s="158" t="s">
        <v>35</v>
      </c>
    </row>
    <row r="243" spans="6:61" x14ac:dyDescent="0.3">
      <c r="F243" s="160">
        <v>57</v>
      </c>
      <c r="G243" s="160">
        <v>222</v>
      </c>
      <c r="H243" s="160">
        <v>0.73333333333333328</v>
      </c>
      <c r="I243" s="158" t="s">
        <v>36</v>
      </c>
      <c r="N243" s="158" t="s">
        <v>36</v>
      </c>
      <c r="O243" s="160">
        <v>57</v>
      </c>
      <c r="P243" s="158">
        <v>22</v>
      </c>
      <c r="Q243" s="121">
        <v>1</v>
      </c>
      <c r="R243" s="121">
        <v>0</v>
      </c>
      <c r="T243" s="160">
        <v>57</v>
      </c>
      <c r="U243" s="158">
        <v>70</v>
      </c>
      <c r="V243" s="121">
        <f t="shared" si="58"/>
        <v>1</v>
      </c>
      <c r="W243" s="121">
        <f t="shared" si="59"/>
        <v>0</v>
      </c>
      <c r="Y243" s="4">
        <v>18.737894689428405</v>
      </c>
      <c r="Z243" s="121">
        <v>0.91801170117462172</v>
      </c>
      <c r="AA243" s="121">
        <v>8.1988298825378322E-2</v>
      </c>
      <c r="AB243" s="119"/>
      <c r="AC243" s="158" t="s">
        <v>31</v>
      </c>
      <c r="AD243" s="121">
        <v>0</v>
      </c>
      <c r="AE243" s="121">
        <v>0</v>
      </c>
      <c r="AF243" s="121">
        <v>1</v>
      </c>
      <c r="AH243" s="158" t="s">
        <v>26</v>
      </c>
      <c r="AI243" s="121">
        <v>0</v>
      </c>
      <c r="AJ243" s="121">
        <v>0</v>
      </c>
      <c r="AK243" s="121">
        <v>1</v>
      </c>
      <c r="AL243" s="119"/>
      <c r="AM243" s="158" t="s">
        <v>27</v>
      </c>
      <c r="AN243" s="121">
        <v>0</v>
      </c>
      <c r="AO243" s="121">
        <v>0</v>
      </c>
      <c r="AP243" s="121">
        <v>1</v>
      </c>
      <c r="AQ243" s="119"/>
      <c r="AR243" s="158" t="s">
        <v>28</v>
      </c>
      <c r="AS243" s="121">
        <v>0</v>
      </c>
      <c r="AT243" s="121">
        <v>0</v>
      </c>
      <c r="AU243" s="121">
        <v>1</v>
      </c>
      <c r="AW243" s="160">
        <v>57</v>
      </c>
      <c r="AX243" s="158" t="s">
        <v>25</v>
      </c>
      <c r="AY243" s="121">
        <f t="shared" ref="AY243:AY245" si="60">IF(AX243="Ya", 1, 0)</f>
        <v>1</v>
      </c>
      <c r="AZ243" s="121">
        <f t="shared" ref="AZ243:AZ245" si="61">($BH$2-AY243)/($BH$2-$BH$1)</f>
        <v>1</v>
      </c>
      <c r="BA243" s="121">
        <f t="shared" ref="BA243:BA245" si="62">(AY243-$BH$1)/($BH$2-$BH$1)</f>
        <v>0</v>
      </c>
      <c r="BB243" s="119"/>
      <c r="BC243" s="158" t="s">
        <v>34</v>
      </c>
      <c r="BD243" s="121">
        <f t="shared" ref="BD243:BD245" si="63">IF(BC243="Tidak", 0,IF(BC243="≤ 3 gelas", 0.5, IF(BC243="&gt; 3 gelas", 1, )))</f>
        <v>0</v>
      </c>
      <c r="BE243" s="121">
        <f t="shared" ref="BE243:BE245" si="64">IF(BD243&lt;=$BL$2,1,IF(AND($BL$2&lt;BD243,BD243&lt;$BM$2),($BM$2-BD243)/($BM$2-$BL$2),IF(BD243&gt;=$BM$2,0)))</f>
        <v>1</v>
      </c>
      <c r="BF243" s="121">
        <f>IF(AND($BL$2&lt;BD243,BD243&lt;$BM$2),(BD243-$BL$2)/($BM$2-$BL$2),IF(AND($BM$2&lt;=BD243,BD243&lt;$BN$2),($BN$2-BD243)/($BN$2-$BM$2), IF(OR(BD243&lt;=$BL$2,BD243&gt;=$BN$2),0,salah)))</f>
        <v>0</v>
      </c>
      <c r="BG243" s="121">
        <f t="shared" ref="BG243:BG245" si="65">IF(BD243&lt;=$BM$2,0,IF(AND($BM$2&lt;BD243,BD243&lt;$BN$2),(BD243-$BM$2)/($BN$2-$BM$2),IF(BD243&gt;=$BM$2,1)))</f>
        <v>0</v>
      </c>
      <c r="BH243" s="160">
        <v>57</v>
      </c>
      <c r="BI243" s="158" t="s">
        <v>36</v>
      </c>
    </row>
    <row r="244" spans="6:61" x14ac:dyDescent="0.3">
      <c r="F244" s="160">
        <v>58</v>
      </c>
      <c r="G244" s="160">
        <v>219</v>
      </c>
      <c r="H244" s="160">
        <v>0.6333333333333333</v>
      </c>
      <c r="I244" s="158" t="s">
        <v>30</v>
      </c>
      <c r="N244" s="158" t="s">
        <v>30</v>
      </c>
      <c r="O244" s="160">
        <v>58</v>
      </c>
      <c r="P244" s="158">
        <v>65</v>
      </c>
      <c r="Q244" s="121">
        <v>0</v>
      </c>
      <c r="R244" s="121">
        <v>1</v>
      </c>
      <c r="T244" s="160">
        <v>58</v>
      </c>
      <c r="U244" s="158">
        <v>91</v>
      </c>
      <c r="V244" s="121">
        <f t="shared" si="58"/>
        <v>0.9</v>
      </c>
      <c r="W244" s="121">
        <f t="shared" si="59"/>
        <v>0.1</v>
      </c>
      <c r="Y244" s="4">
        <v>24.765704392336936</v>
      </c>
      <c r="Z244" s="121">
        <v>0.24825506751811824</v>
      </c>
      <c r="AA244" s="121">
        <v>0.75174493248188179</v>
      </c>
      <c r="AB244" s="119"/>
      <c r="AC244" s="158" t="s">
        <v>25</v>
      </c>
      <c r="AD244" s="121">
        <v>1</v>
      </c>
      <c r="AE244" s="121">
        <v>1</v>
      </c>
      <c r="AF244" s="121">
        <v>0</v>
      </c>
      <c r="AH244" s="158" t="s">
        <v>26</v>
      </c>
      <c r="AI244" s="121">
        <v>0</v>
      </c>
      <c r="AJ244" s="121">
        <v>0</v>
      </c>
      <c r="AK244" s="121">
        <v>1</v>
      </c>
      <c r="AL244" s="119"/>
      <c r="AM244" s="158" t="s">
        <v>27</v>
      </c>
      <c r="AN244" s="121">
        <v>0</v>
      </c>
      <c r="AO244" s="121">
        <v>0</v>
      </c>
      <c r="AP244" s="121">
        <v>1</v>
      </c>
      <c r="AQ244" s="119"/>
      <c r="AR244" s="158" t="s">
        <v>33</v>
      </c>
      <c r="AS244" s="121">
        <v>1</v>
      </c>
      <c r="AT244" s="121">
        <v>1</v>
      </c>
      <c r="AU244" s="121">
        <v>0</v>
      </c>
      <c r="AW244" s="160">
        <v>58</v>
      </c>
      <c r="AX244" s="158" t="s">
        <v>25</v>
      </c>
      <c r="AY244" s="121">
        <f t="shared" si="60"/>
        <v>1</v>
      </c>
      <c r="AZ244" s="121">
        <f t="shared" si="61"/>
        <v>1</v>
      </c>
      <c r="BA244" s="121">
        <f t="shared" si="62"/>
        <v>0</v>
      </c>
      <c r="BB244" s="119"/>
      <c r="BC244" s="158" t="s">
        <v>29</v>
      </c>
      <c r="BD244" s="121">
        <f t="shared" si="63"/>
        <v>0.5</v>
      </c>
      <c r="BE244" s="121">
        <f t="shared" si="64"/>
        <v>0</v>
      </c>
      <c r="BF244" s="121">
        <f>IF(AND($BL$2&lt;BD244,BD244&lt;$BM$2),(BD244-$BL$2)/($BM$2-$BL$2),IF(AND($BM$2&lt;=BD244,BD244&lt;$BN$2),($BN$2-BD244)/($BN$2-$BM$2), IF(OR(BD244&lt;=$BL$2,BD244&gt;=$BN$2),0,salah)))</f>
        <v>1</v>
      </c>
      <c r="BG244" s="121">
        <f t="shared" si="65"/>
        <v>0</v>
      </c>
      <c r="BH244" s="160">
        <v>58</v>
      </c>
      <c r="BI244" s="158" t="s">
        <v>30</v>
      </c>
    </row>
    <row r="245" spans="6:61" x14ac:dyDescent="0.3">
      <c r="F245" s="160">
        <v>59</v>
      </c>
      <c r="G245" s="160">
        <v>237</v>
      </c>
      <c r="H245" s="160">
        <v>0.82499999999999996</v>
      </c>
      <c r="I245" s="158" t="s">
        <v>36</v>
      </c>
      <c r="N245" s="158" t="s">
        <v>36</v>
      </c>
      <c r="O245" s="160">
        <v>59</v>
      </c>
      <c r="P245" s="158">
        <v>23</v>
      </c>
      <c r="Q245" s="121">
        <v>1</v>
      </c>
      <c r="R245" s="121">
        <v>0</v>
      </c>
      <c r="T245" s="160">
        <v>59</v>
      </c>
      <c r="U245" s="158">
        <v>85</v>
      </c>
      <c r="V245" s="121">
        <f t="shared" si="58"/>
        <v>1</v>
      </c>
      <c r="W245" s="121">
        <f t="shared" si="59"/>
        <v>0</v>
      </c>
      <c r="Y245" s="4">
        <v>22.977777777777778</v>
      </c>
      <c r="Z245" s="121">
        <v>0.44691358024691358</v>
      </c>
      <c r="AA245" s="121">
        <v>0.55308641975308648</v>
      </c>
      <c r="AB245" s="119"/>
      <c r="AC245" s="158" t="s">
        <v>31</v>
      </c>
      <c r="AD245" s="121">
        <v>0</v>
      </c>
      <c r="AE245" s="121">
        <v>0</v>
      </c>
      <c r="AF245" s="121">
        <v>1</v>
      </c>
      <c r="AH245" s="158" t="s">
        <v>26</v>
      </c>
      <c r="AI245" s="121">
        <v>0</v>
      </c>
      <c r="AJ245" s="121">
        <v>0</v>
      </c>
      <c r="AK245" s="121">
        <v>1</v>
      </c>
      <c r="AL245" s="119"/>
      <c r="AM245" s="158" t="s">
        <v>27</v>
      </c>
      <c r="AN245" s="121">
        <v>0</v>
      </c>
      <c r="AO245" s="121">
        <v>0</v>
      </c>
      <c r="AP245" s="121">
        <v>1</v>
      </c>
      <c r="AQ245" s="119"/>
      <c r="AR245" s="158" t="s">
        <v>28</v>
      </c>
      <c r="AS245" s="121">
        <v>0</v>
      </c>
      <c r="AT245" s="121">
        <v>0</v>
      </c>
      <c r="AU245" s="121">
        <v>1</v>
      </c>
      <c r="AW245" s="160">
        <v>59</v>
      </c>
      <c r="AX245" s="158" t="s">
        <v>25</v>
      </c>
      <c r="AY245" s="121">
        <f t="shared" si="60"/>
        <v>1</v>
      </c>
      <c r="AZ245" s="121">
        <f t="shared" si="61"/>
        <v>1</v>
      </c>
      <c r="BA245" s="121">
        <f t="shared" si="62"/>
        <v>0</v>
      </c>
      <c r="BB245" s="119"/>
      <c r="BC245" s="158" t="s">
        <v>29</v>
      </c>
      <c r="BD245" s="121">
        <f t="shared" si="63"/>
        <v>0.5</v>
      </c>
      <c r="BE245" s="121">
        <f t="shared" si="64"/>
        <v>0</v>
      </c>
      <c r="BF245" s="121">
        <f>IF(AND($BL$2&lt;BD245,BD245&lt;$BM$2),(BD245-$BL$2)/($BM$2-$BL$2),IF(AND($BM$2&lt;=BD245,BD245&lt;$BN$2),($BN$2-BD245)/($BN$2-$BM$2), IF(OR(BD245&lt;=$BL$2,BD245&gt;=$BN$2),0,salah)))</f>
        <v>1</v>
      </c>
      <c r="BG245" s="121">
        <f t="shared" si="65"/>
        <v>0</v>
      </c>
      <c r="BH245" s="160">
        <v>59</v>
      </c>
      <c r="BI245" s="158" t="s">
        <v>36</v>
      </c>
    </row>
    <row r="246" spans="6:61" x14ac:dyDescent="0.3">
      <c r="F246" s="119"/>
      <c r="G246" s="119" t="s">
        <v>64</v>
      </c>
      <c r="H246" s="119">
        <f>SUM(H211:H245)</f>
        <v>18.216666666666665</v>
      </c>
      <c r="I246" s="119"/>
      <c r="P246" s="142" t="s">
        <v>64</v>
      </c>
      <c r="Q246" s="142">
        <f>SUM(Q211:Q245)</f>
        <v>6.7</v>
      </c>
      <c r="R246" s="142">
        <f>SUM(R211:R245)</f>
        <v>28.300000000000004</v>
      </c>
      <c r="U246" s="142" t="s">
        <v>64</v>
      </c>
      <c r="V246" s="142">
        <f>SUM(V211:V245)</f>
        <v>24.4</v>
      </c>
      <c r="W246" s="142">
        <f>SUM(W211:W245)</f>
        <v>10.6</v>
      </c>
      <c r="Y246" s="142" t="s">
        <v>64</v>
      </c>
      <c r="Z246" s="142">
        <f>SUM(Z211:Z245)</f>
        <v>10.114258217517724</v>
      </c>
      <c r="AA246" s="142">
        <f>SUM(AA211:AA245)</f>
        <v>24.885741782482278</v>
      </c>
      <c r="AD246" s="142" t="s">
        <v>64</v>
      </c>
      <c r="AE246" s="142">
        <f>SUM(AE211:AE245)</f>
        <v>11</v>
      </c>
      <c r="AF246" s="142">
        <f>SUM(AF211:AF245)</f>
        <v>24</v>
      </c>
      <c r="AI246" s="142" t="s">
        <v>64</v>
      </c>
      <c r="AJ246" s="142">
        <f>SUM(AJ211:AJ245)</f>
        <v>12</v>
      </c>
      <c r="AK246" s="142">
        <f>SUM(AK211:AK245)</f>
        <v>23</v>
      </c>
      <c r="AN246" s="142" t="s">
        <v>64</v>
      </c>
      <c r="AO246" s="142">
        <f>SUM(AO211:AO245)</f>
        <v>12</v>
      </c>
      <c r="AP246" s="142">
        <f>SUM(AP211:AP245)</f>
        <v>23</v>
      </c>
      <c r="AS246" s="142" t="s">
        <v>64</v>
      </c>
      <c r="AT246" s="142">
        <f>SUM(AT211:AT245)</f>
        <v>18</v>
      </c>
      <c r="AU246" s="142">
        <f>SUM(AU211:AU245)</f>
        <v>17</v>
      </c>
      <c r="AY246" s="142" t="s">
        <v>64</v>
      </c>
      <c r="AZ246" s="142">
        <f>SUM(AZ211:AZ245)</f>
        <v>21</v>
      </c>
      <c r="BA246" s="142">
        <f>SUM(BA211:BA245)</f>
        <v>14</v>
      </c>
      <c r="BD246" s="142" t="s">
        <v>64</v>
      </c>
      <c r="BE246" s="142">
        <f>SUM(BE211:BE245)</f>
        <v>13</v>
      </c>
      <c r="BF246" s="142">
        <f>SUM(BF211:BF245)</f>
        <v>14</v>
      </c>
      <c r="BG246" s="142">
        <f>SUM(BG211:BG245)</f>
        <v>8</v>
      </c>
    </row>
    <row r="247" spans="6:61" x14ac:dyDescent="0.3">
      <c r="G247" s="142" t="s">
        <v>36</v>
      </c>
      <c r="H247" s="142">
        <f>COUNTIF(I211:I245, "Rendah")</f>
        <v>8</v>
      </c>
      <c r="P247" s="141" t="s">
        <v>36</v>
      </c>
      <c r="Q247" s="146">
        <f>SUMIF(N211:N245,P247,Q211:Q245)</f>
        <v>4.05</v>
      </c>
      <c r="R247" s="141">
        <f>SUMIF(N211:N245,P247,R211:R245)</f>
        <v>3.9499999999999997</v>
      </c>
      <c r="U247" s="141" t="s">
        <v>36</v>
      </c>
      <c r="V247" s="146">
        <f>SUMIF($N$211:$N$245,U247,V211:V245)</f>
        <v>5.5</v>
      </c>
      <c r="W247" s="141">
        <f>SUMIF($N$211:$N$245,U247,W211:W245)</f>
        <v>2.5</v>
      </c>
      <c r="Y247" s="141" t="s">
        <v>36</v>
      </c>
      <c r="Z247" s="146">
        <f>SUMIF($N$211:$N$245,Y247,Z211:Z245)</f>
        <v>2.64412921793642</v>
      </c>
      <c r="AA247" s="141">
        <f>SUMIF($N$211:$N$245,Y247,AA211:AA245)</f>
        <v>5.3558707820635796</v>
      </c>
      <c r="AD247" s="141" t="s">
        <v>36</v>
      </c>
      <c r="AE247" s="146">
        <f>SUMIF($N$211:$N$245,AD247,AE211:AE245)</f>
        <v>3</v>
      </c>
      <c r="AF247" s="141">
        <f>SUMIF($N$211:$N$245,AD247,AF211:AF245)</f>
        <v>5</v>
      </c>
      <c r="AI247" s="141" t="s">
        <v>36</v>
      </c>
      <c r="AJ247" s="146">
        <f>SUMIF($N$211:$N$245,AI247,AJ211:AJ245)</f>
        <v>1</v>
      </c>
      <c r="AK247" s="141">
        <f>SUMIF($N$211:$N$245,AI247,AK211:AK245)</f>
        <v>7</v>
      </c>
      <c r="AN247" s="141" t="s">
        <v>36</v>
      </c>
      <c r="AO247" s="146">
        <f>SUMIF($N$211:$N$245,AN247,AO211:AO245)</f>
        <v>2</v>
      </c>
      <c r="AP247" s="141">
        <f>SUMIF($N$211:$N$245,AN247,AP211:AP245)</f>
        <v>6</v>
      </c>
      <c r="AS247" s="141" t="s">
        <v>36</v>
      </c>
      <c r="AT247" s="146">
        <f>SUMIF($N$211:$N$245,AS247,AT211:AT245)</f>
        <v>3</v>
      </c>
      <c r="AU247" s="141">
        <f>SUMIF($N$211:$N$245,AS247,AU211:AU245)</f>
        <v>5</v>
      </c>
      <c r="AY247" s="141" t="s">
        <v>36</v>
      </c>
      <c r="AZ247" s="146">
        <f>SUMIF($N$211:$N$245,AY247,AZ211:AZ245)</f>
        <v>8</v>
      </c>
      <c r="BA247" s="141">
        <f>SUMIF($N$211:$N$245,AY247,BA211:BA245)</f>
        <v>0</v>
      </c>
      <c r="BD247" s="141" t="s">
        <v>36</v>
      </c>
      <c r="BE247" s="146">
        <f>SUMIF($N$211:$N$245,BD247,BE211:BE245)</f>
        <v>6</v>
      </c>
      <c r="BF247" s="141">
        <f>SUMIF($N$211:$N$245,BD247,BF211:BF245)</f>
        <v>2</v>
      </c>
      <c r="BG247" s="141">
        <f>SUMIF($N$211:$N$245,BD247,BG211:BG245)</f>
        <v>0</v>
      </c>
    </row>
    <row r="248" spans="6:61" x14ac:dyDescent="0.3">
      <c r="G248" s="142" t="s">
        <v>30</v>
      </c>
      <c r="H248" s="142">
        <f>COUNTIF(I211:I245, "Sedang")</f>
        <v>15</v>
      </c>
      <c r="P248" s="141" t="s">
        <v>30</v>
      </c>
      <c r="Q248" s="146">
        <f>SUMIF(N211:N245,P248,Q211:Q245)</f>
        <v>2.0499999999999998</v>
      </c>
      <c r="R248" s="141">
        <f>SUMIF(N211:N245,P248,R211:R245)</f>
        <v>12.95</v>
      </c>
      <c r="U248" s="141" t="s">
        <v>30</v>
      </c>
      <c r="V248" s="146">
        <f>SUMIF($N$211:$N$245,U248,V211:V245)</f>
        <v>11.100000000000001</v>
      </c>
      <c r="W248" s="141">
        <f>SUMIF($N$211:$N$245,U248,W211:W245)</f>
        <v>3.9</v>
      </c>
      <c r="Y248" s="141" t="s">
        <v>30</v>
      </c>
      <c r="Z248" s="146">
        <f>SUMIF($N$211:$N$245,Y248,Z211:Z245)</f>
        <v>4.1262585043215596</v>
      </c>
      <c r="AA248" s="141">
        <f>SUMIF($N$211:$N$245,Y248,AA211:AA245)</f>
        <v>10.873741495678441</v>
      </c>
      <c r="AD248" s="141" t="s">
        <v>30</v>
      </c>
      <c r="AE248" s="146">
        <f>SUMIF($N$211:$N$245,AD248,AE211:AE245)</f>
        <v>6</v>
      </c>
      <c r="AF248" s="141">
        <f>SUMIF($N$211:$N$245,AD248,AF211:AF245)</f>
        <v>9</v>
      </c>
      <c r="AI248" s="141" t="s">
        <v>30</v>
      </c>
      <c r="AJ248" s="146">
        <f>SUMIF($N$211:$N$245,AI248,AJ211:AJ245)</f>
        <v>4</v>
      </c>
      <c r="AK248" s="141">
        <f>SUMIF($N$211:$N$245,AI248,AK211:AK245)</f>
        <v>11</v>
      </c>
      <c r="AN248" s="141" t="s">
        <v>30</v>
      </c>
      <c r="AO248" s="146">
        <f>SUMIF($N$211:$N$245,AN248,AO211:AO245)</f>
        <v>6</v>
      </c>
      <c r="AP248" s="141">
        <f>SUMIF($N$211:$N$245,AN248,AP211:AP245)</f>
        <v>9</v>
      </c>
      <c r="AS248" s="141" t="s">
        <v>30</v>
      </c>
      <c r="AT248" s="146">
        <f>SUMIF($N$211:$N$245,AS248,AT211:AT245)</f>
        <v>6</v>
      </c>
      <c r="AU248" s="141">
        <f>SUMIF($N$211:$N$245,AS248,AU211:AU245)</f>
        <v>9</v>
      </c>
      <c r="AY248" s="141" t="s">
        <v>30</v>
      </c>
      <c r="AZ248" s="146">
        <f>SUMIF($N$211:$N$245,AY248,AZ211:AZ245)</f>
        <v>7</v>
      </c>
      <c r="BA248" s="141">
        <f>SUMIF($N$211:$N$245,AY248,BA211:BA245)</f>
        <v>8</v>
      </c>
      <c r="BD248" s="141" t="s">
        <v>30</v>
      </c>
      <c r="BE248" s="146">
        <f>SUMIF($N$211:$N$245,BD248,BE211:BE245)</f>
        <v>5</v>
      </c>
      <c r="BF248" s="141">
        <f>SUMIF($N$211:$N$245,BD248,BF211:BF245)</f>
        <v>8</v>
      </c>
      <c r="BG248" s="141">
        <f>SUMIF($N$211:$N$245,BD248,BG211:BG245)</f>
        <v>2</v>
      </c>
    </row>
    <row r="249" spans="6:61" x14ac:dyDescent="0.3">
      <c r="G249" s="142" t="s">
        <v>35</v>
      </c>
      <c r="H249" s="142">
        <f>COUNTIF(I211:I245, "Tinggi")</f>
        <v>12</v>
      </c>
      <c r="P249" s="141" t="s">
        <v>35</v>
      </c>
      <c r="Q249" s="146">
        <f>SUMIF(N211:N245,P249,Q211:Q245)</f>
        <v>0.6</v>
      </c>
      <c r="R249" s="141">
        <f>SUMIF(N211:N245,P249,R211:R245)</f>
        <v>11.4</v>
      </c>
      <c r="U249" s="141" t="s">
        <v>35</v>
      </c>
      <c r="V249" s="146">
        <f>SUMIF($N$211:$N$245,U249,V211:V245)</f>
        <v>7.8</v>
      </c>
      <c r="W249" s="141">
        <f>SUMIF($N$211:$N$245,U249,W211:W245)</f>
        <v>4.2</v>
      </c>
      <c r="Y249" s="141" t="s">
        <v>35</v>
      </c>
      <c r="Z249" s="146">
        <f>SUMIF($N$211:$N$245,Y249,Z211:Z245)</f>
        <v>3.343870495259742</v>
      </c>
      <c r="AA249" s="141">
        <f>SUMIF($N$211:$N$245,Y249,AA211:AA245)</f>
        <v>8.6561295047402567</v>
      </c>
      <c r="AD249" s="141" t="s">
        <v>35</v>
      </c>
      <c r="AE249" s="146">
        <f>SUMIF($N$211:$N$245,AD249,AE211:AE245)</f>
        <v>2</v>
      </c>
      <c r="AF249" s="141">
        <f>SUMIF($N$211:$N$245,AD249,AF211:AF245)</f>
        <v>10</v>
      </c>
      <c r="AI249" s="141" t="s">
        <v>35</v>
      </c>
      <c r="AJ249" s="146">
        <f>SUMIF($N$211:$N$245,AI249,AJ211:AJ245)</f>
        <v>7</v>
      </c>
      <c r="AK249" s="141">
        <f>SUMIF($N$211:$N$245,AI249,AK211:AK245)</f>
        <v>5</v>
      </c>
      <c r="AN249" s="141" t="s">
        <v>35</v>
      </c>
      <c r="AO249" s="146">
        <f>SUMIF($N$211:$N$245,AN249,AO211:AO245)</f>
        <v>4</v>
      </c>
      <c r="AP249" s="141">
        <f>SUMIF($N$211:$N$245,AN249,AP211:AP245)</f>
        <v>8</v>
      </c>
      <c r="AS249" s="141" t="s">
        <v>35</v>
      </c>
      <c r="AT249" s="146">
        <f>SUMIF($N$211:$N$245,AS249,AT211:AT245)</f>
        <v>9</v>
      </c>
      <c r="AU249" s="141">
        <f>SUMIF($N$211:$N$245,AS249,AU211:AU245)</f>
        <v>3</v>
      </c>
      <c r="AY249" s="141" t="s">
        <v>35</v>
      </c>
      <c r="AZ249" s="146">
        <f>SUMIF($N$211:$N$245,AY249,AZ211:AZ245)</f>
        <v>6</v>
      </c>
      <c r="BA249" s="141">
        <f>SUMIF($N$211:$N$245,AY249,BA211:BA245)</f>
        <v>6</v>
      </c>
      <c r="BD249" s="141" t="s">
        <v>35</v>
      </c>
      <c r="BE249" s="146">
        <f>SUMIF($N$211:$N$245,BD249,BE211:BE245)</f>
        <v>2</v>
      </c>
      <c r="BF249" s="141">
        <f>SUMIF($N$211:$N$245,BD249,BF211:BF245)</f>
        <v>4</v>
      </c>
      <c r="BG249" s="141">
        <f>SUMIF($N$211:$N$245,BD249,BG211:BG245)</f>
        <v>6</v>
      </c>
    </row>
    <row r="252" spans="6:61" x14ac:dyDescent="0.3">
      <c r="J252" s="219" t="s">
        <v>270</v>
      </c>
      <c r="K252" s="219"/>
      <c r="L252" s="165" t="s">
        <v>55</v>
      </c>
      <c r="M252" s="123">
        <f>-(Q247/Q246)*LOG((Q247/Q246),2)-(Q248/Q246)*LOG((Q248/Q246),2)-(Q249/Q246)*LOG((Q249/Q246),2)</f>
        <v>1.2734993961917283</v>
      </c>
      <c r="N252" s="165" t="s">
        <v>43</v>
      </c>
      <c r="O252" s="123">
        <f>-(R247/R246)*LOG((R247/R246),2)-(R248/R246)*LOG((R248/R246),2)-(R249/R246)*LOG((R249/R246),2)</f>
        <v>1.4410346582976603</v>
      </c>
      <c r="P252" s="145"/>
      <c r="Q252" s="123"/>
      <c r="S252" s="232" t="s">
        <v>261</v>
      </c>
      <c r="T252" s="233"/>
      <c r="U252" s="234"/>
      <c r="V252" s="151">
        <f>-((8/35)*LOG((8/35),2))-((15/35)*LOG((15/35),2))-((12/35)*LOG((12/35),2))</f>
        <v>1.5400570471512052</v>
      </c>
      <c r="W252" s="119"/>
      <c r="X252" s="119"/>
      <c r="Y252" s="119"/>
      <c r="Z252" s="119"/>
    </row>
    <row r="253" spans="6:61" x14ac:dyDescent="0.3">
      <c r="J253" s="219" t="s">
        <v>272</v>
      </c>
      <c r="K253" s="219"/>
      <c r="L253" s="165" t="s">
        <v>44</v>
      </c>
      <c r="M253" s="123">
        <f>-(V247/V246)*LOG((V247/V246),2)-(V248/V246)*LOG((V248/V246),2)-(V249/V246)*LOG((V249/V246),2)</f>
        <v>1.5273917700220117</v>
      </c>
      <c r="N253" s="165" t="s">
        <v>258</v>
      </c>
      <c r="O253" s="123">
        <f>-(W247/W246)*LOG((W247/W246),2)-(W248/W246)*LOG((W248/W246),2)-(W249/W246)*LOG((W249/W246),2)</f>
        <v>1.5514636334622205</v>
      </c>
      <c r="P253" s="165"/>
      <c r="Q253" s="123"/>
      <c r="S253" s="229" t="s">
        <v>65</v>
      </c>
      <c r="T253" s="230"/>
      <c r="U253" s="231"/>
      <c r="V253" s="151">
        <f>(V252)-((Q246/35)*M252)-((R246/35)*O252)</f>
        <v>0.13109342474239449</v>
      </c>
      <c r="W253" s="119"/>
      <c r="X253" s="119"/>
      <c r="Y253" s="119"/>
      <c r="Z253" s="119"/>
    </row>
    <row r="254" spans="6:61" x14ac:dyDescent="0.3">
      <c r="J254" s="219" t="s">
        <v>273</v>
      </c>
      <c r="K254" s="219"/>
      <c r="L254" s="165" t="s">
        <v>44</v>
      </c>
      <c r="M254" s="123">
        <f>-(Z247/Z246)*LOG((Z247/Z246),2)-(Z248/Z246)*LOG((Z248/Z246),2)-(Z249/Z246)*LOG((Z249/Z246),2)</f>
        <v>1.5616096142645242</v>
      </c>
      <c r="N254" s="165" t="s">
        <v>47</v>
      </c>
      <c r="O254" s="123">
        <f>-(AA247/AA246)*LOG((AA247/AA246),2)-(AA248/AA246)*LOG((AA248/AA246),2)-(AA249/AA246)*LOG((AA249/AA246),2)</f>
        <v>1.5288066625739374</v>
      </c>
      <c r="P254" s="165"/>
      <c r="Q254" s="123"/>
      <c r="S254" s="229" t="s">
        <v>263</v>
      </c>
      <c r="T254" s="230"/>
      <c r="U254" s="231"/>
      <c r="V254" s="151">
        <f>(V252)-((V246/35)*M253)-((W246/35)*O253)</f>
        <v>5.3749413444446059E-3</v>
      </c>
      <c r="W254" s="119"/>
      <c r="X254" s="119"/>
      <c r="Y254" s="119"/>
      <c r="Z254" s="119"/>
    </row>
    <row r="255" spans="6:61" x14ac:dyDescent="0.3">
      <c r="J255" s="219" t="s">
        <v>274</v>
      </c>
      <c r="K255" s="219"/>
      <c r="L255" s="165" t="s">
        <v>25</v>
      </c>
      <c r="M255" s="123">
        <f>-(AE247/AE246)*LOG((AE247/AE246),2)-(AE248/AE246)*LOG((AE248/AE246),2)-(AE249/AE246)*LOG((AE249/AE246),2)</f>
        <v>1.4353713907745331</v>
      </c>
      <c r="N255" s="165" t="s">
        <v>34</v>
      </c>
      <c r="O255" s="123">
        <f>-(AF247/AF246)*LOG((AF247/AF246),2)-(AF248/AF246)*LOG((AF248/AF246),2)-(AF249/AF246)*LOG((AF249/AF246),2)</f>
        <v>1.528368899209021</v>
      </c>
      <c r="P255" s="165"/>
      <c r="Q255" s="123"/>
      <c r="S255" s="229" t="s">
        <v>67</v>
      </c>
      <c r="T255" s="230"/>
      <c r="U255" s="231"/>
      <c r="V255" s="151">
        <f>(V252)-((Z246/35)*M254)-((AA246/35)*O254)</f>
        <v>1.7710267574004845E-3</v>
      </c>
      <c r="W255" s="119"/>
      <c r="X255" s="119"/>
      <c r="Y255" s="119"/>
      <c r="Z255" s="119"/>
    </row>
    <row r="256" spans="6:61" x14ac:dyDescent="0.3">
      <c r="J256" s="219" t="s">
        <v>275</v>
      </c>
      <c r="K256" s="219"/>
      <c r="L256" s="165" t="s">
        <v>26</v>
      </c>
      <c r="M256" s="123">
        <f>-(AJ247/AJ246)*LOG((AJ247/AJ246),2)-(AJ248/AJ246)*LOG((AJ248/AJ246),2)-(AJ249/AJ246)*LOG((AJ249/AJ246),2)</f>
        <v>1.2806721295208869</v>
      </c>
      <c r="N256" s="165" t="s">
        <v>39</v>
      </c>
      <c r="O256" s="123">
        <f>-(AK247/AK246)*LOG((AK247/AK246),2)-(AK248/AK246)*LOG((AK248/AK246),2)-(AK249/AK246)*LOG((AK249/AK246),2)</f>
        <v>1.5098718371939559</v>
      </c>
      <c r="P256" s="165"/>
      <c r="Q256" s="123"/>
      <c r="S256" s="229" t="s">
        <v>264</v>
      </c>
      <c r="T256" s="230"/>
      <c r="U256" s="231"/>
      <c r="V256" s="151">
        <f>(V252)-((AE246/35)*M255)-((AF246/35)*O255)</f>
        <v>4.0915936307309053E-2</v>
      </c>
      <c r="W256" s="119"/>
      <c r="X256" s="119"/>
      <c r="Y256" s="119"/>
      <c r="Z256" s="119"/>
    </row>
    <row r="257" spans="1:22" x14ac:dyDescent="0.3">
      <c r="J257" s="219" t="s">
        <v>276</v>
      </c>
      <c r="K257" s="219"/>
      <c r="L257" s="149" t="s">
        <v>27</v>
      </c>
      <c r="M257" s="123">
        <f>-(AO247/AO246)*LOG((AO247/AO246),2)-(AO248/AO246)*LOG((AO248/AO246),2)-(AO249/AO246)*LOG((AO249/AO246),2)</f>
        <v>1.4591479170272446</v>
      </c>
      <c r="N257" s="149" t="s">
        <v>32</v>
      </c>
      <c r="O257" s="123">
        <f>-(AP247/AP246)*LOG((AP247/AP246),2)-(AP248/AP246)*LOG((AP248/AP246),2)-(AP249/AP246)*LOG((AP249/AP246),2)</f>
        <v>1.565340216174067</v>
      </c>
      <c r="P257" s="165"/>
      <c r="Q257" s="123"/>
      <c r="S257" s="229" t="s">
        <v>265</v>
      </c>
      <c r="T257" s="230"/>
      <c r="U257" s="231"/>
      <c r="V257" s="151">
        <f>(V252)-((AJ246/35)*M256)-((AK246/35)*O256)</f>
        <v>0.10876796687373003</v>
      </c>
    </row>
    <row r="258" spans="1:22" x14ac:dyDescent="0.3">
      <c r="J258" s="219" t="s">
        <v>277</v>
      </c>
      <c r="K258" s="219"/>
      <c r="L258" s="149" t="s">
        <v>28</v>
      </c>
      <c r="M258" s="123">
        <f>-(AT247/AT246)*LOG((AT247/AT246),2)-(AT248/AT246)*LOG((AT248/AT246),2)-(AT249/AT246)*LOG((AT249/AT246),2)</f>
        <v>1.4591479170272448</v>
      </c>
      <c r="N258" s="149" t="s">
        <v>33</v>
      </c>
      <c r="O258" s="123">
        <f>-(AU247/AU246)*LOG((AU247/AU246),2)-(AU248/AU246)*LOG((AU248/AU246),2)-(AU249/AU246)*LOG((AU249/AU246),2)</f>
        <v>1.4466479595102755</v>
      </c>
      <c r="P258" s="165"/>
      <c r="Q258" s="123"/>
      <c r="S258" s="229" t="s">
        <v>266</v>
      </c>
      <c r="T258" s="230"/>
      <c r="U258" s="231"/>
      <c r="V258" s="151">
        <f>(V252)-((AO246/35)*M257)-((AP246/35)*O257)</f>
        <v>1.1125619256048713E-2</v>
      </c>
    </row>
    <row r="259" spans="1:22" x14ac:dyDescent="0.3">
      <c r="J259" s="165" t="s">
        <v>278</v>
      </c>
      <c r="K259" s="165"/>
      <c r="L259" s="165" t="s">
        <v>25</v>
      </c>
      <c r="M259" s="123">
        <f>-(AZ247/AZ246)*LOG((AZ247/AZ246),2)-(AZ248/AZ246)*LOG((AZ248/AZ246),2)-(AZ249/AZ246)*LOG((AZ249/AZ246),2)</f>
        <v>1.575114591410657</v>
      </c>
      <c r="N259" s="165" t="s">
        <v>34</v>
      </c>
      <c r="O259" s="123">
        <f>-(0)-(BA248/BA246)*LOG((BA248/BA246),2)-(BA249/BA246)*LOG((BA249/BA246),2)</f>
        <v>0.98522813603425163</v>
      </c>
      <c r="P259" s="165"/>
      <c r="Q259" s="123"/>
      <c r="S259" s="229" t="s">
        <v>267</v>
      </c>
      <c r="T259" s="230"/>
      <c r="U259" s="231"/>
      <c r="V259" s="228">
        <f>(V252)-((AT246/35)*M258)-((AU246/35)*O258)</f>
        <v>8.6980538060774104E-2</v>
      </c>
    </row>
    <row r="260" spans="1:22" x14ac:dyDescent="0.3">
      <c r="J260" s="165" t="s">
        <v>279</v>
      </c>
      <c r="K260" s="165"/>
      <c r="L260" s="165" t="s">
        <v>34</v>
      </c>
      <c r="M260" s="123">
        <f>-(BE247/BE246)*LOG((BE247/BE246),2)-(BE248/BE246)*LOG((BE248/BE246),2)-(BE249/BE246)*LOG((BE249/BE246),2)</f>
        <v>1.4604846813131116</v>
      </c>
      <c r="N260" s="149" t="s">
        <v>29</v>
      </c>
      <c r="O260" s="123">
        <f>-(BF247/BF246)*LOG((BF247/BF246),2)-(BF248/BF246)*LOG((BF248/BF246),2)-(BF249/BF246)*LOG((BF249/BF246),2)</f>
        <v>1.3787834934861758</v>
      </c>
      <c r="P260" s="149" t="s">
        <v>38</v>
      </c>
      <c r="Q260" s="123">
        <f>-(0)-(BG248/BG246)*LOG((BG248/BG246),2)-(BG249/BG246)*LOG((BG249/BG246),2)</f>
        <v>0.81127812445913283</v>
      </c>
      <c r="S260" s="217" t="s">
        <v>268</v>
      </c>
      <c r="T260" s="217"/>
      <c r="U260" s="217"/>
      <c r="V260" s="151">
        <f>(V252)-((AZ246/35)*M259)-((BA246/35)*O259)</f>
        <v>0.2008970378911103</v>
      </c>
    </row>
    <row r="261" spans="1:22" x14ac:dyDescent="0.3">
      <c r="S261" s="218" t="s">
        <v>269</v>
      </c>
      <c r="T261" s="218"/>
      <c r="U261" s="218"/>
      <c r="V261" s="152">
        <f>(V252)-((BE246/35)*M260)-((BF246/35)*O260)-((BG246/35)*Q260)</f>
        <v>0.26064291110692006</v>
      </c>
    </row>
    <row r="264" spans="1:22" x14ac:dyDescent="0.3">
      <c r="A264" s="139" t="s">
        <v>77</v>
      </c>
      <c r="B264" s="139" t="s">
        <v>260</v>
      </c>
      <c r="C264" s="158" t="s">
        <v>34</v>
      </c>
      <c r="D264" s="139" t="s">
        <v>66</v>
      </c>
      <c r="F264" s="139" t="s">
        <v>77</v>
      </c>
      <c r="G264" s="139" t="s">
        <v>260</v>
      </c>
      <c r="H264" s="158" t="s">
        <v>29</v>
      </c>
      <c r="I264" s="139" t="s">
        <v>66</v>
      </c>
      <c r="K264" s="139" t="s">
        <v>77</v>
      </c>
      <c r="L264" s="139" t="s">
        <v>260</v>
      </c>
      <c r="M264" s="158" t="s">
        <v>38</v>
      </c>
      <c r="N264" s="139" t="s">
        <v>66</v>
      </c>
      <c r="P264" s="161" t="s">
        <v>283</v>
      </c>
      <c r="Q264" s="153">
        <v>0.7</v>
      </c>
      <c r="R264" s="119"/>
      <c r="S264" s="119"/>
    </row>
    <row r="265" spans="1:22" x14ac:dyDescent="0.3">
      <c r="A265" s="160">
        <v>3</v>
      </c>
      <c r="B265" s="158" t="s">
        <v>34</v>
      </c>
      <c r="C265" s="121">
        <v>1</v>
      </c>
      <c r="D265" s="158" t="s">
        <v>36</v>
      </c>
      <c r="F265" s="160">
        <v>1</v>
      </c>
      <c r="G265" s="158" t="s">
        <v>29</v>
      </c>
      <c r="H265" s="121">
        <v>1</v>
      </c>
      <c r="I265" s="158" t="s">
        <v>30</v>
      </c>
      <c r="K265" s="160">
        <v>5</v>
      </c>
      <c r="L265" s="158" t="s">
        <v>38</v>
      </c>
      <c r="M265" s="121">
        <v>1</v>
      </c>
      <c r="N265" s="158" t="s">
        <v>30</v>
      </c>
      <c r="P265" s="119"/>
      <c r="Q265" s="119"/>
      <c r="R265" s="119"/>
      <c r="S265" s="119"/>
    </row>
    <row r="266" spans="1:22" x14ac:dyDescent="0.3">
      <c r="A266" s="160">
        <v>4</v>
      </c>
      <c r="B266" s="158" t="s">
        <v>34</v>
      </c>
      <c r="C266" s="121">
        <v>1</v>
      </c>
      <c r="D266" s="158" t="s">
        <v>30</v>
      </c>
      <c r="F266" s="160">
        <v>7</v>
      </c>
      <c r="G266" s="158" t="s">
        <v>29</v>
      </c>
      <c r="H266" s="121">
        <v>1</v>
      </c>
      <c r="I266" s="158" t="s">
        <v>35</v>
      </c>
      <c r="K266" s="160">
        <v>15</v>
      </c>
      <c r="L266" s="158" t="s">
        <v>38</v>
      </c>
      <c r="M266" s="121">
        <v>1</v>
      </c>
      <c r="N266" s="158" t="s">
        <v>30</v>
      </c>
      <c r="P266" s="119"/>
      <c r="Q266" s="119"/>
      <c r="R266" s="119"/>
      <c r="S266" s="119"/>
    </row>
    <row r="267" spans="1:22" x14ac:dyDescent="0.3">
      <c r="A267" s="160">
        <v>9</v>
      </c>
      <c r="B267" s="158" t="s">
        <v>34</v>
      </c>
      <c r="C267" s="121">
        <v>1</v>
      </c>
      <c r="D267" s="158" t="s">
        <v>36</v>
      </c>
      <c r="F267" s="160">
        <v>13</v>
      </c>
      <c r="G267" s="158" t="s">
        <v>29</v>
      </c>
      <c r="H267" s="121">
        <v>1</v>
      </c>
      <c r="I267" s="158" t="s">
        <v>30</v>
      </c>
      <c r="K267" s="160">
        <v>23</v>
      </c>
      <c r="L267" s="158" t="s">
        <v>38</v>
      </c>
      <c r="M267" s="121">
        <v>1</v>
      </c>
      <c r="N267" s="158" t="s">
        <v>35</v>
      </c>
      <c r="P267" s="128" t="s">
        <v>286</v>
      </c>
      <c r="Q267" s="119"/>
      <c r="R267" s="119"/>
      <c r="S267" s="128" t="s">
        <v>282</v>
      </c>
    </row>
    <row r="268" spans="1:22" x14ac:dyDescent="0.3">
      <c r="A268" s="160">
        <v>10</v>
      </c>
      <c r="B268" s="158" t="s">
        <v>34</v>
      </c>
      <c r="C268" s="121">
        <v>1</v>
      </c>
      <c r="D268" s="158" t="s">
        <v>30</v>
      </c>
      <c r="F268" s="160">
        <v>17</v>
      </c>
      <c r="G268" s="158" t="s">
        <v>29</v>
      </c>
      <c r="H268" s="121">
        <v>1</v>
      </c>
      <c r="I268" s="158" t="s">
        <v>30</v>
      </c>
      <c r="K268" s="160">
        <v>25</v>
      </c>
      <c r="L268" s="158" t="s">
        <v>38</v>
      </c>
      <c r="M268" s="121">
        <v>1</v>
      </c>
      <c r="N268" s="158" t="s">
        <v>35</v>
      </c>
      <c r="P268" s="90" t="s">
        <v>130</v>
      </c>
      <c r="Q268" s="90" t="s">
        <v>36</v>
      </c>
      <c r="R268" s="90">
        <f>SUMIF(D265:D277,Q268,C265:C277)</f>
        <v>6</v>
      </c>
      <c r="S268" s="90">
        <f>((R268)/(C281))*(100)</f>
        <v>46.153846153846153</v>
      </c>
    </row>
    <row r="269" spans="1:22" x14ac:dyDescent="0.3">
      <c r="A269" s="160">
        <v>20</v>
      </c>
      <c r="B269" s="158" t="s">
        <v>34</v>
      </c>
      <c r="C269" s="121">
        <v>1</v>
      </c>
      <c r="D269" s="158" t="s">
        <v>35</v>
      </c>
      <c r="F269" s="160">
        <v>27</v>
      </c>
      <c r="G269" s="158" t="s">
        <v>29</v>
      </c>
      <c r="H269" s="121">
        <v>1</v>
      </c>
      <c r="I269" s="158" t="s">
        <v>35</v>
      </c>
      <c r="K269" s="160">
        <v>37</v>
      </c>
      <c r="L269" s="158" t="s">
        <v>38</v>
      </c>
      <c r="M269" s="121">
        <v>1</v>
      </c>
      <c r="N269" s="158" t="s">
        <v>35</v>
      </c>
      <c r="P269" s="119"/>
      <c r="Q269" s="119" t="s">
        <v>30</v>
      </c>
      <c r="R269" s="90">
        <f>SUMIF(D265:D277,Q269,C265:C277)</f>
        <v>5</v>
      </c>
      <c r="S269" s="90">
        <f>((R269)/(C281))*(100)</f>
        <v>38.461538461538467</v>
      </c>
    </row>
    <row r="270" spans="1:22" x14ac:dyDescent="0.3">
      <c r="A270" s="160">
        <v>21</v>
      </c>
      <c r="B270" s="158" t="s">
        <v>34</v>
      </c>
      <c r="C270" s="121">
        <v>1</v>
      </c>
      <c r="D270" s="158" t="s">
        <v>30</v>
      </c>
      <c r="F270" s="160">
        <v>31</v>
      </c>
      <c r="G270" s="158" t="s">
        <v>29</v>
      </c>
      <c r="H270" s="121">
        <v>1</v>
      </c>
      <c r="I270" s="158" t="s">
        <v>35</v>
      </c>
      <c r="K270" s="160">
        <v>43</v>
      </c>
      <c r="L270" s="158" t="s">
        <v>38</v>
      </c>
      <c r="M270" s="121">
        <v>1</v>
      </c>
      <c r="N270" s="158" t="s">
        <v>35</v>
      </c>
      <c r="P270" s="119"/>
      <c r="Q270" s="119" t="s">
        <v>35</v>
      </c>
      <c r="R270" s="90">
        <f>SUMIF(D265:D277,Q270,C265:C277)</f>
        <v>2</v>
      </c>
      <c r="S270" s="90">
        <f>((R270)/(C281))*(100)</f>
        <v>15.384615384615385</v>
      </c>
    </row>
    <row r="271" spans="1:22" x14ac:dyDescent="0.3">
      <c r="A271" s="160">
        <v>32</v>
      </c>
      <c r="B271" s="158" t="s">
        <v>34</v>
      </c>
      <c r="C271" s="121">
        <v>1</v>
      </c>
      <c r="D271" s="158" t="s">
        <v>36</v>
      </c>
      <c r="F271" s="160">
        <v>35</v>
      </c>
      <c r="G271" s="158" t="s">
        <v>29</v>
      </c>
      <c r="H271" s="121">
        <v>1</v>
      </c>
      <c r="I271" s="158" t="s">
        <v>30</v>
      </c>
      <c r="K271" s="160">
        <v>44</v>
      </c>
      <c r="L271" s="158" t="s">
        <v>38</v>
      </c>
      <c r="M271" s="121">
        <v>1</v>
      </c>
      <c r="N271" s="158" t="s">
        <v>35</v>
      </c>
      <c r="P271" s="119"/>
      <c r="Q271" s="119"/>
      <c r="R271" s="119"/>
      <c r="S271" s="119"/>
    </row>
    <row r="272" spans="1:22" x14ac:dyDescent="0.3">
      <c r="A272" s="160">
        <v>33</v>
      </c>
      <c r="B272" s="158" t="s">
        <v>34</v>
      </c>
      <c r="C272" s="121">
        <v>1</v>
      </c>
      <c r="D272" s="158" t="s">
        <v>36</v>
      </c>
      <c r="F272" s="160">
        <v>36</v>
      </c>
      <c r="G272" s="158" t="s">
        <v>29</v>
      </c>
      <c r="H272" s="121">
        <v>1</v>
      </c>
      <c r="I272" s="158" t="s">
        <v>36</v>
      </c>
      <c r="K272" s="160">
        <v>45</v>
      </c>
      <c r="L272" s="158" t="s">
        <v>38</v>
      </c>
      <c r="M272" s="121">
        <v>1</v>
      </c>
      <c r="N272" s="158" t="s">
        <v>35</v>
      </c>
      <c r="P272" s="119"/>
      <c r="Q272" s="119"/>
      <c r="R272" s="119"/>
      <c r="S272" s="119"/>
    </row>
    <row r="273" spans="1:59" x14ac:dyDescent="0.3">
      <c r="A273" s="160">
        <v>41</v>
      </c>
      <c r="B273" s="158" t="s">
        <v>34</v>
      </c>
      <c r="C273" s="121">
        <v>1</v>
      </c>
      <c r="D273" s="158" t="s">
        <v>30</v>
      </c>
      <c r="F273" s="160">
        <v>38</v>
      </c>
      <c r="G273" s="158" t="s">
        <v>29</v>
      </c>
      <c r="H273" s="121">
        <v>1</v>
      </c>
      <c r="I273" s="158" t="s">
        <v>30</v>
      </c>
      <c r="M273">
        <f>SUM(M265:M272)</f>
        <v>8</v>
      </c>
      <c r="P273" s="128" t="s">
        <v>287</v>
      </c>
      <c r="Q273" s="119"/>
      <c r="R273" s="119"/>
      <c r="S273" s="128" t="s">
        <v>282</v>
      </c>
    </row>
    <row r="274" spans="1:59" x14ac:dyDescent="0.3">
      <c r="A274" s="160">
        <v>42</v>
      </c>
      <c r="B274" s="158" t="s">
        <v>34</v>
      </c>
      <c r="C274" s="121">
        <v>1</v>
      </c>
      <c r="D274" s="158" t="s">
        <v>30</v>
      </c>
      <c r="F274" s="160">
        <v>40</v>
      </c>
      <c r="G274" s="158" t="s">
        <v>29</v>
      </c>
      <c r="H274" s="121">
        <v>1</v>
      </c>
      <c r="I274" s="158" t="s">
        <v>30</v>
      </c>
      <c r="P274" s="119" t="s">
        <v>130</v>
      </c>
      <c r="Q274" s="119" t="s">
        <v>36</v>
      </c>
      <c r="R274" s="119">
        <f>SUMIF(I265:I278,Q274,H265:H278)</f>
        <v>2</v>
      </c>
      <c r="S274" s="119">
        <f>((R274)/(H279))*(100)</f>
        <v>14.285714285714285</v>
      </c>
    </row>
    <row r="275" spans="1:59" x14ac:dyDescent="0.3">
      <c r="A275" s="160">
        <v>51</v>
      </c>
      <c r="B275" s="158" t="s">
        <v>34</v>
      </c>
      <c r="C275" s="121">
        <v>1</v>
      </c>
      <c r="D275" s="158" t="s">
        <v>36</v>
      </c>
      <c r="F275" s="160">
        <v>54</v>
      </c>
      <c r="G275" s="158" t="s">
        <v>29</v>
      </c>
      <c r="H275" s="121">
        <v>1</v>
      </c>
      <c r="I275" s="158" t="s">
        <v>30</v>
      </c>
      <c r="P275" s="119"/>
      <c r="Q275" s="90" t="s">
        <v>30</v>
      </c>
      <c r="R275" s="90">
        <f>SUMIF(I265:I278,Q275,H265:H278)</f>
        <v>8</v>
      </c>
      <c r="S275" s="90">
        <f>((R275)/(H279))*(100)</f>
        <v>57.142857142857139</v>
      </c>
    </row>
    <row r="276" spans="1:59" x14ac:dyDescent="0.3">
      <c r="A276" s="160">
        <v>52</v>
      </c>
      <c r="B276" s="158" t="s">
        <v>34</v>
      </c>
      <c r="C276" s="121">
        <v>1</v>
      </c>
      <c r="D276" s="158" t="s">
        <v>35</v>
      </c>
      <c r="F276" s="160">
        <v>56</v>
      </c>
      <c r="G276" s="158" t="s">
        <v>29</v>
      </c>
      <c r="H276" s="121">
        <v>1</v>
      </c>
      <c r="I276" s="158" t="s">
        <v>35</v>
      </c>
      <c r="P276" s="119"/>
      <c r="Q276" s="119" t="s">
        <v>35</v>
      </c>
      <c r="R276" s="119">
        <f>SUMIF(I265:I278,Q276,H265:H278)</f>
        <v>4</v>
      </c>
      <c r="S276" s="119">
        <f>((R276)/(H279))*(100)</f>
        <v>28.571428571428569</v>
      </c>
    </row>
    <row r="277" spans="1:59" x14ac:dyDescent="0.3">
      <c r="A277" s="160">
        <v>57</v>
      </c>
      <c r="B277" s="158" t="s">
        <v>34</v>
      </c>
      <c r="C277" s="121">
        <v>1</v>
      </c>
      <c r="D277" s="158" t="s">
        <v>36</v>
      </c>
      <c r="F277" s="160">
        <v>58</v>
      </c>
      <c r="G277" s="158" t="s">
        <v>29</v>
      </c>
      <c r="H277" s="121">
        <v>1</v>
      </c>
      <c r="I277" s="158" t="s">
        <v>30</v>
      </c>
      <c r="P277" s="119"/>
      <c r="Q277" s="119"/>
      <c r="R277" s="119"/>
      <c r="S277" s="119"/>
    </row>
    <row r="278" spans="1:59" x14ac:dyDescent="0.3">
      <c r="B278" s="142" t="s">
        <v>36</v>
      </c>
      <c r="C278" s="142">
        <f>COUNTIF(D265:D277, "Rendah")</f>
        <v>6</v>
      </c>
      <c r="F278" s="160">
        <v>59</v>
      </c>
      <c r="G278" s="158" t="s">
        <v>29</v>
      </c>
      <c r="H278" s="121">
        <v>1</v>
      </c>
      <c r="I278" s="158" t="s">
        <v>36</v>
      </c>
      <c r="P278" s="128" t="s">
        <v>288</v>
      </c>
      <c r="Q278" s="119"/>
      <c r="R278" s="119"/>
      <c r="S278" s="119"/>
    </row>
    <row r="279" spans="1:59" x14ac:dyDescent="0.3">
      <c r="B279" s="142" t="s">
        <v>30</v>
      </c>
      <c r="C279" s="142">
        <f>COUNTIF(D265:D277, "Sedang")</f>
        <v>5</v>
      </c>
      <c r="H279">
        <f>SUM(H265:H278)</f>
        <v>14</v>
      </c>
      <c r="P279" s="119" t="s">
        <v>130</v>
      </c>
      <c r="Q279" s="90" t="s">
        <v>36</v>
      </c>
      <c r="R279" s="90">
        <f>SUMIF(N265:N272,Q279,M265:M272)</f>
        <v>0</v>
      </c>
      <c r="S279" s="90">
        <f>((R279)/(M273))*(100)</f>
        <v>0</v>
      </c>
    </row>
    <row r="280" spans="1:59" x14ac:dyDescent="0.3">
      <c r="B280" s="142" t="s">
        <v>35</v>
      </c>
      <c r="C280" s="142">
        <f>COUNTIF(D265:D277, "Tinggi")</f>
        <v>2</v>
      </c>
      <c r="P280" s="119"/>
      <c r="Q280" s="90" t="s">
        <v>30</v>
      </c>
      <c r="R280" s="90">
        <f>SUMIF(N265:N272,Q280,M265:M272)</f>
        <v>2</v>
      </c>
      <c r="S280" s="90">
        <f>((R280)/(M273))*(100)</f>
        <v>25</v>
      </c>
    </row>
    <row r="281" spans="1:59" x14ac:dyDescent="0.3">
      <c r="C281">
        <f>SUM(C278:C280)</f>
        <v>13</v>
      </c>
      <c r="P281" s="119"/>
      <c r="Q281" s="30" t="s">
        <v>35</v>
      </c>
      <c r="R281" s="30">
        <f>SUMIF(N265:N272,Q281,M265:M272)</f>
        <v>6</v>
      </c>
      <c r="S281" s="30">
        <f>((R281)/(M273))*(100)</f>
        <v>75</v>
      </c>
    </row>
    <row r="284" spans="1:59" x14ac:dyDescent="0.3">
      <c r="M284" s="139" t="s">
        <v>77</v>
      </c>
      <c r="N284" s="139" t="s">
        <v>4</v>
      </c>
      <c r="O284" s="139" t="s">
        <v>55</v>
      </c>
      <c r="P284" s="139" t="s">
        <v>43</v>
      </c>
      <c r="Q284" s="139" t="s">
        <v>66</v>
      </c>
      <c r="S284" s="139" t="s">
        <v>77</v>
      </c>
      <c r="T284" s="139" t="s">
        <v>56</v>
      </c>
      <c r="U284" s="139" t="s">
        <v>44</v>
      </c>
      <c r="V284" s="139" t="s">
        <v>258</v>
      </c>
      <c r="W284" s="139" t="s">
        <v>66</v>
      </c>
      <c r="Y284" s="139" t="s">
        <v>10</v>
      </c>
      <c r="Z284" s="139" t="s">
        <v>44</v>
      </c>
      <c r="AA284" s="139" t="s">
        <v>47</v>
      </c>
      <c r="AB284" s="139" t="s">
        <v>66</v>
      </c>
      <c r="AD284" s="139" t="s">
        <v>11</v>
      </c>
      <c r="AE284" s="139" t="s">
        <v>259</v>
      </c>
      <c r="AF284" s="139" t="s">
        <v>25</v>
      </c>
      <c r="AG284" s="139" t="s">
        <v>34</v>
      </c>
      <c r="AH284" s="139" t="s">
        <v>66</v>
      </c>
      <c r="AJ284" s="139" t="s">
        <v>48</v>
      </c>
      <c r="AK284" s="139" t="s">
        <v>259</v>
      </c>
      <c r="AL284" s="139" t="s">
        <v>26</v>
      </c>
      <c r="AM284" s="139" t="s">
        <v>39</v>
      </c>
      <c r="AN284" s="139" t="s">
        <v>66</v>
      </c>
      <c r="AP284" s="139" t="s">
        <v>13</v>
      </c>
      <c r="AQ284" s="139" t="s">
        <v>259</v>
      </c>
      <c r="AR284" s="166" t="s">
        <v>27</v>
      </c>
      <c r="AS284" s="166" t="s">
        <v>32</v>
      </c>
      <c r="AT284" s="139" t="s">
        <v>66</v>
      </c>
      <c r="AU284" s="119"/>
      <c r="AV284" s="139" t="s">
        <v>52</v>
      </c>
      <c r="AW284" s="142" t="s">
        <v>259</v>
      </c>
      <c r="AX284" s="166" t="s">
        <v>28</v>
      </c>
      <c r="AY284" s="166" t="s">
        <v>33</v>
      </c>
      <c r="AZ284" s="139" t="s">
        <v>66</v>
      </c>
      <c r="BA284" s="119"/>
      <c r="BB284" s="139" t="s">
        <v>77</v>
      </c>
      <c r="BC284" s="139" t="s">
        <v>15</v>
      </c>
      <c r="BD284" s="139" t="s">
        <v>259</v>
      </c>
      <c r="BE284" s="139" t="s">
        <v>25</v>
      </c>
      <c r="BF284" s="139" t="s">
        <v>34</v>
      </c>
      <c r="BG284" s="139" t="s">
        <v>66</v>
      </c>
    </row>
    <row r="285" spans="1:59" x14ac:dyDescent="0.3">
      <c r="H285" s="161" t="s">
        <v>283</v>
      </c>
      <c r="I285" s="153">
        <v>0.7</v>
      </c>
      <c r="J285" s="119"/>
      <c r="K285" s="119"/>
      <c r="M285" s="160">
        <v>3</v>
      </c>
      <c r="N285" s="158">
        <v>56</v>
      </c>
      <c r="O285" s="121">
        <v>0</v>
      </c>
      <c r="P285" s="121">
        <v>1</v>
      </c>
      <c r="Q285" s="158" t="s">
        <v>36</v>
      </c>
      <c r="S285" s="160">
        <v>3</v>
      </c>
      <c r="T285" s="158">
        <v>98</v>
      </c>
      <c r="U285" s="121">
        <v>0.2</v>
      </c>
      <c r="V285" s="121">
        <v>0.8</v>
      </c>
      <c r="W285" s="158" t="s">
        <v>36</v>
      </c>
      <c r="Y285" s="4">
        <v>26.840928029472394</v>
      </c>
      <c r="Z285" s="121">
        <v>1.76746633919562E-2</v>
      </c>
      <c r="AA285" s="121">
        <v>0.98232533660804378</v>
      </c>
      <c r="AB285" s="158" t="s">
        <v>36</v>
      </c>
      <c r="AD285" s="120" t="s">
        <v>25</v>
      </c>
      <c r="AE285" s="121">
        <v>1</v>
      </c>
      <c r="AF285" s="121">
        <v>1</v>
      </c>
      <c r="AG285" s="121">
        <v>0</v>
      </c>
      <c r="AH285" s="158" t="s">
        <v>36</v>
      </c>
      <c r="AJ285" s="158" t="s">
        <v>26</v>
      </c>
      <c r="AK285" s="121">
        <v>0</v>
      </c>
      <c r="AL285" s="121">
        <v>0</v>
      </c>
      <c r="AM285" s="121">
        <v>1</v>
      </c>
      <c r="AN285" s="158" t="s">
        <v>36</v>
      </c>
      <c r="AP285" s="158" t="s">
        <v>27</v>
      </c>
      <c r="AQ285" s="121">
        <v>0</v>
      </c>
      <c r="AR285" s="121">
        <v>0</v>
      </c>
      <c r="AS285" s="121">
        <v>1</v>
      </c>
      <c r="AT285" s="158" t="s">
        <v>36</v>
      </c>
      <c r="AU285" s="119"/>
      <c r="AV285" s="158" t="s">
        <v>28</v>
      </c>
      <c r="AW285" s="121">
        <v>0</v>
      </c>
      <c r="AX285" s="121">
        <v>0</v>
      </c>
      <c r="AY285" s="121">
        <v>1</v>
      </c>
      <c r="AZ285" s="158" t="s">
        <v>36</v>
      </c>
      <c r="BA285" s="119"/>
      <c r="BB285" s="160">
        <v>3</v>
      </c>
      <c r="BC285" s="158" t="s">
        <v>25</v>
      </c>
      <c r="BD285" s="121">
        <v>1</v>
      </c>
      <c r="BE285" s="121">
        <v>1</v>
      </c>
      <c r="BF285" s="121">
        <v>0</v>
      </c>
      <c r="BG285" s="158" t="s">
        <v>36</v>
      </c>
    </row>
    <row r="286" spans="1:59" x14ac:dyDescent="0.3">
      <c r="H286" s="128" t="s">
        <v>289</v>
      </c>
      <c r="I286" s="119"/>
      <c r="J286" s="119"/>
      <c r="K286" s="128" t="s">
        <v>282</v>
      </c>
      <c r="M286" s="160">
        <v>4</v>
      </c>
      <c r="N286" s="158">
        <v>51</v>
      </c>
      <c r="O286" s="121">
        <v>0</v>
      </c>
      <c r="P286" s="121">
        <v>1</v>
      </c>
      <c r="Q286" s="158" t="s">
        <v>30</v>
      </c>
      <c r="S286" s="160">
        <v>4</v>
      </c>
      <c r="T286" s="158">
        <v>98</v>
      </c>
      <c r="U286" s="121">
        <v>0.2</v>
      </c>
      <c r="V286" s="121">
        <v>0.8</v>
      </c>
      <c r="W286" s="158" t="s">
        <v>30</v>
      </c>
      <c r="Y286" s="4">
        <v>28.356290174471997</v>
      </c>
      <c r="Z286" s="121">
        <v>0</v>
      </c>
      <c r="AA286" s="121">
        <v>1</v>
      </c>
      <c r="AB286" s="158" t="s">
        <v>30</v>
      </c>
      <c r="AD286" s="120" t="s">
        <v>25</v>
      </c>
      <c r="AE286" s="121">
        <v>1</v>
      </c>
      <c r="AF286" s="121">
        <v>1</v>
      </c>
      <c r="AG286" s="121">
        <v>0</v>
      </c>
      <c r="AH286" s="158" t="s">
        <v>30</v>
      </c>
      <c r="AJ286" s="158" t="s">
        <v>26</v>
      </c>
      <c r="AK286" s="121">
        <v>0</v>
      </c>
      <c r="AL286" s="121">
        <v>0</v>
      </c>
      <c r="AM286" s="121">
        <v>1</v>
      </c>
      <c r="AN286" s="158" t="s">
        <v>30</v>
      </c>
      <c r="AP286" s="158" t="s">
        <v>27</v>
      </c>
      <c r="AQ286" s="121">
        <v>0</v>
      </c>
      <c r="AR286" s="121">
        <v>0</v>
      </c>
      <c r="AS286" s="121">
        <v>1</v>
      </c>
      <c r="AT286" s="158" t="s">
        <v>30</v>
      </c>
      <c r="AU286" s="119"/>
      <c r="AV286" s="158" t="s">
        <v>33</v>
      </c>
      <c r="AW286" s="121">
        <v>1</v>
      </c>
      <c r="AX286" s="121">
        <v>1</v>
      </c>
      <c r="AY286" s="121">
        <v>0</v>
      </c>
      <c r="AZ286" s="158" t="s">
        <v>30</v>
      </c>
      <c r="BA286" s="119"/>
      <c r="BB286" s="160">
        <v>4</v>
      </c>
      <c r="BC286" s="158" t="s">
        <v>31</v>
      </c>
      <c r="BD286" s="121">
        <v>0</v>
      </c>
      <c r="BE286" s="121">
        <v>0</v>
      </c>
      <c r="BF286" s="121">
        <v>1</v>
      </c>
      <c r="BG286" s="158" t="s">
        <v>30</v>
      </c>
    </row>
    <row r="287" spans="1:59" x14ac:dyDescent="0.3">
      <c r="H287" s="30" t="s">
        <v>130</v>
      </c>
      <c r="I287" s="30" t="s">
        <v>36</v>
      </c>
      <c r="J287" s="30">
        <v>6</v>
      </c>
      <c r="K287" s="30">
        <f>((J287)/(D306))*(100)</f>
        <v>85.714285714285708</v>
      </c>
      <c r="M287" s="160">
        <v>9</v>
      </c>
      <c r="N287" s="158">
        <v>55</v>
      </c>
      <c r="O287" s="121">
        <v>0</v>
      </c>
      <c r="P287" s="121">
        <v>1</v>
      </c>
      <c r="Q287" s="158" t="s">
        <v>36</v>
      </c>
      <c r="S287" s="160">
        <v>9</v>
      </c>
      <c r="T287" s="158">
        <v>72</v>
      </c>
      <c r="U287" s="121">
        <v>1</v>
      </c>
      <c r="V287" s="121">
        <v>0</v>
      </c>
      <c r="W287" s="158" t="s">
        <v>36</v>
      </c>
      <c r="Y287" s="4">
        <v>19.522405912255973</v>
      </c>
      <c r="Z287" s="121">
        <v>0.83084378752711407</v>
      </c>
      <c r="AA287" s="121">
        <v>0.1691562124728859</v>
      </c>
      <c r="AB287" s="158" t="s">
        <v>36</v>
      </c>
      <c r="AD287" s="120" t="s">
        <v>31</v>
      </c>
      <c r="AE287" s="121">
        <v>0</v>
      </c>
      <c r="AF287" s="121">
        <v>0</v>
      </c>
      <c r="AG287" s="121">
        <v>1</v>
      </c>
      <c r="AH287" s="158" t="s">
        <v>36</v>
      </c>
      <c r="AJ287" s="158" t="s">
        <v>26</v>
      </c>
      <c r="AK287" s="121">
        <v>0</v>
      </c>
      <c r="AL287" s="121">
        <v>0</v>
      </c>
      <c r="AM287" s="121">
        <v>1</v>
      </c>
      <c r="AN287" s="158" t="s">
        <v>36</v>
      </c>
      <c r="AP287" s="158" t="s">
        <v>27</v>
      </c>
      <c r="AQ287" s="121">
        <v>0</v>
      </c>
      <c r="AR287" s="121">
        <v>0</v>
      </c>
      <c r="AS287" s="121">
        <v>1</v>
      </c>
      <c r="AT287" s="158" t="s">
        <v>36</v>
      </c>
      <c r="AU287" s="119"/>
      <c r="AV287" s="158" t="s">
        <v>33</v>
      </c>
      <c r="AW287" s="121">
        <v>1</v>
      </c>
      <c r="AX287" s="121">
        <v>1</v>
      </c>
      <c r="AY287" s="121">
        <v>0</v>
      </c>
      <c r="AZ287" s="158" t="s">
        <v>36</v>
      </c>
      <c r="BA287" s="119"/>
      <c r="BB287" s="160">
        <v>9</v>
      </c>
      <c r="BC287" s="158" t="s">
        <v>25</v>
      </c>
      <c r="BD287" s="121">
        <v>1</v>
      </c>
      <c r="BE287" s="121">
        <v>1</v>
      </c>
      <c r="BF287" s="121">
        <v>0</v>
      </c>
      <c r="BG287" s="158" t="s">
        <v>36</v>
      </c>
    </row>
    <row r="288" spans="1:59" x14ac:dyDescent="0.3">
      <c r="H288" s="119"/>
      <c r="I288" s="119" t="s">
        <v>30</v>
      </c>
      <c r="J288" s="90">
        <v>1</v>
      </c>
      <c r="K288" s="90">
        <f>((J288)/(D306))*(100)</f>
        <v>14.285714285714285</v>
      </c>
      <c r="M288" s="160">
        <v>10</v>
      </c>
      <c r="N288" s="158">
        <v>57</v>
      </c>
      <c r="O288" s="121">
        <v>0</v>
      </c>
      <c r="P288" s="121">
        <v>1</v>
      </c>
      <c r="Q288" s="158" t="s">
        <v>30</v>
      </c>
      <c r="S288" s="160">
        <v>10</v>
      </c>
      <c r="T288" s="158">
        <v>105</v>
      </c>
      <c r="U288" s="121">
        <v>0</v>
      </c>
      <c r="V288" s="121">
        <v>1</v>
      </c>
      <c r="W288" s="158" t="s">
        <v>30</v>
      </c>
      <c r="Y288" s="4">
        <v>26.805411030176899</v>
      </c>
      <c r="Z288" s="121">
        <v>2.1620996647011264E-2</v>
      </c>
      <c r="AA288" s="121">
        <v>0.97837900335298877</v>
      </c>
      <c r="AB288" s="158" t="s">
        <v>30</v>
      </c>
      <c r="AD288" s="120" t="s">
        <v>31</v>
      </c>
      <c r="AE288" s="121">
        <v>0</v>
      </c>
      <c r="AF288" s="121">
        <v>0</v>
      </c>
      <c r="AG288" s="121">
        <v>1</v>
      </c>
      <c r="AH288" s="158" t="s">
        <v>30</v>
      </c>
      <c r="AJ288" s="158" t="s">
        <v>26</v>
      </c>
      <c r="AK288" s="121">
        <v>0</v>
      </c>
      <c r="AL288" s="121">
        <v>0</v>
      </c>
      <c r="AM288" s="121">
        <v>1</v>
      </c>
      <c r="AN288" s="158" t="s">
        <v>30</v>
      </c>
      <c r="AP288" s="158" t="s">
        <v>27</v>
      </c>
      <c r="AQ288" s="121">
        <v>0</v>
      </c>
      <c r="AR288" s="121">
        <v>0</v>
      </c>
      <c r="AS288" s="121">
        <v>1</v>
      </c>
      <c r="AT288" s="158" t="s">
        <v>30</v>
      </c>
      <c r="AU288" s="119"/>
      <c r="AV288" s="158" t="s">
        <v>33</v>
      </c>
      <c r="AW288" s="121">
        <v>1</v>
      </c>
      <c r="AX288" s="121">
        <v>1</v>
      </c>
      <c r="AY288" s="121">
        <v>0</v>
      </c>
      <c r="AZ288" s="158" t="s">
        <v>30</v>
      </c>
      <c r="BA288" s="119"/>
      <c r="BB288" s="160">
        <v>10</v>
      </c>
      <c r="BC288" s="158" t="s">
        <v>31</v>
      </c>
      <c r="BD288" s="121">
        <v>0</v>
      </c>
      <c r="BE288" s="121">
        <v>0</v>
      </c>
      <c r="BF288" s="121">
        <v>1</v>
      </c>
      <c r="BG288" s="158" t="s">
        <v>30</v>
      </c>
    </row>
    <row r="289" spans="1:59" x14ac:dyDescent="0.3">
      <c r="H289" s="119"/>
      <c r="I289" s="119" t="s">
        <v>35</v>
      </c>
      <c r="J289" s="90">
        <v>0</v>
      </c>
      <c r="K289" s="90">
        <f>((J289)/(D306))*(100)</f>
        <v>0</v>
      </c>
      <c r="M289" s="160">
        <v>20</v>
      </c>
      <c r="N289" s="158">
        <v>62</v>
      </c>
      <c r="O289" s="121">
        <v>0</v>
      </c>
      <c r="P289" s="121">
        <v>1</v>
      </c>
      <c r="Q289" s="158" t="s">
        <v>35</v>
      </c>
      <c r="S289" s="160">
        <v>20</v>
      </c>
      <c r="T289" s="158">
        <v>108</v>
      </c>
      <c r="U289" s="121">
        <v>0</v>
      </c>
      <c r="V289" s="121">
        <v>1</v>
      </c>
      <c r="W289" s="158" t="s">
        <v>35</v>
      </c>
      <c r="Y289" s="4">
        <v>27.059921294981542</v>
      </c>
      <c r="Z289" s="121">
        <v>0</v>
      </c>
      <c r="AA289" s="121">
        <v>1</v>
      </c>
      <c r="AB289" s="158" t="s">
        <v>35</v>
      </c>
      <c r="AD289" s="120" t="s">
        <v>31</v>
      </c>
      <c r="AE289" s="121">
        <v>0</v>
      </c>
      <c r="AF289" s="121">
        <v>0</v>
      </c>
      <c r="AG289" s="121">
        <v>1</v>
      </c>
      <c r="AH289" s="158" t="s">
        <v>35</v>
      </c>
      <c r="AJ289" s="158" t="s">
        <v>39</v>
      </c>
      <c r="AK289" s="121">
        <v>1</v>
      </c>
      <c r="AL289" s="121">
        <v>1</v>
      </c>
      <c r="AM289" s="121">
        <v>0</v>
      </c>
      <c r="AN289" s="158" t="s">
        <v>35</v>
      </c>
      <c r="AP289" s="158" t="s">
        <v>32</v>
      </c>
      <c r="AQ289" s="121">
        <v>1</v>
      </c>
      <c r="AR289" s="121">
        <v>1</v>
      </c>
      <c r="AS289" s="121">
        <v>0</v>
      </c>
      <c r="AT289" s="158" t="s">
        <v>35</v>
      </c>
      <c r="AU289" s="119"/>
      <c r="AV289" s="158" t="s">
        <v>28</v>
      </c>
      <c r="AW289" s="121">
        <v>0</v>
      </c>
      <c r="AX289" s="121">
        <v>0</v>
      </c>
      <c r="AY289" s="121">
        <v>1</v>
      </c>
      <c r="AZ289" s="158" t="s">
        <v>35</v>
      </c>
      <c r="BA289" s="119"/>
      <c r="BB289" s="160">
        <v>20</v>
      </c>
      <c r="BC289" s="158" t="s">
        <v>31</v>
      </c>
      <c r="BD289" s="121">
        <v>0</v>
      </c>
      <c r="BE289" s="121">
        <v>0</v>
      </c>
      <c r="BF289" s="121">
        <v>1</v>
      </c>
      <c r="BG289" s="158" t="s">
        <v>35</v>
      </c>
    </row>
    <row r="290" spans="1:59" x14ac:dyDescent="0.3">
      <c r="H290" s="128" t="s">
        <v>286</v>
      </c>
      <c r="I290" s="119"/>
      <c r="J290" s="119"/>
      <c r="K290" s="128" t="s">
        <v>282</v>
      </c>
      <c r="M290" s="160">
        <v>21</v>
      </c>
      <c r="N290" s="158">
        <v>52</v>
      </c>
      <c r="O290" s="121">
        <v>0</v>
      </c>
      <c r="P290" s="121">
        <v>1</v>
      </c>
      <c r="Q290" s="158" t="s">
        <v>30</v>
      </c>
      <c r="S290" s="160">
        <v>21</v>
      </c>
      <c r="T290" s="158">
        <v>93</v>
      </c>
      <c r="U290" s="121">
        <v>0.7</v>
      </c>
      <c r="V290" s="121">
        <v>0.3</v>
      </c>
      <c r="W290" s="158" t="s">
        <v>30</v>
      </c>
      <c r="Y290" s="4">
        <v>33.246135552913202</v>
      </c>
      <c r="Z290" s="121">
        <v>0</v>
      </c>
      <c r="AA290" s="121">
        <v>1</v>
      </c>
      <c r="AB290" s="158" t="s">
        <v>30</v>
      </c>
      <c r="AD290" s="120" t="s">
        <v>31</v>
      </c>
      <c r="AE290" s="121">
        <v>0</v>
      </c>
      <c r="AF290" s="121">
        <v>0</v>
      </c>
      <c r="AG290" s="121">
        <v>1</v>
      </c>
      <c r="AH290" s="158" t="s">
        <v>30</v>
      </c>
      <c r="AJ290" s="158" t="s">
        <v>26</v>
      </c>
      <c r="AK290" s="121">
        <v>0</v>
      </c>
      <c r="AL290" s="121">
        <v>0</v>
      </c>
      <c r="AM290" s="121">
        <v>1</v>
      </c>
      <c r="AN290" s="158" t="s">
        <v>30</v>
      </c>
      <c r="AP290" s="158" t="s">
        <v>32</v>
      </c>
      <c r="AQ290" s="121">
        <v>1</v>
      </c>
      <c r="AR290" s="121">
        <v>1</v>
      </c>
      <c r="AS290" s="121">
        <v>0</v>
      </c>
      <c r="AT290" s="158" t="s">
        <v>30</v>
      </c>
      <c r="AU290" s="119"/>
      <c r="AV290" s="158" t="s">
        <v>28</v>
      </c>
      <c r="AW290" s="121">
        <v>0</v>
      </c>
      <c r="AX290" s="121">
        <v>0</v>
      </c>
      <c r="AY290" s="121">
        <v>1</v>
      </c>
      <c r="AZ290" s="158" t="s">
        <v>30</v>
      </c>
      <c r="BA290" s="119"/>
      <c r="BB290" s="160">
        <v>21</v>
      </c>
      <c r="BC290" s="158" t="s">
        <v>31</v>
      </c>
      <c r="BD290" s="121">
        <v>0</v>
      </c>
      <c r="BE290" s="121">
        <v>0</v>
      </c>
      <c r="BF290" s="121">
        <v>1</v>
      </c>
      <c r="BG290" s="158" t="s">
        <v>30</v>
      </c>
    </row>
    <row r="291" spans="1:59" x14ac:dyDescent="0.3">
      <c r="H291" s="119" t="s">
        <v>130</v>
      </c>
      <c r="I291" s="119" t="s">
        <v>36</v>
      </c>
      <c r="J291" s="119">
        <v>0</v>
      </c>
      <c r="K291" s="119">
        <f>((J291)/(J305))*(100)</f>
        <v>0</v>
      </c>
      <c r="M291" s="160">
        <v>32</v>
      </c>
      <c r="N291" s="158">
        <v>38</v>
      </c>
      <c r="O291" s="121">
        <v>0.4</v>
      </c>
      <c r="P291" s="121">
        <v>0.6</v>
      </c>
      <c r="Q291" s="158" t="s">
        <v>36</v>
      </c>
      <c r="S291" s="160">
        <v>32</v>
      </c>
      <c r="T291" s="158">
        <v>99</v>
      </c>
      <c r="U291" s="121">
        <v>0.1</v>
      </c>
      <c r="V291" s="121">
        <v>0.9</v>
      </c>
      <c r="W291" s="158" t="s">
        <v>36</v>
      </c>
      <c r="Y291" s="4">
        <v>32.456398197138938</v>
      </c>
      <c r="Z291" s="121">
        <v>0</v>
      </c>
      <c r="AA291" s="121">
        <v>1</v>
      </c>
      <c r="AB291" s="158" t="s">
        <v>36</v>
      </c>
      <c r="AD291" s="120" t="s">
        <v>31</v>
      </c>
      <c r="AE291" s="121">
        <v>0</v>
      </c>
      <c r="AF291" s="121">
        <v>0</v>
      </c>
      <c r="AG291" s="121">
        <v>1</v>
      </c>
      <c r="AH291" s="158" t="s">
        <v>36</v>
      </c>
      <c r="AJ291" s="158" t="s">
        <v>39</v>
      </c>
      <c r="AK291" s="121">
        <v>1</v>
      </c>
      <c r="AL291" s="121">
        <v>1</v>
      </c>
      <c r="AM291" s="121">
        <v>0</v>
      </c>
      <c r="AN291" s="158" t="s">
        <v>36</v>
      </c>
      <c r="AP291" s="158" t="s">
        <v>32</v>
      </c>
      <c r="AQ291" s="121">
        <v>1</v>
      </c>
      <c r="AR291" s="121">
        <v>1</v>
      </c>
      <c r="AS291" s="121">
        <v>0</v>
      </c>
      <c r="AT291" s="158" t="s">
        <v>36</v>
      </c>
      <c r="AU291" s="119"/>
      <c r="AV291" s="158" t="s">
        <v>33</v>
      </c>
      <c r="AW291" s="121">
        <v>1</v>
      </c>
      <c r="AX291" s="121">
        <v>1</v>
      </c>
      <c r="AY291" s="121">
        <v>0</v>
      </c>
      <c r="AZ291" s="158" t="s">
        <v>36</v>
      </c>
      <c r="BA291" s="119"/>
      <c r="BB291" s="160">
        <v>32</v>
      </c>
      <c r="BC291" s="158" t="s">
        <v>25</v>
      </c>
      <c r="BD291" s="121">
        <v>1</v>
      </c>
      <c r="BE291" s="121">
        <v>1</v>
      </c>
      <c r="BF291" s="121">
        <v>0</v>
      </c>
      <c r="BG291" s="158" t="s">
        <v>36</v>
      </c>
    </row>
    <row r="292" spans="1:59" x14ac:dyDescent="0.3">
      <c r="H292" s="119"/>
      <c r="I292" s="90" t="s">
        <v>30</v>
      </c>
      <c r="J292" s="90">
        <v>4</v>
      </c>
      <c r="K292" s="90">
        <f>((J292)/(J305))*(100)</f>
        <v>66.666666666666657</v>
      </c>
      <c r="M292" s="160">
        <v>33</v>
      </c>
      <c r="N292" s="158">
        <v>62</v>
      </c>
      <c r="O292" s="121">
        <v>0</v>
      </c>
      <c r="P292" s="121">
        <v>1</v>
      </c>
      <c r="Q292" s="158" t="s">
        <v>36</v>
      </c>
      <c r="S292" s="160">
        <v>33</v>
      </c>
      <c r="T292" s="158">
        <v>98</v>
      </c>
      <c r="U292" s="121">
        <v>0.2</v>
      </c>
      <c r="V292" s="121">
        <v>0.8</v>
      </c>
      <c r="W292" s="158" t="s">
        <v>36</v>
      </c>
      <c r="Y292" s="4">
        <v>27.622564236621685</v>
      </c>
      <c r="Z292" s="121">
        <v>0</v>
      </c>
      <c r="AA292" s="121">
        <v>1</v>
      </c>
      <c r="AB292" s="158" t="s">
        <v>36</v>
      </c>
      <c r="AD292" s="120" t="s">
        <v>31</v>
      </c>
      <c r="AE292" s="121">
        <v>0</v>
      </c>
      <c r="AF292" s="121">
        <v>0</v>
      </c>
      <c r="AG292" s="121">
        <v>1</v>
      </c>
      <c r="AH292" s="158" t="s">
        <v>36</v>
      </c>
      <c r="AJ292" s="158" t="s">
        <v>26</v>
      </c>
      <c r="AK292" s="121">
        <v>0</v>
      </c>
      <c r="AL292" s="121">
        <v>0</v>
      </c>
      <c r="AM292" s="121">
        <v>1</v>
      </c>
      <c r="AN292" s="158" t="s">
        <v>36</v>
      </c>
      <c r="AP292" s="158" t="s">
        <v>32</v>
      </c>
      <c r="AQ292" s="121">
        <v>1</v>
      </c>
      <c r="AR292" s="121">
        <v>1</v>
      </c>
      <c r="AS292" s="121">
        <v>0</v>
      </c>
      <c r="AT292" s="158" t="s">
        <v>36</v>
      </c>
      <c r="AU292" s="119"/>
      <c r="AV292" s="158" t="s">
        <v>28</v>
      </c>
      <c r="AW292" s="121">
        <v>0</v>
      </c>
      <c r="AX292" s="121">
        <v>0</v>
      </c>
      <c r="AY292" s="121">
        <v>1</v>
      </c>
      <c r="AZ292" s="158" t="s">
        <v>36</v>
      </c>
      <c r="BA292" s="119"/>
      <c r="BB292" s="160">
        <v>33</v>
      </c>
      <c r="BC292" s="158" t="s">
        <v>25</v>
      </c>
      <c r="BD292" s="121">
        <v>1</v>
      </c>
      <c r="BE292" s="121">
        <v>1</v>
      </c>
      <c r="BF292" s="121">
        <v>0</v>
      </c>
      <c r="BG292" s="158" t="s">
        <v>36</v>
      </c>
    </row>
    <row r="293" spans="1:59" x14ac:dyDescent="0.3">
      <c r="H293" s="119"/>
      <c r="I293" s="119" t="s">
        <v>35</v>
      </c>
      <c r="J293" s="119">
        <v>2</v>
      </c>
      <c r="K293" s="119">
        <f>((J293)/(J305))*(100)</f>
        <v>33.333333333333329</v>
      </c>
      <c r="M293" s="160">
        <v>41</v>
      </c>
      <c r="N293" s="158">
        <v>35</v>
      </c>
      <c r="O293" s="121">
        <v>0.55000000000000004</v>
      </c>
      <c r="P293" s="121">
        <v>0.45</v>
      </c>
      <c r="Q293" s="158" t="s">
        <v>30</v>
      </c>
      <c r="S293" s="160">
        <v>41</v>
      </c>
      <c r="T293" s="158">
        <v>71</v>
      </c>
      <c r="U293" s="121">
        <v>1</v>
      </c>
      <c r="V293" s="121">
        <v>0</v>
      </c>
      <c r="W293" s="158" t="s">
        <v>30</v>
      </c>
      <c r="Y293" s="4">
        <v>19.438507030643446</v>
      </c>
      <c r="Z293" s="121">
        <v>0.84016588548406146</v>
      </c>
      <c r="AA293" s="121">
        <v>0.15983411451593849</v>
      </c>
      <c r="AB293" s="158" t="s">
        <v>30</v>
      </c>
      <c r="AD293" s="158" t="s">
        <v>25</v>
      </c>
      <c r="AE293" s="121">
        <v>1</v>
      </c>
      <c r="AF293" s="121">
        <v>1</v>
      </c>
      <c r="AG293" s="121">
        <v>0</v>
      </c>
      <c r="AH293" s="158" t="s">
        <v>30</v>
      </c>
      <c r="AJ293" s="158" t="s">
        <v>39</v>
      </c>
      <c r="AK293" s="121">
        <v>1</v>
      </c>
      <c r="AL293" s="121">
        <v>1</v>
      </c>
      <c r="AM293" s="121">
        <v>0</v>
      </c>
      <c r="AN293" s="158" t="s">
        <v>30</v>
      </c>
      <c r="AP293" s="158" t="s">
        <v>27</v>
      </c>
      <c r="AQ293" s="121">
        <v>0</v>
      </c>
      <c r="AR293" s="121">
        <v>0</v>
      </c>
      <c r="AS293" s="121">
        <v>1</v>
      </c>
      <c r="AT293" s="158" t="s">
        <v>30</v>
      </c>
      <c r="AU293" s="119"/>
      <c r="AV293" s="158" t="s">
        <v>28</v>
      </c>
      <c r="AW293" s="121">
        <v>0</v>
      </c>
      <c r="AX293" s="121">
        <v>0</v>
      </c>
      <c r="AY293" s="121">
        <v>1</v>
      </c>
      <c r="AZ293" s="158" t="s">
        <v>30</v>
      </c>
      <c r="BA293" s="119"/>
      <c r="BB293" s="160">
        <v>41</v>
      </c>
      <c r="BC293" s="158" t="s">
        <v>25</v>
      </c>
      <c r="BD293" s="121">
        <v>1</v>
      </c>
      <c r="BE293" s="121">
        <v>1</v>
      </c>
      <c r="BF293" s="121">
        <v>0</v>
      </c>
      <c r="BG293" s="158" t="s">
        <v>30</v>
      </c>
    </row>
    <row r="294" spans="1:59" x14ac:dyDescent="0.3">
      <c r="M294" s="160">
        <v>42</v>
      </c>
      <c r="N294" s="158">
        <v>36</v>
      </c>
      <c r="O294" s="121">
        <v>0.5</v>
      </c>
      <c r="P294" s="121">
        <v>0.5</v>
      </c>
      <c r="Q294" s="158" t="s">
        <v>30</v>
      </c>
      <c r="S294" s="160">
        <v>42</v>
      </c>
      <c r="T294" s="158">
        <v>101</v>
      </c>
      <c r="U294" s="121">
        <v>0</v>
      </c>
      <c r="V294" s="121">
        <v>1</v>
      </c>
      <c r="W294" s="158" t="s">
        <v>30</v>
      </c>
      <c r="Y294" s="4">
        <v>29.453124999999996</v>
      </c>
      <c r="Z294" s="121">
        <v>0</v>
      </c>
      <c r="AA294" s="121">
        <v>1</v>
      </c>
      <c r="AB294" s="158" t="s">
        <v>30</v>
      </c>
      <c r="AD294" s="158" t="s">
        <v>31</v>
      </c>
      <c r="AE294" s="121">
        <v>0</v>
      </c>
      <c r="AF294" s="121">
        <v>0</v>
      </c>
      <c r="AG294" s="121">
        <v>1</v>
      </c>
      <c r="AH294" s="158" t="s">
        <v>30</v>
      </c>
      <c r="AJ294" s="158" t="s">
        <v>39</v>
      </c>
      <c r="AK294" s="121">
        <v>1</v>
      </c>
      <c r="AL294" s="121">
        <v>1</v>
      </c>
      <c r="AM294" s="121">
        <v>0</v>
      </c>
      <c r="AN294" s="158" t="s">
        <v>30</v>
      </c>
      <c r="AP294" s="158" t="s">
        <v>27</v>
      </c>
      <c r="AQ294" s="121">
        <v>0</v>
      </c>
      <c r="AR294" s="121">
        <v>0</v>
      </c>
      <c r="AS294" s="121">
        <v>1</v>
      </c>
      <c r="AT294" s="158" t="s">
        <v>30</v>
      </c>
      <c r="AU294" s="119"/>
      <c r="AV294" s="158" t="s">
        <v>28</v>
      </c>
      <c r="AW294" s="121">
        <v>0</v>
      </c>
      <c r="AX294" s="121">
        <v>0</v>
      </c>
      <c r="AY294" s="121">
        <v>1</v>
      </c>
      <c r="AZ294" s="158" t="s">
        <v>30</v>
      </c>
      <c r="BA294" s="119"/>
      <c r="BB294" s="160">
        <v>42</v>
      </c>
      <c r="BC294" s="158" t="s">
        <v>31</v>
      </c>
      <c r="BD294" s="121">
        <v>0</v>
      </c>
      <c r="BE294" s="121">
        <v>0</v>
      </c>
      <c r="BF294" s="121">
        <v>1</v>
      </c>
      <c r="BG294" s="158" t="s">
        <v>30</v>
      </c>
    </row>
    <row r="295" spans="1:59" x14ac:dyDescent="0.3">
      <c r="A295" s="139" t="s">
        <v>77</v>
      </c>
      <c r="B295" s="139" t="s">
        <v>15</v>
      </c>
      <c r="C295" s="139" t="s">
        <v>259</v>
      </c>
      <c r="D295" s="139" t="s">
        <v>25</v>
      </c>
      <c r="E295" s="139" t="s">
        <v>66</v>
      </c>
      <c r="G295" s="139" t="s">
        <v>77</v>
      </c>
      <c r="H295" s="139" t="s">
        <v>15</v>
      </c>
      <c r="I295" s="139" t="s">
        <v>259</v>
      </c>
      <c r="J295" s="139" t="s">
        <v>34</v>
      </c>
      <c r="K295" s="139" t="s">
        <v>66</v>
      </c>
      <c r="M295" s="160">
        <v>51</v>
      </c>
      <c r="N295" s="158">
        <v>27</v>
      </c>
      <c r="O295" s="121">
        <v>0.95</v>
      </c>
      <c r="P295" s="121">
        <v>0.05</v>
      </c>
      <c r="Q295" s="158" t="s">
        <v>36</v>
      </c>
      <c r="S295" s="160">
        <v>51</v>
      </c>
      <c r="T295" s="158">
        <v>83</v>
      </c>
      <c r="U295" s="121">
        <v>1</v>
      </c>
      <c r="V295" s="121">
        <v>0</v>
      </c>
      <c r="W295" s="158" t="s">
        <v>36</v>
      </c>
      <c r="Y295" s="4">
        <v>23.763286411950588</v>
      </c>
      <c r="Z295" s="121">
        <v>0.35963484311660132</v>
      </c>
      <c r="AA295" s="121">
        <v>0.64036515688339868</v>
      </c>
      <c r="AB295" s="158" t="s">
        <v>36</v>
      </c>
      <c r="AD295" s="158" t="s">
        <v>25</v>
      </c>
      <c r="AE295" s="121">
        <v>1</v>
      </c>
      <c r="AF295" s="121">
        <v>1</v>
      </c>
      <c r="AG295" s="121">
        <v>0</v>
      </c>
      <c r="AH295" s="158" t="s">
        <v>36</v>
      </c>
      <c r="AJ295" s="158" t="s">
        <v>26</v>
      </c>
      <c r="AK295" s="121">
        <v>0</v>
      </c>
      <c r="AL295" s="121">
        <v>0</v>
      </c>
      <c r="AM295" s="121">
        <v>1</v>
      </c>
      <c r="AN295" s="158" t="s">
        <v>36</v>
      </c>
      <c r="AP295" s="158" t="s">
        <v>27</v>
      </c>
      <c r="AQ295" s="121">
        <v>0</v>
      </c>
      <c r="AR295" s="121">
        <v>0</v>
      </c>
      <c r="AS295" s="121">
        <v>1</v>
      </c>
      <c r="AT295" s="158" t="s">
        <v>36</v>
      </c>
      <c r="AU295" s="119"/>
      <c r="AV295" s="158" t="s">
        <v>33</v>
      </c>
      <c r="AW295" s="121">
        <v>1</v>
      </c>
      <c r="AX295" s="121">
        <v>1</v>
      </c>
      <c r="AY295" s="121">
        <v>0</v>
      </c>
      <c r="AZ295" s="158" t="s">
        <v>36</v>
      </c>
      <c r="BA295" s="119"/>
      <c r="BB295" s="160">
        <v>51</v>
      </c>
      <c r="BC295" s="158" t="s">
        <v>25</v>
      </c>
      <c r="BD295" s="121">
        <v>1</v>
      </c>
      <c r="BE295" s="121">
        <v>1</v>
      </c>
      <c r="BF295" s="121">
        <v>0</v>
      </c>
      <c r="BG295" s="158" t="s">
        <v>36</v>
      </c>
    </row>
    <row r="296" spans="1:59" x14ac:dyDescent="0.3">
      <c r="A296" s="160">
        <v>3</v>
      </c>
      <c r="B296" s="158" t="s">
        <v>25</v>
      </c>
      <c r="C296" s="121">
        <v>1</v>
      </c>
      <c r="D296" s="121">
        <v>1</v>
      </c>
      <c r="E296" s="158" t="s">
        <v>36</v>
      </c>
      <c r="G296" s="160">
        <v>4</v>
      </c>
      <c r="H296" s="158" t="s">
        <v>31</v>
      </c>
      <c r="I296" s="121">
        <v>0</v>
      </c>
      <c r="J296" s="121">
        <v>1</v>
      </c>
      <c r="K296" s="158" t="s">
        <v>30</v>
      </c>
      <c r="M296" s="160">
        <v>52</v>
      </c>
      <c r="N296" s="158">
        <v>80</v>
      </c>
      <c r="O296" s="121">
        <v>0</v>
      </c>
      <c r="P296" s="121">
        <v>1</v>
      </c>
      <c r="Q296" s="158" t="s">
        <v>35</v>
      </c>
      <c r="S296" s="160">
        <v>52</v>
      </c>
      <c r="T296" s="158">
        <v>87</v>
      </c>
      <c r="U296" s="121">
        <v>1</v>
      </c>
      <c r="V296" s="121">
        <v>0</v>
      </c>
      <c r="W296" s="158" t="s">
        <v>35</v>
      </c>
      <c r="Y296" s="4">
        <v>20.035707200952192</v>
      </c>
      <c r="Z296" s="121">
        <v>0.77381031100531195</v>
      </c>
      <c r="AA296" s="121">
        <v>0.22618968899468803</v>
      </c>
      <c r="AB296" s="158" t="s">
        <v>35</v>
      </c>
      <c r="AD296" s="158" t="s">
        <v>31</v>
      </c>
      <c r="AE296" s="121">
        <v>0</v>
      </c>
      <c r="AF296" s="121">
        <v>0</v>
      </c>
      <c r="AG296" s="121">
        <v>1</v>
      </c>
      <c r="AH296" s="158" t="s">
        <v>35</v>
      </c>
      <c r="AJ296" s="158" t="s">
        <v>39</v>
      </c>
      <c r="AK296" s="121">
        <v>1</v>
      </c>
      <c r="AL296" s="121">
        <v>1</v>
      </c>
      <c r="AM296" s="121">
        <v>0</v>
      </c>
      <c r="AN296" s="158" t="s">
        <v>35</v>
      </c>
      <c r="AP296" s="158" t="s">
        <v>27</v>
      </c>
      <c r="AQ296" s="121">
        <v>0</v>
      </c>
      <c r="AR296" s="121">
        <v>0</v>
      </c>
      <c r="AS296" s="121">
        <v>1</v>
      </c>
      <c r="AT296" s="158" t="s">
        <v>35</v>
      </c>
      <c r="AU296" s="119"/>
      <c r="AV296" s="158" t="s">
        <v>33</v>
      </c>
      <c r="AW296" s="121">
        <v>1</v>
      </c>
      <c r="AX296" s="121">
        <v>1</v>
      </c>
      <c r="AY296" s="121">
        <v>0</v>
      </c>
      <c r="AZ296" s="158" t="s">
        <v>35</v>
      </c>
      <c r="BA296" s="119"/>
      <c r="BB296" s="160">
        <v>52</v>
      </c>
      <c r="BC296" s="158" t="s">
        <v>31</v>
      </c>
      <c r="BD296" s="121">
        <v>0</v>
      </c>
      <c r="BE296" s="121">
        <v>0</v>
      </c>
      <c r="BF296" s="121">
        <v>1</v>
      </c>
      <c r="BG296" s="158" t="s">
        <v>35</v>
      </c>
    </row>
    <row r="297" spans="1:59" x14ac:dyDescent="0.3">
      <c r="A297" s="160">
        <v>9</v>
      </c>
      <c r="B297" s="158" t="s">
        <v>25</v>
      </c>
      <c r="C297" s="121">
        <v>1</v>
      </c>
      <c r="D297" s="121">
        <v>1</v>
      </c>
      <c r="E297" s="158" t="s">
        <v>36</v>
      </c>
      <c r="G297" s="160">
        <v>10</v>
      </c>
      <c r="H297" s="158" t="s">
        <v>31</v>
      </c>
      <c r="I297" s="121">
        <v>0</v>
      </c>
      <c r="J297" s="121">
        <v>1</v>
      </c>
      <c r="K297" s="158" t="s">
        <v>30</v>
      </c>
      <c r="M297" s="160">
        <v>57</v>
      </c>
      <c r="N297" s="158">
        <v>22</v>
      </c>
      <c r="O297" s="121">
        <v>1</v>
      </c>
      <c r="P297" s="121">
        <v>0</v>
      </c>
      <c r="Q297" s="158" t="s">
        <v>36</v>
      </c>
      <c r="S297" s="160">
        <v>57</v>
      </c>
      <c r="T297" s="158">
        <v>70</v>
      </c>
      <c r="U297" s="121">
        <v>1</v>
      </c>
      <c r="V297" s="121">
        <v>0</v>
      </c>
      <c r="W297" s="158" t="s">
        <v>36</v>
      </c>
      <c r="Y297" s="4">
        <v>18.737894689428405</v>
      </c>
      <c r="Z297" s="121">
        <v>0.91801170117462172</v>
      </c>
      <c r="AA297" s="121">
        <v>8.1988298825378322E-2</v>
      </c>
      <c r="AB297" s="158" t="s">
        <v>36</v>
      </c>
      <c r="AD297" s="158" t="s">
        <v>31</v>
      </c>
      <c r="AE297" s="121">
        <v>0</v>
      </c>
      <c r="AF297" s="121">
        <v>0</v>
      </c>
      <c r="AG297" s="121">
        <v>1</v>
      </c>
      <c r="AH297" s="158" t="s">
        <v>36</v>
      </c>
      <c r="AJ297" s="158" t="s">
        <v>26</v>
      </c>
      <c r="AK297" s="121">
        <v>0</v>
      </c>
      <c r="AL297" s="121">
        <v>0</v>
      </c>
      <c r="AM297" s="121">
        <v>1</v>
      </c>
      <c r="AN297" s="158" t="s">
        <v>36</v>
      </c>
      <c r="AP297" s="158" t="s">
        <v>27</v>
      </c>
      <c r="AQ297" s="121">
        <v>0</v>
      </c>
      <c r="AR297" s="121">
        <v>0</v>
      </c>
      <c r="AS297" s="121">
        <v>1</v>
      </c>
      <c r="AT297" s="158" t="s">
        <v>36</v>
      </c>
      <c r="AU297" s="119"/>
      <c r="AV297" s="158" t="s">
        <v>28</v>
      </c>
      <c r="AW297" s="121">
        <v>0</v>
      </c>
      <c r="AX297" s="121">
        <v>0</v>
      </c>
      <c r="AY297" s="121">
        <v>1</v>
      </c>
      <c r="AZ297" s="158" t="s">
        <v>36</v>
      </c>
      <c r="BA297" s="119"/>
      <c r="BB297" s="160">
        <v>57</v>
      </c>
      <c r="BC297" s="158" t="s">
        <v>25</v>
      </c>
      <c r="BD297" s="121">
        <v>1</v>
      </c>
      <c r="BE297" s="121">
        <v>1</v>
      </c>
      <c r="BF297" s="121">
        <v>0</v>
      </c>
      <c r="BG297" s="158" t="s">
        <v>36</v>
      </c>
    </row>
    <row r="298" spans="1:59" x14ac:dyDescent="0.3">
      <c r="A298" s="160">
        <v>32</v>
      </c>
      <c r="B298" s="158" t="s">
        <v>25</v>
      </c>
      <c r="C298" s="121">
        <v>1</v>
      </c>
      <c r="D298" s="121">
        <v>1</v>
      </c>
      <c r="E298" s="158" t="s">
        <v>36</v>
      </c>
      <c r="G298" s="160">
        <v>20</v>
      </c>
      <c r="H298" s="158" t="s">
        <v>31</v>
      </c>
      <c r="I298" s="121">
        <v>0</v>
      </c>
      <c r="J298" s="121">
        <v>1</v>
      </c>
      <c r="K298" s="158" t="s">
        <v>35</v>
      </c>
      <c r="N298" t="s">
        <v>64</v>
      </c>
      <c r="O298">
        <f>SUM(O285:O297)</f>
        <v>3.4000000000000004</v>
      </c>
      <c r="P298">
        <f>SUM(P285:P297)</f>
        <v>9.6</v>
      </c>
      <c r="T298" s="119" t="s">
        <v>64</v>
      </c>
      <c r="U298" s="119">
        <f>SUM(U285:U297)</f>
        <v>6.4</v>
      </c>
      <c r="V298" s="119">
        <f>SUM(V285:V297)</f>
        <v>6.6</v>
      </c>
      <c r="Y298" s="119" t="s">
        <v>64</v>
      </c>
      <c r="Z298" s="119">
        <f>SUM(Z285:Z297)</f>
        <v>3.7617621883466779</v>
      </c>
      <c r="AA298" s="119">
        <f>SUM(AA285:AA297)</f>
        <v>9.2382378116533204</v>
      </c>
      <c r="AE298" s="119" t="s">
        <v>64</v>
      </c>
      <c r="AF298" s="119">
        <f>SUM(AF285:AF297)</f>
        <v>4</v>
      </c>
      <c r="AG298" s="119">
        <f>SUM(AG285:AG297)</f>
        <v>9</v>
      </c>
      <c r="AK298" s="119" t="s">
        <v>64</v>
      </c>
      <c r="AL298" s="119">
        <f>SUM(AL285:AL297)</f>
        <v>5</v>
      </c>
      <c r="AM298" s="119">
        <f>SUM(AM285:AM297)</f>
        <v>8</v>
      </c>
      <c r="AQ298" s="119" t="s">
        <v>64</v>
      </c>
      <c r="AR298" s="119">
        <f>SUM(AR285:AR297)</f>
        <v>4</v>
      </c>
      <c r="AS298" s="119">
        <f>SUM(AS285:AS297)</f>
        <v>9</v>
      </c>
      <c r="AW298" s="119" t="s">
        <v>64</v>
      </c>
      <c r="AX298" s="119">
        <f>SUM(AX285:AX297)</f>
        <v>6</v>
      </c>
      <c r="AY298" s="119">
        <f>SUM(AY285:AY297)</f>
        <v>7</v>
      </c>
      <c r="BD298" s="119" t="s">
        <v>64</v>
      </c>
      <c r="BE298" s="119">
        <f>SUM(BE285:BE297)</f>
        <v>7</v>
      </c>
      <c r="BF298" s="119">
        <f>SUM(BF285:BF297)</f>
        <v>6</v>
      </c>
    </row>
    <row r="299" spans="1:59" x14ac:dyDescent="0.3">
      <c r="A299" s="160">
        <v>33</v>
      </c>
      <c r="B299" s="158" t="s">
        <v>25</v>
      </c>
      <c r="C299" s="121">
        <v>1</v>
      </c>
      <c r="D299" s="121">
        <v>1</v>
      </c>
      <c r="E299" s="158" t="s">
        <v>36</v>
      </c>
      <c r="G299" s="160">
        <v>21</v>
      </c>
      <c r="H299" s="158" t="s">
        <v>31</v>
      </c>
      <c r="I299" s="121">
        <v>0</v>
      </c>
      <c r="J299" s="121">
        <v>1</v>
      </c>
      <c r="K299" s="158" t="s">
        <v>30</v>
      </c>
      <c r="N299" s="141" t="s">
        <v>36</v>
      </c>
      <c r="O299" s="146">
        <f>SUMIF(Q285:Q297,N299,O285:O297)</f>
        <v>2.35</v>
      </c>
      <c r="P299" s="141">
        <f>SUMIF(Q285:Q297,N299,P285:P297)</f>
        <v>3.65</v>
      </c>
      <c r="T299" s="141" t="s">
        <v>36</v>
      </c>
      <c r="U299" s="146">
        <f>SUMIF(W285:W297,T299,U285:U297)</f>
        <v>3.5</v>
      </c>
      <c r="V299" s="141">
        <f>SUMIF(W285:W297,T299,V285:V297)</f>
        <v>2.5</v>
      </c>
      <c r="Y299" s="141" t="s">
        <v>36</v>
      </c>
      <c r="Z299" s="146">
        <f>SUMIF(AB285:AB297,Y299,Z285:Z297)</f>
        <v>2.1261649952102935</v>
      </c>
      <c r="AA299" s="141">
        <f>SUMIF(AB285:AB297,Y299,AA285:AA297)</f>
        <v>3.8738350047897065</v>
      </c>
      <c r="AE299" s="141" t="s">
        <v>36</v>
      </c>
      <c r="AF299" s="146">
        <f>SUMIF(AH285:AH297,AE299,AF285:AF297)</f>
        <v>2</v>
      </c>
      <c r="AG299" s="141">
        <f>SUMIF(AH285:AH297,AE299,AG285:AG297)</f>
        <v>4</v>
      </c>
      <c r="AK299" s="141" t="s">
        <v>36</v>
      </c>
      <c r="AL299" s="146">
        <f>SUMIF(AN285:AN297,AK299,AL285:AL297)</f>
        <v>1</v>
      </c>
      <c r="AM299" s="141">
        <f>SUMIF(AN285:AN297,AK299,AM285:AM297)</f>
        <v>5</v>
      </c>
      <c r="AQ299" s="141" t="s">
        <v>36</v>
      </c>
      <c r="AR299" s="146">
        <f>SUMIF(AT285:AT297,AQ299,AR285:AR297)</f>
        <v>2</v>
      </c>
      <c r="AS299" s="141">
        <f>SUMIF(AT285:AT297,AQ299,AS285:AS297)</f>
        <v>4</v>
      </c>
      <c r="AW299" s="141" t="s">
        <v>36</v>
      </c>
      <c r="AX299" s="146">
        <f>SUMIF(AZ285:AZ297,AW299,AX285:AX297)</f>
        <v>3</v>
      </c>
      <c r="AY299" s="141">
        <f>SUMIF(AZ285:AZ297,AW299,AY285:AY297)</f>
        <v>3</v>
      </c>
      <c r="BD299" s="141" t="s">
        <v>36</v>
      </c>
      <c r="BE299" s="146">
        <f>SUMIF(BG285:BG297,BD299,BE285:BE297)</f>
        <v>6</v>
      </c>
      <c r="BF299" s="141">
        <f>SUMIF(BG285:BG297,BD299,BF285:BF297)</f>
        <v>0</v>
      </c>
    </row>
    <row r="300" spans="1:59" x14ac:dyDescent="0.3">
      <c r="A300" s="160">
        <v>41</v>
      </c>
      <c r="B300" s="158" t="s">
        <v>25</v>
      </c>
      <c r="C300" s="121">
        <v>1</v>
      </c>
      <c r="D300" s="121">
        <v>1</v>
      </c>
      <c r="E300" s="158" t="s">
        <v>30</v>
      </c>
      <c r="G300" s="160">
        <v>42</v>
      </c>
      <c r="H300" s="158" t="s">
        <v>31</v>
      </c>
      <c r="I300" s="121">
        <v>0</v>
      </c>
      <c r="J300" s="121">
        <v>1</v>
      </c>
      <c r="K300" s="158" t="s">
        <v>30</v>
      </c>
      <c r="N300" s="141" t="s">
        <v>30</v>
      </c>
      <c r="O300" s="146">
        <f>SUMIF(Q285:Q297,N300,O285:O297)</f>
        <v>1.05</v>
      </c>
      <c r="P300" s="141">
        <f>SUMIF(Q285:Q297,N300,P285:P297)</f>
        <v>3.95</v>
      </c>
      <c r="T300" s="141" t="s">
        <v>30</v>
      </c>
      <c r="U300" s="146">
        <f>SUMIF(W285:W297,T300,U285:U297)</f>
        <v>1.9</v>
      </c>
      <c r="V300" s="141">
        <f>SUMIF(W285:W297,T300,V285:V297)</f>
        <v>3.1</v>
      </c>
      <c r="Y300" s="141" t="s">
        <v>30</v>
      </c>
      <c r="Z300" s="146">
        <f>SUMIF(AB285:AB297,Y300,Z285:Z297)</f>
        <v>0.86178688213107268</v>
      </c>
      <c r="AA300" s="141">
        <f>SUMIF(AB285:AB297,Y300,AA285:AA297)</f>
        <v>4.1382131178689274</v>
      </c>
      <c r="AE300" s="141" t="s">
        <v>30</v>
      </c>
      <c r="AF300" s="146">
        <f>SUMIF(AH285:AH297,AE300,AF285:AF297)</f>
        <v>2</v>
      </c>
      <c r="AG300" s="141">
        <f>SUMIF(AH285:AH297,AE300,AG285:AG297)</f>
        <v>3</v>
      </c>
      <c r="AK300" s="141" t="s">
        <v>30</v>
      </c>
      <c r="AL300" s="146">
        <f>SUMIF(AN285:AN297,AK300,AL285:AL297)</f>
        <v>2</v>
      </c>
      <c r="AM300" s="141">
        <f>SUMIF(AN285:AN297,AK300,AM285:AM297)</f>
        <v>3</v>
      </c>
      <c r="AQ300" s="141" t="s">
        <v>30</v>
      </c>
      <c r="AR300" s="146">
        <f>SUMIF(AT285:AT297,AQ300,AR285:AR297)</f>
        <v>1</v>
      </c>
      <c r="AS300" s="141">
        <f>SUMIF(AT285:AT297,AQ300,AS285:AS297)</f>
        <v>4</v>
      </c>
      <c r="AW300" s="141" t="s">
        <v>30</v>
      </c>
      <c r="AX300" s="146">
        <f>SUMIF(AZ285:AZ297,AW300,AX285:AX297)</f>
        <v>2</v>
      </c>
      <c r="AY300" s="141">
        <f>SUMIF(AZ285:AZ297,AW300,AY285:AY297)</f>
        <v>3</v>
      </c>
      <c r="BD300" s="141" t="s">
        <v>30</v>
      </c>
      <c r="BE300" s="146">
        <f>SUMIF(BG285:BG297,BD300,BE285:BE297)</f>
        <v>1</v>
      </c>
      <c r="BF300" s="141">
        <f>SUMIF(BG285:BG297,BD300,BF285:BF297)</f>
        <v>4</v>
      </c>
    </row>
    <row r="301" spans="1:59" x14ac:dyDescent="0.3">
      <c r="A301" s="160">
        <v>51</v>
      </c>
      <c r="B301" s="158" t="s">
        <v>25</v>
      </c>
      <c r="C301" s="121">
        <v>1</v>
      </c>
      <c r="D301" s="121">
        <v>1</v>
      </c>
      <c r="E301" s="158" t="s">
        <v>36</v>
      </c>
      <c r="G301" s="160">
        <v>52</v>
      </c>
      <c r="H301" s="158" t="s">
        <v>31</v>
      </c>
      <c r="I301" s="121">
        <v>0</v>
      </c>
      <c r="J301" s="121">
        <v>1</v>
      </c>
      <c r="K301" s="158" t="s">
        <v>35</v>
      </c>
      <c r="N301" s="141" t="s">
        <v>35</v>
      </c>
      <c r="O301" s="146">
        <f>SUMIF(Q285:Q297,N301,O285:O297)</f>
        <v>0</v>
      </c>
      <c r="P301" s="141">
        <f>SUMIF(Q285:Q297,N301,P285:P297)</f>
        <v>2</v>
      </c>
      <c r="T301" s="141" t="s">
        <v>35</v>
      </c>
      <c r="U301" s="146">
        <f>SUMIF(W285:W297,T301,U285:U297)</f>
        <v>1</v>
      </c>
      <c r="V301" s="141">
        <f>SUMIF(W285:W297,T301,V285:V297)</f>
        <v>1</v>
      </c>
      <c r="Y301" s="141" t="s">
        <v>35</v>
      </c>
      <c r="Z301" s="146">
        <f>SUMIF(AB285:AB297,Y301,Z285:Z297)</f>
        <v>0.77381031100531195</v>
      </c>
      <c r="AA301" s="141">
        <f>SUMIF(AB285:AB297,Y301,AA285:AA297)</f>
        <v>1.2261896889946879</v>
      </c>
      <c r="AE301" s="141" t="s">
        <v>35</v>
      </c>
      <c r="AF301" s="146">
        <f>SUMIF(AH285:AH297,AE301,AF285:AF297)</f>
        <v>0</v>
      </c>
      <c r="AG301" s="141">
        <f>SUMIF(AH285:AH297,AE301,AG285:AG297)</f>
        <v>2</v>
      </c>
      <c r="AK301" s="141" t="s">
        <v>35</v>
      </c>
      <c r="AL301" s="146">
        <f>SUMIF(AN285:AN297,AK301,AL285:AL297)</f>
        <v>2</v>
      </c>
      <c r="AM301" s="141">
        <f>SUMIF(AN285:AN297,AK301,AM285:AM297)</f>
        <v>0</v>
      </c>
      <c r="AQ301" s="141" t="s">
        <v>35</v>
      </c>
      <c r="AR301" s="146">
        <f>SUMIF(AT285:AT297,AQ301,AR285:AR297)</f>
        <v>1</v>
      </c>
      <c r="AS301" s="141">
        <f>SUMIF(AT285:AT297,AQ301,AS285:AS297)</f>
        <v>1</v>
      </c>
      <c r="AW301" s="141" t="s">
        <v>35</v>
      </c>
      <c r="AX301" s="146">
        <f>SUMIF(AZ285:AZ297,AW301,AX285:AX297)</f>
        <v>1</v>
      </c>
      <c r="AY301" s="141">
        <f>SUMIF(AZ285:AZ297,AW301,AY285:AY297)</f>
        <v>1</v>
      </c>
      <c r="BD301" s="141" t="s">
        <v>35</v>
      </c>
      <c r="BE301" s="146">
        <f>SUMIF(BG285:BG297,BD301,BE285:BE297)</f>
        <v>0</v>
      </c>
      <c r="BF301" s="141">
        <f>SUMIF(BG285:BG297,BD301,BF285:BF297)</f>
        <v>2</v>
      </c>
    </row>
    <row r="302" spans="1:59" x14ac:dyDescent="0.3">
      <c r="A302" s="160">
        <v>57</v>
      </c>
      <c r="B302" s="158" t="s">
        <v>25</v>
      </c>
      <c r="C302" s="121">
        <v>1</v>
      </c>
      <c r="D302" s="121">
        <v>1</v>
      </c>
      <c r="E302" s="158" t="s">
        <v>36</v>
      </c>
      <c r="I302" s="142" t="s">
        <v>36</v>
      </c>
      <c r="J302" s="142">
        <f>COUNTIF(K296:K301, "Rendah")</f>
        <v>0</v>
      </c>
    </row>
    <row r="303" spans="1:59" x14ac:dyDescent="0.3">
      <c r="C303" s="142" t="s">
        <v>36</v>
      </c>
      <c r="D303" s="142">
        <f>COUNTIF(E290:E302, "Rendah")</f>
        <v>6</v>
      </c>
      <c r="I303" s="142" t="s">
        <v>30</v>
      </c>
      <c r="J303" s="142">
        <f>COUNTIF(K296:K301, "Sedang")</f>
        <v>4</v>
      </c>
    </row>
    <row r="304" spans="1:59" x14ac:dyDescent="0.3">
      <c r="C304" s="142" t="s">
        <v>30</v>
      </c>
      <c r="D304" s="142">
        <f>COUNTIF(E290:E302, "Sedang")</f>
        <v>1</v>
      </c>
      <c r="I304" s="142" t="s">
        <v>35</v>
      </c>
      <c r="J304" s="142">
        <f>COUNTIF(K296:K301, "Tinggi")</f>
        <v>2</v>
      </c>
      <c r="L304" s="119"/>
      <c r="M304" s="219" t="s">
        <v>270</v>
      </c>
      <c r="N304" s="219"/>
      <c r="O304" s="165" t="s">
        <v>55</v>
      </c>
      <c r="P304" s="123">
        <f>-(O299/O298)*LOG((O299/O298),2)-(O300/O298)*LOG((O300/O298),2)-(0)</f>
        <v>0.89181075437970825</v>
      </c>
      <c r="Q304" s="165" t="s">
        <v>43</v>
      </c>
      <c r="R304" s="123">
        <f>-(P299/P298)*LOG((P299/P298),2)-(P300/P298)*LOG((P300/P298),2)-(P301/P298)*LOG((P301/P298),2)</f>
        <v>1.5290614814517454</v>
      </c>
      <c r="S304" s="145"/>
      <c r="T304" s="123"/>
      <c r="V304" s="232" t="s">
        <v>261</v>
      </c>
      <c r="W304" s="233"/>
      <c r="X304" s="234"/>
      <c r="Y304" s="151">
        <f>-((6/13)*LOG((6/13),2))-((5/13)*LOG((5/13),2))-((2/13)*LOG((2/13),2))</f>
        <v>1.4604846813131116</v>
      </c>
    </row>
    <row r="305" spans="1:52" x14ac:dyDescent="0.3">
      <c r="C305" s="142" t="s">
        <v>35</v>
      </c>
      <c r="D305" s="142">
        <f>COUNTIF(E290:E302, "Tinggi")</f>
        <v>0</v>
      </c>
      <c r="J305">
        <v>6</v>
      </c>
      <c r="L305" s="119"/>
      <c r="M305" s="219" t="s">
        <v>272</v>
      </c>
      <c r="N305" s="219"/>
      <c r="O305" s="165" t="s">
        <v>44</v>
      </c>
      <c r="P305" s="123">
        <f>-(U299/U298)*LOG((U299/U298),2)-(U300/U298)*LOG((U300/U298),2)-(U301/U298)*LOG((U301/U298),2)</f>
        <v>1.4147686047285069</v>
      </c>
      <c r="Q305" s="165" t="s">
        <v>258</v>
      </c>
      <c r="R305" s="123">
        <f>-(V299/V298)*LOG((V299/V298),2)-(V300/V298)*LOG((V300/V298),2)-(V301/V298)*LOG((V301/V298),2)</f>
        <v>1.4550642509458038</v>
      </c>
      <c r="S305" s="165"/>
      <c r="T305" s="123"/>
      <c r="V305" s="229" t="s">
        <v>65</v>
      </c>
      <c r="W305" s="230"/>
      <c r="X305" s="231"/>
      <c r="Y305" s="151">
        <f>(Y304)-((O298/13)*P304)-((P298/13)*R304)</f>
        <v>9.8088774634053078E-2</v>
      </c>
    </row>
    <row r="306" spans="1:52" x14ac:dyDescent="0.3">
      <c r="D306">
        <v>7</v>
      </c>
      <c r="L306" s="119"/>
      <c r="M306" s="219" t="s">
        <v>273</v>
      </c>
      <c r="N306" s="219"/>
      <c r="O306" s="165" t="s">
        <v>44</v>
      </c>
      <c r="P306" s="123">
        <f>-(Z299/Z298)*LOG((Z299/Z298),2)-(Z300/Z298)*LOG((Z300/Z298),2)-(Z301/Z298)*LOG((Z301/Z298),2)</f>
        <v>1.4215849957470268</v>
      </c>
      <c r="Q306" s="165" t="s">
        <v>47</v>
      </c>
      <c r="R306" s="123">
        <f>-(AA299/AA298)*LOG((AA299/AA298),2)-(AA300/AA298)*LOG((AA300/AA298),2)-(AA301/AA298)*LOG((AA301/AA298),2)</f>
        <v>1.4314663621279415</v>
      </c>
      <c r="S306" s="165"/>
      <c r="T306" s="123"/>
      <c r="V306" s="229" t="s">
        <v>263</v>
      </c>
      <c r="W306" s="230"/>
      <c r="X306" s="231"/>
      <c r="Y306" s="151">
        <f>(Y304)-((U298/13)*P305)-((V298/13)*R305)</f>
        <v>2.525828696659238E-2</v>
      </c>
    </row>
    <row r="307" spans="1:52" x14ac:dyDescent="0.3">
      <c r="L307" s="119"/>
      <c r="M307" s="219" t="s">
        <v>274</v>
      </c>
      <c r="N307" s="219"/>
      <c r="O307" s="165" t="s">
        <v>25</v>
      </c>
      <c r="P307" s="123">
        <f>-(AF299/AF298)*LOG((AF299/AF298),2)-(AF300/AF298)*LOG((AF300/AF298),2)-(0)</f>
        <v>1</v>
      </c>
      <c r="Q307" s="165" t="s">
        <v>34</v>
      </c>
      <c r="R307" s="123">
        <f>-(AG299/AG298)*LOG((AG299/AG298),2)-(AG300/AG298)*LOG((AG300/AG298),2)-(AG301/AG298)*LOG((AG301/AG298),2)</f>
        <v>1.5304930567574824</v>
      </c>
      <c r="S307" s="165"/>
      <c r="T307" s="123"/>
      <c r="V307" s="229" t="s">
        <v>67</v>
      </c>
      <c r="W307" s="230"/>
      <c r="X307" s="231"/>
      <c r="Y307" s="151">
        <f>(Y304)-((Z298/13)*P306)-((AA298/13)*R306)</f>
        <v>3.187765383293395E-2</v>
      </c>
    </row>
    <row r="308" spans="1:52" x14ac:dyDescent="0.3">
      <c r="L308" s="119"/>
      <c r="M308" s="219" t="s">
        <v>275</v>
      </c>
      <c r="N308" s="219"/>
      <c r="O308" s="165" t="s">
        <v>26</v>
      </c>
      <c r="P308" s="123">
        <f>-(AL299/AL298)*LOG((AL299/AL298),2)-(AL300/AL298)*LOG((AL300/AL298),2)-(AL301/AL298)*LOG((AL301/AL298),2)</f>
        <v>1.5219280948873621</v>
      </c>
      <c r="Q308" s="165" t="s">
        <v>39</v>
      </c>
      <c r="R308" s="123">
        <f>-(AM299/AM298)*LOG((AM299/AM298),2)-(AM300/AM298)*LOG((AM300/AM298),2)-(0)</f>
        <v>0.95443400292496494</v>
      </c>
      <c r="S308" s="165"/>
      <c r="T308" s="123"/>
      <c r="V308" s="229" t="s">
        <v>264</v>
      </c>
      <c r="W308" s="230"/>
      <c r="X308" s="231"/>
      <c r="Y308" s="151">
        <f>(Y304)-((AF298/13)*P307)-((AG298/13)*R307)</f>
        <v>9.322025740408546E-2</v>
      </c>
    </row>
    <row r="309" spans="1:52" x14ac:dyDescent="0.3">
      <c r="A309" s="124"/>
      <c r="B309" s="124"/>
      <c r="C309" s="116"/>
      <c r="D309" s="239"/>
      <c r="E309" s="124"/>
      <c r="F309" s="124"/>
      <c r="G309" s="124"/>
      <c r="L309" s="119"/>
      <c r="M309" s="219" t="s">
        <v>276</v>
      </c>
      <c r="N309" s="219"/>
      <c r="O309" s="149" t="s">
        <v>27</v>
      </c>
      <c r="P309" s="123">
        <f>-(AR299/AR298)*LOG((AR299/AR298),2)-(AR300/AR298)*LOG((AR300/AR298),2)-(AR301/AR298)*LOG((AR301/AR298),2)</f>
        <v>1.5</v>
      </c>
      <c r="Q309" s="149" t="s">
        <v>32</v>
      </c>
      <c r="R309" s="123">
        <f>-(AS299/AS298)*LOG((AS299/AS298),2)-(AS300/AS298)*LOG((AS300/AS298),2)-(AS301/AS298)*LOG((AS301/AS298),2)</f>
        <v>1.3921472236645345</v>
      </c>
      <c r="S309" s="165"/>
      <c r="T309" s="123"/>
      <c r="V309" s="229" t="s">
        <v>265</v>
      </c>
      <c r="W309" s="230"/>
      <c r="X309" s="231"/>
      <c r="Y309" s="151">
        <f>(Y304)-((AL298/13)*P308)-((AM298/13)*R308)</f>
        <v>0.28778371994107077</v>
      </c>
    </row>
    <row r="310" spans="1:52" x14ac:dyDescent="0.3">
      <c r="A310" s="124"/>
      <c r="B310" s="124"/>
      <c r="C310" s="124"/>
      <c r="D310" s="124"/>
      <c r="E310" s="124"/>
      <c r="F310" s="124"/>
      <c r="G310" s="124"/>
      <c r="L310" s="119"/>
      <c r="M310" s="219" t="s">
        <v>277</v>
      </c>
      <c r="N310" s="219"/>
      <c r="O310" s="149" t="s">
        <v>28</v>
      </c>
      <c r="P310" s="123">
        <f>-(AX299/AX298)*LOG((AX299/AX298),2)-(AX300/AX298)*LOG((AX300/AX298),2)-(AX301/AX298)*LOG((AX301/AX298),2)</f>
        <v>1.4591479170272448</v>
      </c>
      <c r="Q310" s="149" t="s">
        <v>33</v>
      </c>
      <c r="R310" s="123">
        <f>-(AY299/AY298)*LOG((AY299/AY298),2)-(AY300/AY298)*LOG((AY300/AY298),2)-(AY301/AY298)*LOG((AY301/AY298),2)</f>
        <v>1.4488156357251847</v>
      </c>
      <c r="S310" s="165"/>
      <c r="T310" s="123"/>
      <c r="V310" s="229" t="s">
        <v>266</v>
      </c>
      <c r="W310" s="230"/>
      <c r="X310" s="231"/>
      <c r="Y310" s="228">
        <f>(Y304)-((AR298/13)*P309)-((AS298/13)*R309)</f>
        <v>3.5151988006895452E-2</v>
      </c>
    </row>
    <row r="311" spans="1:52" x14ac:dyDescent="0.3">
      <c r="A311" s="124"/>
      <c r="B311" s="124"/>
      <c r="C311" s="124"/>
      <c r="D311" s="124"/>
      <c r="E311" s="124"/>
      <c r="F311" s="124"/>
      <c r="G311" s="124"/>
      <c r="L311" s="119"/>
      <c r="M311" s="165" t="s">
        <v>278</v>
      </c>
      <c r="N311" s="165"/>
      <c r="O311" s="165" t="s">
        <v>25</v>
      </c>
      <c r="P311" s="123">
        <f>-(BE299/BE298)*LOG((BE299/BE298),2)-(BE300/BE298)*LOG((BE300/BE298),2)-(0)</f>
        <v>0.59167277858232747</v>
      </c>
      <c r="Q311" s="165" t="s">
        <v>34</v>
      </c>
      <c r="R311" s="123">
        <f>-(0)-(BF300/BF298)*LOG((BF300/BF298),2)-(BF301/BF298)*LOG((BF301/BF298),2)</f>
        <v>0.91829583405448956</v>
      </c>
      <c r="S311" s="165"/>
      <c r="T311" s="123"/>
      <c r="V311" s="229" t="s">
        <v>267</v>
      </c>
      <c r="W311" s="230"/>
      <c r="X311" s="231"/>
      <c r="Y311" s="228">
        <f>(Y304)-((AX298/13)*P310)-((AY298/13)*R310)</f>
        <v>6.9003003715915057E-3</v>
      </c>
    </row>
    <row r="312" spans="1:52" x14ac:dyDescent="0.3">
      <c r="A312" s="124"/>
      <c r="B312" s="124"/>
      <c r="C312" s="240"/>
      <c r="D312" s="124"/>
      <c r="E312" s="124"/>
      <c r="F312" s="240"/>
      <c r="G312" s="124"/>
      <c r="L312" s="119"/>
      <c r="V312" s="218" t="s">
        <v>268</v>
      </c>
      <c r="W312" s="218"/>
      <c r="X312" s="218"/>
      <c r="Y312" s="152">
        <f>(Y304)-((BE298/13)*P311)-((BF298/13)*R311)</f>
        <v>0.71806280020517099</v>
      </c>
    </row>
    <row r="313" spans="1:52" x14ac:dyDescent="0.3">
      <c r="A313" s="124"/>
      <c r="B313" s="124"/>
      <c r="C313" s="44"/>
      <c r="D313" s="44"/>
      <c r="E313" s="44"/>
      <c r="F313" s="44"/>
      <c r="G313" s="124"/>
      <c r="L313" s="119"/>
    </row>
    <row r="314" spans="1:52" x14ac:dyDescent="0.3">
      <c r="A314" s="124"/>
      <c r="B314" s="124"/>
      <c r="C314" s="124"/>
      <c r="D314" s="124"/>
      <c r="E314" s="44"/>
      <c r="F314" s="44"/>
      <c r="G314" s="124"/>
      <c r="L314" s="119"/>
    </row>
    <row r="315" spans="1:52" x14ac:dyDescent="0.3">
      <c r="A315" s="124"/>
      <c r="B315" s="124"/>
      <c r="C315" s="124"/>
      <c r="D315" s="124"/>
      <c r="E315" s="44"/>
      <c r="F315" s="44"/>
      <c r="G315" s="124"/>
      <c r="L315" s="119"/>
      <c r="M315" s="139" t="s">
        <v>77</v>
      </c>
      <c r="N315" s="139" t="s">
        <v>4</v>
      </c>
      <c r="O315" s="139" t="s">
        <v>55</v>
      </c>
      <c r="P315" s="139" t="s">
        <v>43</v>
      </c>
      <c r="Q315" s="139" t="s">
        <v>66</v>
      </c>
      <c r="S315" s="139" t="s">
        <v>77</v>
      </c>
      <c r="T315" s="139" t="s">
        <v>56</v>
      </c>
      <c r="U315" s="139" t="s">
        <v>44</v>
      </c>
      <c r="V315" s="139" t="s">
        <v>258</v>
      </c>
      <c r="W315" s="139" t="s">
        <v>66</v>
      </c>
      <c r="X315" s="119"/>
      <c r="Y315" s="139" t="s">
        <v>10</v>
      </c>
      <c r="Z315" s="139" t="s">
        <v>44</v>
      </c>
      <c r="AA315" s="139" t="s">
        <v>47</v>
      </c>
      <c r="AB315" s="139" t="s">
        <v>66</v>
      </c>
      <c r="AC315" s="119"/>
      <c r="AD315" s="139" t="s">
        <v>11</v>
      </c>
      <c r="AE315" s="139" t="s">
        <v>259</v>
      </c>
      <c r="AF315" s="139" t="s">
        <v>25</v>
      </c>
      <c r="AG315" s="139" t="s">
        <v>34</v>
      </c>
      <c r="AH315" s="139" t="s">
        <v>66</v>
      </c>
      <c r="AI315" s="119"/>
      <c r="AJ315" s="139" t="s">
        <v>48</v>
      </c>
      <c r="AK315" s="139" t="s">
        <v>259</v>
      </c>
      <c r="AL315" s="139" t="s">
        <v>26</v>
      </c>
      <c r="AM315" s="139" t="s">
        <v>39</v>
      </c>
      <c r="AN315" s="241" t="s">
        <v>66</v>
      </c>
      <c r="AO315" s="118"/>
      <c r="AP315" s="242" t="s">
        <v>13</v>
      </c>
      <c r="AQ315" s="139" t="s">
        <v>259</v>
      </c>
      <c r="AR315" s="166" t="s">
        <v>27</v>
      </c>
      <c r="AS315" s="166" t="s">
        <v>32</v>
      </c>
      <c r="AT315" s="139" t="s">
        <v>66</v>
      </c>
      <c r="AU315" s="119"/>
      <c r="AV315" s="139" t="s">
        <v>52</v>
      </c>
      <c r="AW315" s="142" t="s">
        <v>259</v>
      </c>
      <c r="AX315" s="166" t="s">
        <v>28</v>
      </c>
      <c r="AY315" s="166" t="s">
        <v>33</v>
      </c>
      <c r="AZ315" s="139" t="s">
        <v>66</v>
      </c>
    </row>
    <row r="316" spans="1:52" x14ac:dyDescent="0.3">
      <c r="A316" s="124"/>
      <c r="B316" s="124"/>
      <c r="C316" s="124"/>
      <c r="D316" s="124"/>
      <c r="E316" s="124"/>
      <c r="F316" s="124"/>
      <c r="G316" s="124"/>
      <c r="L316" s="119"/>
      <c r="M316" s="160">
        <v>4</v>
      </c>
      <c r="N316" s="158">
        <v>51</v>
      </c>
      <c r="O316" s="121">
        <v>0</v>
      </c>
      <c r="P316" s="121">
        <v>1</v>
      </c>
      <c r="Q316" s="158" t="s">
        <v>30</v>
      </c>
      <c r="S316" s="160">
        <v>4</v>
      </c>
      <c r="T316" s="158">
        <v>98</v>
      </c>
      <c r="U316" s="121">
        <v>0.2</v>
      </c>
      <c r="V316" s="121">
        <v>0.8</v>
      </c>
      <c r="W316" s="158" t="s">
        <v>30</v>
      </c>
      <c r="X316" s="119"/>
      <c r="Y316" s="4">
        <v>28.356290174471997</v>
      </c>
      <c r="Z316" s="121">
        <v>0</v>
      </c>
      <c r="AA316" s="121">
        <v>1</v>
      </c>
      <c r="AB316" s="158" t="s">
        <v>30</v>
      </c>
      <c r="AC316" s="119"/>
      <c r="AD316" s="120" t="s">
        <v>25</v>
      </c>
      <c r="AE316" s="121">
        <v>1</v>
      </c>
      <c r="AF316" s="121">
        <v>1</v>
      </c>
      <c r="AG316" s="121">
        <v>0</v>
      </c>
      <c r="AH316" s="158" t="s">
        <v>30</v>
      </c>
      <c r="AI316" s="119"/>
      <c r="AJ316" s="158" t="s">
        <v>26</v>
      </c>
      <c r="AK316" s="121">
        <v>0</v>
      </c>
      <c r="AL316" s="121">
        <v>0</v>
      </c>
      <c r="AM316" s="121">
        <v>1</v>
      </c>
      <c r="AN316" s="72" t="s">
        <v>30</v>
      </c>
      <c r="AO316" s="159"/>
      <c r="AP316" s="74" t="s">
        <v>27</v>
      </c>
      <c r="AQ316" s="121">
        <v>0</v>
      </c>
      <c r="AR316" s="121">
        <v>0</v>
      </c>
      <c r="AS316" s="121">
        <v>1</v>
      </c>
      <c r="AT316" s="158" t="s">
        <v>30</v>
      </c>
      <c r="AU316" s="119"/>
      <c r="AV316" s="158" t="s">
        <v>33</v>
      </c>
      <c r="AW316" s="121">
        <v>1</v>
      </c>
      <c r="AX316" s="121">
        <v>1</v>
      </c>
      <c r="AY316" s="121">
        <v>0</v>
      </c>
      <c r="AZ316" s="158" t="s">
        <v>30</v>
      </c>
    </row>
    <row r="317" spans="1:52" x14ac:dyDescent="0.3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M317" s="160">
        <v>10</v>
      </c>
      <c r="N317" s="158">
        <v>57</v>
      </c>
      <c r="O317" s="121">
        <v>0</v>
      </c>
      <c r="P317" s="121">
        <v>1</v>
      </c>
      <c r="Q317" s="158" t="s">
        <v>30</v>
      </c>
      <c r="S317" s="160">
        <v>10</v>
      </c>
      <c r="T317" s="158">
        <v>105</v>
      </c>
      <c r="U317" s="121">
        <v>0</v>
      </c>
      <c r="V317" s="121">
        <v>1</v>
      </c>
      <c r="W317" s="158" t="s">
        <v>30</v>
      </c>
      <c r="X317" s="119"/>
      <c r="Y317" s="4">
        <v>26.805411030176899</v>
      </c>
      <c r="Z317" s="121">
        <v>2.1620996647011264E-2</v>
      </c>
      <c r="AA317" s="121">
        <v>0.97837900335298877</v>
      </c>
      <c r="AB317" s="158" t="s">
        <v>30</v>
      </c>
      <c r="AC317" s="119"/>
      <c r="AD317" s="120" t="s">
        <v>31</v>
      </c>
      <c r="AE317" s="121">
        <v>0</v>
      </c>
      <c r="AF317" s="121">
        <v>0</v>
      </c>
      <c r="AG317" s="121">
        <v>1</v>
      </c>
      <c r="AH317" s="158" t="s">
        <v>30</v>
      </c>
      <c r="AI317" s="119"/>
      <c r="AJ317" s="158" t="s">
        <v>26</v>
      </c>
      <c r="AK317" s="121">
        <v>0</v>
      </c>
      <c r="AL317" s="121">
        <v>0</v>
      </c>
      <c r="AM317" s="121">
        <v>1</v>
      </c>
      <c r="AN317" s="72" t="s">
        <v>30</v>
      </c>
      <c r="AO317" s="159"/>
      <c r="AP317" s="74" t="s">
        <v>27</v>
      </c>
      <c r="AQ317" s="121">
        <v>0</v>
      </c>
      <c r="AR317" s="121">
        <v>0</v>
      </c>
      <c r="AS317" s="121">
        <v>1</v>
      </c>
      <c r="AT317" s="158" t="s">
        <v>30</v>
      </c>
      <c r="AU317" s="119"/>
      <c r="AV317" s="158" t="s">
        <v>33</v>
      </c>
      <c r="AW317" s="121">
        <v>1</v>
      </c>
      <c r="AX317" s="121">
        <v>1</v>
      </c>
      <c r="AY317" s="121">
        <v>0</v>
      </c>
      <c r="AZ317" s="158" t="s">
        <v>30</v>
      </c>
    </row>
    <row r="318" spans="1:52" x14ac:dyDescent="0.3">
      <c r="A318" s="124"/>
      <c r="B318" s="124"/>
      <c r="C318" s="240"/>
      <c r="D318" s="124"/>
      <c r="E318" s="124"/>
      <c r="F318" s="240"/>
      <c r="G318" s="124"/>
      <c r="H318" s="124"/>
      <c r="I318" s="124"/>
      <c r="J318" s="124"/>
      <c r="K318" s="124"/>
      <c r="M318" s="160">
        <v>20</v>
      </c>
      <c r="N318" s="158">
        <v>62</v>
      </c>
      <c r="O318" s="121">
        <v>0</v>
      </c>
      <c r="P318" s="121">
        <v>1</v>
      </c>
      <c r="Q318" s="158" t="s">
        <v>35</v>
      </c>
      <c r="S318" s="160">
        <v>20</v>
      </c>
      <c r="T318" s="158">
        <v>108</v>
      </c>
      <c r="U318" s="121">
        <v>0</v>
      </c>
      <c r="V318" s="121">
        <v>1</v>
      </c>
      <c r="W318" s="158" t="s">
        <v>35</v>
      </c>
      <c r="X318" s="119"/>
      <c r="Y318" s="4">
        <v>27.059921294981542</v>
      </c>
      <c r="Z318" s="121">
        <v>0</v>
      </c>
      <c r="AA318" s="121">
        <v>1</v>
      </c>
      <c r="AB318" s="158" t="s">
        <v>35</v>
      </c>
      <c r="AC318" s="119"/>
      <c r="AD318" s="120" t="s">
        <v>31</v>
      </c>
      <c r="AE318" s="121">
        <v>0</v>
      </c>
      <c r="AF318" s="121">
        <v>0</v>
      </c>
      <c r="AG318" s="121">
        <v>1</v>
      </c>
      <c r="AH318" s="158" t="s">
        <v>35</v>
      </c>
      <c r="AI318" s="119"/>
      <c r="AJ318" s="158" t="s">
        <v>39</v>
      </c>
      <c r="AK318" s="121">
        <v>1</v>
      </c>
      <c r="AL318" s="121">
        <v>1</v>
      </c>
      <c r="AM318" s="121">
        <v>0</v>
      </c>
      <c r="AN318" s="72" t="s">
        <v>35</v>
      </c>
      <c r="AO318" s="159"/>
      <c r="AP318" s="74" t="s">
        <v>32</v>
      </c>
      <c r="AQ318" s="121">
        <v>1</v>
      </c>
      <c r="AR318" s="121">
        <v>1</v>
      </c>
      <c r="AS318" s="121">
        <v>0</v>
      </c>
      <c r="AT318" s="158" t="s">
        <v>35</v>
      </c>
      <c r="AU318" s="119"/>
      <c r="AV318" s="158" t="s">
        <v>28</v>
      </c>
      <c r="AW318" s="121">
        <v>0</v>
      </c>
      <c r="AX318" s="121">
        <v>0</v>
      </c>
      <c r="AY318" s="121">
        <v>1</v>
      </c>
      <c r="AZ318" s="158" t="s">
        <v>35</v>
      </c>
    </row>
    <row r="319" spans="1:52" x14ac:dyDescent="0.3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M319" s="160">
        <v>21</v>
      </c>
      <c r="N319" s="158">
        <v>52</v>
      </c>
      <c r="O319" s="121">
        <v>0</v>
      </c>
      <c r="P319" s="121">
        <v>1</v>
      </c>
      <c r="Q319" s="158" t="s">
        <v>30</v>
      </c>
      <c r="S319" s="160">
        <v>21</v>
      </c>
      <c r="T319" s="158">
        <v>93</v>
      </c>
      <c r="U319" s="121">
        <v>0.7</v>
      </c>
      <c r="V319" s="121">
        <v>0.3</v>
      </c>
      <c r="W319" s="158" t="s">
        <v>30</v>
      </c>
      <c r="X319" s="119"/>
      <c r="Y319" s="4">
        <v>33.246135552913202</v>
      </c>
      <c r="Z319" s="121">
        <v>0</v>
      </c>
      <c r="AA319" s="121">
        <v>1</v>
      </c>
      <c r="AB319" s="158" t="s">
        <v>30</v>
      </c>
      <c r="AC319" s="119"/>
      <c r="AD319" s="120" t="s">
        <v>31</v>
      </c>
      <c r="AE319" s="121">
        <v>0</v>
      </c>
      <c r="AF319" s="121">
        <v>0</v>
      </c>
      <c r="AG319" s="121">
        <v>1</v>
      </c>
      <c r="AH319" s="158" t="s">
        <v>30</v>
      </c>
      <c r="AI319" s="119"/>
      <c r="AJ319" s="158" t="s">
        <v>26</v>
      </c>
      <c r="AK319" s="121">
        <v>0</v>
      </c>
      <c r="AL319" s="121">
        <v>0</v>
      </c>
      <c r="AM319" s="121">
        <v>1</v>
      </c>
      <c r="AN319" s="72" t="s">
        <v>30</v>
      </c>
      <c r="AO319" s="159"/>
      <c r="AP319" s="74" t="s">
        <v>32</v>
      </c>
      <c r="AQ319" s="121">
        <v>1</v>
      </c>
      <c r="AR319" s="121">
        <v>1</v>
      </c>
      <c r="AS319" s="121">
        <v>0</v>
      </c>
      <c r="AT319" s="158" t="s">
        <v>30</v>
      </c>
      <c r="AU319" s="119"/>
      <c r="AV319" s="158" t="s">
        <v>28</v>
      </c>
      <c r="AW319" s="121">
        <v>0</v>
      </c>
      <c r="AX319" s="121">
        <v>0</v>
      </c>
      <c r="AY319" s="121">
        <v>1</v>
      </c>
      <c r="AZ319" s="158" t="s">
        <v>30</v>
      </c>
    </row>
    <row r="320" spans="1:52" x14ac:dyDescent="0.3">
      <c r="A320" s="124"/>
      <c r="B320" s="124"/>
      <c r="C320" s="124"/>
      <c r="D320" s="44"/>
      <c r="E320" s="44"/>
      <c r="F320" s="44"/>
      <c r="G320" s="124"/>
      <c r="H320" s="124"/>
      <c r="I320" s="124"/>
      <c r="J320" s="124"/>
      <c r="K320" s="124"/>
      <c r="M320" s="160">
        <v>42</v>
      </c>
      <c r="N320" s="158">
        <v>36</v>
      </c>
      <c r="O320" s="121">
        <v>0.5</v>
      </c>
      <c r="P320" s="121">
        <v>0.5</v>
      </c>
      <c r="Q320" s="158" t="s">
        <v>30</v>
      </c>
      <c r="S320" s="160">
        <v>42</v>
      </c>
      <c r="T320" s="158">
        <v>101</v>
      </c>
      <c r="U320" s="121">
        <v>0</v>
      </c>
      <c r="V320" s="121">
        <v>1</v>
      </c>
      <c r="W320" s="158" t="s">
        <v>30</v>
      </c>
      <c r="X320" s="119"/>
      <c r="Y320" s="4">
        <v>29.453124999999996</v>
      </c>
      <c r="Z320" s="121">
        <v>0</v>
      </c>
      <c r="AA320" s="121">
        <v>1</v>
      </c>
      <c r="AB320" s="158" t="s">
        <v>30</v>
      </c>
      <c r="AC320" s="119"/>
      <c r="AD320" s="158" t="s">
        <v>31</v>
      </c>
      <c r="AE320" s="121">
        <v>0</v>
      </c>
      <c r="AF320" s="121">
        <v>0</v>
      </c>
      <c r="AG320" s="121">
        <v>1</v>
      </c>
      <c r="AH320" s="158" t="s">
        <v>30</v>
      </c>
      <c r="AI320" s="119"/>
      <c r="AJ320" s="158" t="s">
        <v>39</v>
      </c>
      <c r="AK320" s="121">
        <v>1</v>
      </c>
      <c r="AL320" s="121">
        <v>1</v>
      </c>
      <c r="AM320" s="121">
        <v>0</v>
      </c>
      <c r="AN320" s="72" t="s">
        <v>30</v>
      </c>
      <c r="AO320" s="159"/>
      <c r="AP320" s="74" t="s">
        <v>27</v>
      </c>
      <c r="AQ320" s="121">
        <v>0</v>
      </c>
      <c r="AR320" s="121">
        <v>0</v>
      </c>
      <c r="AS320" s="121">
        <v>1</v>
      </c>
      <c r="AT320" s="158" t="s">
        <v>30</v>
      </c>
      <c r="AU320" s="119"/>
      <c r="AV320" s="158" t="s">
        <v>28</v>
      </c>
      <c r="AW320" s="121">
        <v>0</v>
      </c>
      <c r="AX320" s="121">
        <v>0</v>
      </c>
      <c r="AY320" s="121">
        <v>1</v>
      </c>
      <c r="AZ320" s="158" t="s">
        <v>30</v>
      </c>
    </row>
    <row r="321" spans="1:52" x14ac:dyDescent="0.3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M321" s="160">
        <v>52</v>
      </c>
      <c r="N321" s="158">
        <v>80</v>
      </c>
      <c r="O321" s="121">
        <v>0</v>
      </c>
      <c r="P321" s="121">
        <v>1</v>
      </c>
      <c r="Q321" s="158" t="s">
        <v>35</v>
      </c>
      <c r="S321" s="160">
        <v>52</v>
      </c>
      <c r="T321" s="158">
        <v>87</v>
      </c>
      <c r="U321" s="121">
        <v>1</v>
      </c>
      <c r="V321" s="121">
        <v>0</v>
      </c>
      <c r="W321" s="158" t="s">
        <v>35</v>
      </c>
      <c r="X321" s="119"/>
      <c r="Y321" s="4">
        <v>20.035707200952192</v>
      </c>
      <c r="Z321" s="121">
        <v>0.77381031100531195</v>
      </c>
      <c r="AA321" s="121">
        <v>0.22618968899468803</v>
      </c>
      <c r="AB321" s="158" t="s">
        <v>35</v>
      </c>
      <c r="AC321" s="119"/>
      <c r="AD321" s="158" t="s">
        <v>31</v>
      </c>
      <c r="AE321" s="121">
        <v>0</v>
      </c>
      <c r="AF321" s="121">
        <v>0</v>
      </c>
      <c r="AG321" s="121">
        <v>1</v>
      </c>
      <c r="AH321" s="158" t="s">
        <v>35</v>
      </c>
      <c r="AI321" s="119"/>
      <c r="AJ321" s="158" t="s">
        <v>39</v>
      </c>
      <c r="AK321" s="121">
        <v>1</v>
      </c>
      <c r="AL321" s="121">
        <v>1</v>
      </c>
      <c r="AM321" s="121">
        <v>0</v>
      </c>
      <c r="AN321" s="72" t="s">
        <v>35</v>
      </c>
      <c r="AO321" s="159"/>
      <c r="AP321" s="74" t="s">
        <v>27</v>
      </c>
      <c r="AQ321" s="121">
        <v>0</v>
      </c>
      <c r="AR321" s="121">
        <v>0</v>
      </c>
      <c r="AS321" s="121">
        <v>1</v>
      </c>
      <c r="AT321" s="158" t="s">
        <v>35</v>
      </c>
      <c r="AU321" s="119"/>
      <c r="AV321" s="158" t="s">
        <v>33</v>
      </c>
      <c r="AW321" s="121">
        <v>1</v>
      </c>
      <c r="AX321" s="121">
        <v>1</v>
      </c>
      <c r="AY321" s="121">
        <v>0</v>
      </c>
      <c r="AZ321" s="158" t="s">
        <v>35</v>
      </c>
    </row>
    <row r="322" spans="1:52" x14ac:dyDescent="0.3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N322" s="121" t="s">
        <v>64</v>
      </c>
      <c r="O322" s="121">
        <f>SUM(O316:O321)</f>
        <v>0.5</v>
      </c>
      <c r="P322" s="121">
        <f>SUM(P316:P321)</f>
        <v>5.5</v>
      </c>
      <c r="T322" s="121" t="s">
        <v>64</v>
      </c>
      <c r="U322" s="121">
        <f>SUM(U316:U321)</f>
        <v>1.9</v>
      </c>
      <c r="V322" s="121">
        <f>SUM(V316:V321)</f>
        <v>4.0999999999999996</v>
      </c>
      <c r="Y322" s="121" t="s">
        <v>64</v>
      </c>
      <c r="Z322" s="121">
        <f>SUM(Z316:Z321)</f>
        <v>0.79543130765232317</v>
      </c>
      <c r="AA322" s="121">
        <f>SUM(AA316:AA321)</f>
        <v>5.2045686923476771</v>
      </c>
      <c r="AE322" s="121" t="s">
        <v>64</v>
      </c>
      <c r="AF322" s="121">
        <f>SUM(AF316:AF321)</f>
        <v>1</v>
      </c>
      <c r="AG322" s="121">
        <f>SUM(AG316:AG321)</f>
        <v>5</v>
      </c>
      <c r="AK322" s="121" t="s">
        <v>64</v>
      </c>
      <c r="AL322" s="121">
        <f>SUM(AL316:AL321)</f>
        <v>3</v>
      </c>
      <c r="AM322" s="121">
        <f>SUM(AM316:AM321)</f>
        <v>3</v>
      </c>
      <c r="AQ322" s="121" t="s">
        <v>64</v>
      </c>
      <c r="AR322" s="121">
        <f>SUM(AR316:AR321)</f>
        <v>2</v>
      </c>
      <c r="AS322" s="121">
        <f>SUM(AS316:AS321)</f>
        <v>4</v>
      </c>
      <c r="AW322" s="121" t="s">
        <v>64</v>
      </c>
      <c r="AX322" s="121">
        <f>SUM(AX316:AX321)</f>
        <v>3</v>
      </c>
      <c r="AY322" s="121">
        <f>SUM(AY316:AY321)</f>
        <v>3</v>
      </c>
    </row>
    <row r="323" spans="1:52" x14ac:dyDescent="0.3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N323" s="141" t="s">
        <v>36</v>
      </c>
      <c r="O323" s="146">
        <f>SUMIF(Q316:Q321,N323,O316:O321)</f>
        <v>0</v>
      </c>
      <c r="P323" s="141">
        <f>SUMIF(Q316:Q321,N323,P316:P321)</f>
        <v>0</v>
      </c>
      <c r="T323" s="141" t="s">
        <v>36</v>
      </c>
      <c r="U323" s="146">
        <f>SUMIF(W316:W321,T323,U316:U321)</f>
        <v>0</v>
      </c>
      <c r="V323" s="141">
        <f>SUMIF(W316:W321,T323,V316:V321)</f>
        <v>0</v>
      </c>
      <c r="Y323" s="141" t="s">
        <v>36</v>
      </c>
      <c r="Z323" s="146">
        <f>SUMIF(AB316:AB321,Y323,Z316:Z321)</f>
        <v>0</v>
      </c>
      <c r="AA323" s="141">
        <f>SUMIF(AB316:AB321,Y323,AA316:AA321)</f>
        <v>0</v>
      </c>
      <c r="AE323" s="141" t="s">
        <v>36</v>
      </c>
      <c r="AF323" s="146">
        <f>SUMIF(AH316:AH321,AE323,AF316:AF321)</f>
        <v>0</v>
      </c>
      <c r="AG323" s="141">
        <f>SUMIF(AH316:AH321,AE323,AG316:AG321)</f>
        <v>0</v>
      </c>
      <c r="AK323" s="141" t="s">
        <v>36</v>
      </c>
      <c r="AL323" s="146">
        <f>SUMIF(AN316:AN321,AK323,AL316:AL321)</f>
        <v>0</v>
      </c>
      <c r="AM323" s="141">
        <f>SUMIF(AN316:AN321,AK323,AM316:AM321)</f>
        <v>0</v>
      </c>
      <c r="AQ323" s="141" t="s">
        <v>36</v>
      </c>
      <c r="AR323" s="146">
        <f>SUMIF(AT316:AT321,AQ323,AR316:AR321)</f>
        <v>0</v>
      </c>
      <c r="AS323" s="141">
        <f>SUMIF(AT316:AT321,AQ323,AS316:AS321)</f>
        <v>0</v>
      </c>
      <c r="AW323" s="141" t="s">
        <v>36</v>
      </c>
      <c r="AX323" s="146">
        <f>SUMIF(AZ316:AZ321,AW323,AX316:AX321)</f>
        <v>0</v>
      </c>
      <c r="AY323" s="141">
        <f>SUMIF(AZ316:AZ321,AW323,AY316:AY321)</f>
        <v>0</v>
      </c>
    </row>
    <row r="324" spans="1:52" x14ac:dyDescent="0.3">
      <c r="A324" s="118"/>
      <c r="B324" s="118"/>
      <c r="C324" s="118"/>
      <c r="D324" s="118"/>
      <c r="E324" s="118"/>
      <c r="F324" s="124"/>
      <c r="G324" s="118"/>
      <c r="H324" s="118"/>
      <c r="I324" s="118"/>
      <c r="J324" s="118"/>
      <c r="K324" s="118"/>
      <c r="N324" s="141" t="s">
        <v>30</v>
      </c>
      <c r="O324" s="146">
        <f>SUMIF(Q316:Q321,N324,O316:O321)</f>
        <v>0.5</v>
      </c>
      <c r="P324" s="141">
        <f>SUMIF(Q316:Q321,N324,P316:P321)</f>
        <v>3.5</v>
      </c>
      <c r="T324" s="141" t="s">
        <v>30</v>
      </c>
      <c r="U324" s="146">
        <f>SUMIF(W316:W321,T324,U316:U321)</f>
        <v>0.89999999999999991</v>
      </c>
      <c r="V324" s="141">
        <f>SUMIF(W316:W321,T324,V316:V321)</f>
        <v>3.1</v>
      </c>
      <c r="Y324" s="141" t="s">
        <v>30</v>
      </c>
      <c r="Z324" s="146">
        <f>SUMIF(AB316:AB321,Y324,Z316:Z321)</f>
        <v>2.1620996647011264E-2</v>
      </c>
      <c r="AA324" s="141">
        <f>SUMIF(AB316:AB321,Y324,AA316:AA321)</f>
        <v>3.9783790033529889</v>
      </c>
      <c r="AE324" s="141" t="s">
        <v>30</v>
      </c>
      <c r="AF324" s="146">
        <f>SUMIF(AH316:AH321,AE324,AF316:AF321)</f>
        <v>1</v>
      </c>
      <c r="AG324" s="141">
        <f>SUMIF(AH316:AH321,AE324,AG316:AG321)</f>
        <v>3</v>
      </c>
      <c r="AK324" s="141" t="s">
        <v>30</v>
      </c>
      <c r="AL324" s="146">
        <f>SUMIF(AN316:AN321,AK324,AL316:AL321)</f>
        <v>1</v>
      </c>
      <c r="AM324" s="141">
        <f>SUMIF(AN316:AN321,AK324,AM316:AM321)</f>
        <v>3</v>
      </c>
      <c r="AQ324" s="141" t="s">
        <v>30</v>
      </c>
      <c r="AR324" s="146">
        <f>SUMIF(AT316:AT321,AQ324,AR316:AR321)</f>
        <v>1</v>
      </c>
      <c r="AS324" s="141">
        <f>SUMIF(AT316:AT321,AQ324,AS316:AS321)</f>
        <v>3</v>
      </c>
      <c r="AW324" s="141" t="s">
        <v>30</v>
      </c>
      <c r="AX324" s="146">
        <f>SUMIF(AZ316:AZ321,AW324,AX316:AX321)</f>
        <v>2</v>
      </c>
      <c r="AY324" s="141">
        <f>SUMIF(AZ316:AZ321,AW324,AY316:AY321)</f>
        <v>2</v>
      </c>
    </row>
    <row r="325" spans="1:52" x14ac:dyDescent="0.3">
      <c r="A325" s="159"/>
      <c r="B325" s="162"/>
      <c r="C325" s="124"/>
      <c r="D325" s="124"/>
      <c r="E325" s="162"/>
      <c r="F325" s="124"/>
      <c r="G325" s="159"/>
      <c r="H325" s="162"/>
      <c r="I325" s="124"/>
      <c r="J325" s="124"/>
      <c r="K325" s="162"/>
      <c r="N325" s="141" t="s">
        <v>35</v>
      </c>
      <c r="O325" s="146">
        <f>SUMIF(Q316:Q321,N325,O316:O321)</f>
        <v>0</v>
      </c>
      <c r="P325" s="141">
        <f>SUMIF(Q316:Q321,N325,P316:P321)</f>
        <v>2</v>
      </c>
      <c r="T325" s="141" t="s">
        <v>35</v>
      </c>
      <c r="U325" s="146">
        <f>SUMIF(W316:W321,T325,U316:U321)</f>
        <v>1</v>
      </c>
      <c r="V325" s="141">
        <f>SUMIF(W316:W321,T325,V316:V321)</f>
        <v>1</v>
      </c>
      <c r="Y325" s="141" t="s">
        <v>35</v>
      </c>
      <c r="Z325" s="146">
        <f>SUMIF(AB316:AB321,Y325,Z316:Z321)</f>
        <v>0.77381031100531195</v>
      </c>
      <c r="AA325" s="141">
        <f>SUMIF(AB316:AB321,Y325,AA316:AA321)</f>
        <v>1.2261896889946879</v>
      </c>
      <c r="AE325" s="141" t="s">
        <v>35</v>
      </c>
      <c r="AF325" s="146">
        <f>SUMIF(AH316:AH321,AE325,AF316:AF321)</f>
        <v>0</v>
      </c>
      <c r="AG325" s="141">
        <f>SUMIF(AH316:AH321,AE325,AG316:AG321)</f>
        <v>2</v>
      </c>
      <c r="AK325" s="141" t="s">
        <v>35</v>
      </c>
      <c r="AL325" s="146">
        <f>SUMIF(AN316:AN321,AK325,AL316:AL321)</f>
        <v>2</v>
      </c>
      <c r="AM325" s="141">
        <f>SUMIF(AN316:AN321,AK325,AM316:AM321)</f>
        <v>0</v>
      </c>
      <c r="AQ325" s="141" t="s">
        <v>35</v>
      </c>
      <c r="AR325" s="146">
        <f>SUMIF(AT316:AT321,AQ325,AR316:AR321)</f>
        <v>1</v>
      </c>
      <c r="AS325" s="141">
        <f>SUMIF(AT316:AT321,AQ325,AS316:AS321)</f>
        <v>1</v>
      </c>
      <c r="AW325" s="141" t="s">
        <v>35</v>
      </c>
      <c r="AX325" s="146">
        <f>SUMIF(AZ316:AZ321,AW325,AX316:AX321)</f>
        <v>1</v>
      </c>
      <c r="AY325" s="141">
        <f>SUMIF(AZ316:AZ321,AW325,AY316:AY321)</f>
        <v>1</v>
      </c>
    </row>
    <row r="326" spans="1:52" x14ac:dyDescent="0.3">
      <c r="A326" s="159"/>
      <c r="B326" s="162"/>
      <c r="C326" s="124"/>
      <c r="D326" s="124"/>
      <c r="E326" s="162"/>
      <c r="F326" s="124"/>
      <c r="G326" s="159"/>
      <c r="H326" s="162"/>
      <c r="I326" s="124"/>
      <c r="J326" s="124"/>
      <c r="K326" s="162"/>
    </row>
    <row r="327" spans="1:52" x14ac:dyDescent="0.3">
      <c r="A327" s="124"/>
      <c r="B327" s="124"/>
      <c r="C327" s="240"/>
      <c r="D327" s="240"/>
      <c r="E327" s="124"/>
      <c r="F327" s="124"/>
      <c r="G327" s="124"/>
      <c r="H327" s="124"/>
      <c r="I327" s="240"/>
      <c r="J327" s="240"/>
      <c r="K327" s="124"/>
    </row>
    <row r="328" spans="1:52" x14ac:dyDescent="0.3">
      <c r="A328" s="124"/>
      <c r="B328" s="124"/>
      <c r="C328" s="240"/>
      <c r="D328" s="240"/>
      <c r="E328" s="124"/>
      <c r="F328" s="124"/>
      <c r="G328" s="124"/>
      <c r="H328" s="124"/>
      <c r="I328" s="240"/>
      <c r="J328" s="240"/>
      <c r="K328" s="124"/>
      <c r="M328" s="219" t="s">
        <v>270</v>
      </c>
      <c r="N328" s="219"/>
      <c r="O328" s="165" t="s">
        <v>55</v>
      </c>
      <c r="P328" s="123">
        <f>-(0)-(O324/O322)*LOG((O324/O322),2)-(0)</f>
        <v>0</v>
      </c>
      <c r="Q328" s="165" t="s">
        <v>43</v>
      </c>
      <c r="R328" s="123">
        <f>-(0)-(P324/P322)*LOG((P324/P322),2)-(P325/P322)*LOG((P325/P322),2)</f>
        <v>0.94566030460064021</v>
      </c>
      <c r="S328" s="145"/>
      <c r="T328" s="123"/>
      <c r="U328" s="119"/>
      <c r="V328" s="232" t="s">
        <v>261</v>
      </c>
      <c r="W328" s="233"/>
      <c r="X328" s="234"/>
      <c r="Y328" s="151">
        <f>-(0)-((4/6)*LOG((4/6),2))-((2/6)*LOG((2/6),2))</f>
        <v>0.91829583405448956</v>
      </c>
    </row>
    <row r="329" spans="1:52" x14ac:dyDescent="0.3">
      <c r="A329" s="124"/>
      <c r="B329" s="124"/>
      <c r="C329" s="240"/>
      <c r="D329" s="240"/>
      <c r="E329" s="124"/>
      <c r="F329" s="124"/>
      <c r="G329" s="161" t="s">
        <v>283</v>
      </c>
      <c r="H329" s="153">
        <v>0.7</v>
      </c>
      <c r="I329" s="119"/>
      <c r="J329" s="119"/>
      <c r="K329" s="124"/>
      <c r="M329" s="219" t="s">
        <v>272</v>
      </c>
      <c r="N329" s="219"/>
      <c r="O329" s="165" t="s">
        <v>44</v>
      </c>
      <c r="P329" s="123">
        <f>-(0)-(U324/U322)*LOG((U324/U322),2)-(U325/U322)*LOG((U325/U322),2)</f>
        <v>0.99800088387229957</v>
      </c>
      <c r="Q329" s="165" t="s">
        <v>258</v>
      </c>
      <c r="R329" s="123">
        <f>-(0)-(V324/V322)*LOG((V324/V322),2)-(V325/V322)*LOG((V325/V322),2)</f>
        <v>0.80146989313352857</v>
      </c>
      <c r="S329" s="165"/>
      <c r="T329" s="123"/>
      <c r="U329" s="119"/>
      <c r="V329" s="229" t="s">
        <v>65</v>
      </c>
      <c r="W329" s="230"/>
      <c r="X329" s="231"/>
      <c r="Y329" s="151">
        <f>(Y328)-((O322/13)*P328)-((P322/13)*R328)</f>
        <v>0.51820878210806487</v>
      </c>
    </row>
    <row r="330" spans="1:52" x14ac:dyDescent="0.3">
      <c r="A330" s="124"/>
      <c r="B330" s="124"/>
      <c r="C330" s="124"/>
      <c r="D330" s="124"/>
      <c r="E330" s="124"/>
      <c r="F330" s="124"/>
      <c r="G330" s="128" t="s">
        <v>290</v>
      </c>
      <c r="H330" s="119"/>
      <c r="I330" s="119"/>
      <c r="J330" s="128" t="s">
        <v>282</v>
      </c>
      <c r="K330" s="124"/>
      <c r="M330" s="219" t="s">
        <v>273</v>
      </c>
      <c r="N330" s="219"/>
      <c r="O330" s="165" t="s">
        <v>44</v>
      </c>
      <c r="P330" s="123">
        <f>-(0)-(Z324/Z322)*LOG((Z324/Z322),2)-(Z325/Z322)*LOG((Z325/Z322),2)</f>
        <v>0.18005390110391897</v>
      </c>
      <c r="Q330" s="165" t="s">
        <v>47</v>
      </c>
      <c r="R330" s="123">
        <f>-(0)-(AA324/AA322)*LOG((AA324/AA322),2)-(AA325/AA322)*LOG((AA325/AA322),2)</f>
        <v>0.78764416149291061</v>
      </c>
      <c r="S330" s="165"/>
      <c r="T330" s="123"/>
      <c r="U330" s="119"/>
      <c r="V330" s="229" t="s">
        <v>263</v>
      </c>
      <c r="W330" s="230"/>
      <c r="X330" s="231"/>
      <c r="Y330" s="151">
        <f>(Y328)-((U322/13)*P329)-((V322/13)*R329)</f>
        <v>0.51966289242334829</v>
      </c>
    </row>
    <row r="331" spans="1:52" x14ac:dyDescent="0.3">
      <c r="G331" s="90" t="s">
        <v>130</v>
      </c>
      <c r="H331" s="90" t="s">
        <v>36</v>
      </c>
      <c r="I331" s="90">
        <v>0</v>
      </c>
      <c r="J331" s="90">
        <f>((I331)/(D345))*(100)</f>
        <v>0</v>
      </c>
      <c r="M331" s="219" t="s">
        <v>274</v>
      </c>
      <c r="N331" s="219"/>
      <c r="O331" s="165" t="s">
        <v>25</v>
      </c>
      <c r="P331" s="123">
        <f>-(0)-(AF324/AF322)*LOG((AF324/AF322),2)-(0)</f>
        <v>0</v>
      </c>
      <c r="Q331" s="165" t="s">
        <v>34</v>
      </c>
      <c r="R331" s="123">
        <f>-(0)-(AG324/AG322)*LOG((AG324/AG322),2)-(AG325/AG322)*LOG((AG325/AG322),2)</f>
        <v>0.97095059445466858</v>
      </c>
      <c r="S331" s="165"/>
      <c r="T331" s="123"/>
      <c r="U331" s="119"/>
      <c r="V331" s="229" t="s">
        <v>67</v>
      </c>
      <c r="W331" s="230"/>
      <c r="X331" s="231"/>
      <c r="Y331" s="151">
        <f>(Y328)-((Z322/13)*P330)-((AA322/13)*R330)</f>
        <v>0.59194439916068697</v>
      </c>
    </row>
    <row r="332" spans="1:52" x14ac:dyDescent="0.3">
      <c r="G332" s="119"/>
      <c r="H332" s="119" t="s">
        <v>30</v>
      </c>
      <c r="I332" s="90">
        <v>1</v>
      </c>
      <c r="J332" s="90">
        <f>((I332)/(D345))*(100)</f>
        <v>33.333333333333329</v>
      </c>
      <c r="M332" s="219" t="s">
        <v>275</v>
      </c>
      <c r="N332" s="219"/>
      <c r="O332" s="165" t="s">
        <v>26</v>
      </c>
      <c r="P332" s="123">
        <f>-(0)-(AL324/AL322)*LOG((AL324/AL322),2)-(AL325/AL322)*LOG((AL325/AL322),2)</f>
        <v>0.91829583405448956</v>
      </c>
      <c r="Q332" s="165" t="s">
        <v>39</v>
      </c>
      <c r="R332" s="123">
        <f>-(0)-(AM324/AM322)*LOG((AM324/AM322),2)-(0)</f>
        <v>0</v>
      </c>
      <c r="S332" s="165"/>
      <c r="T332" s="123"/>
      <c r="U332" s="119"/>
      <c r="V332" s="229" t="s">
        <v>264</v>
      </c>
      <c r="W332" s="230"/>
      <c r="X332" s="231"/>
      <c r="Y332" s="151">
        <f>(Y328)-((AF322/13)*P331)-((AG322/13)*R331)</f>
        <v>0.54485329772577085</v>
      </c>
    </row>
    <row r="333" spans="1:52" x14ac:dyDescent="0.3">
      <c r="G333" s="119"/>
      <c r="H333" s="119" t="s">
        <v>35</v>
      </c>
      <c r="I333" s="90">
        <v>2</v>
      </c>
      <c r="J333" s="90">
        <f>((I333)/(D345))*(100)</f>
        <v>66.666666666666657</v>
      </c>
      <c r="M333" s="219" t="s">
        <v>276</v>
      </c>
      <c r="N333" s="219"/>
      <c r="O333" s="149" t="s">
        <v>27</v>
      </c>
      <c r="P333" s="123">
        <f>-(0)-(AR324/AR322)*LOG((AR324/AR322),2)-(AR325/AR322)*LOG((AR325/AR322),2)</f>
        <v>1</v>
      </c>
      <c r="Q333" s="149" t="s">
        <v>32</v>
      </c>
      <c r="R333" s="123">
        <f>-(0)-(AS324/AS322)*LOG((AS324/AS322),2)-(AS325/AS322)*LOG((AS325/AS322),2)</f>
        <v>0.81127812445913283</v>
      </c>
      <c r="S333" s="165"/>
      <c r="T333" s="123"/>
      <c r="U333" s="119"/>
      <c r="V333" s="235" t="s">
        <v>265</v>
      </c>
      <c r="W333" s="236"/>
      <c r="X333" s="237"/>
      <c r="Y333" s="152">
        <f>(Y328)-((AL322/13)*P332)-((AM322/13)*R332)</f>
        <v>0.7063814108111458</v>
      </c>
    </row>
    <row r="334" spans="1:52" x14ac:dyDescent="0.3">
      <c r="G334" s="128" t="s">
        <v>291</v>
      </c>
      <c r="H334" s="119"/>
      <c r="I334" s="119"/>
      <c r="J334" s="128" t="s">
        <v>282</v>
      </c>
      <c r="M334" s="219" t="s">
        <v>277</v>
      </c>
      <c r="N334" s="219"/>
      <c r="O334" s="149" t="s">
        <v>28</v>
      </c>
      <c r="P334" s="123">
        <f>-(0)-(AX324/AX322)*LOG((AX324/AX322),2)-(AX325/AX322)*LOG((AX325/AX322),2)</f>
        <v>0.91829583405448956</v>
      </c>
      <c r="Q334" s="149" t="s">
        <v>33</v>
      </c>
      <c r="R334" s="123">
        <f>-(0)-(AY324/AY322)*LOG((AY324/AY322),2)-(AY325/AY322)*LOG((AY325/AY322),2)</f>
        <v>0.91829583405448956</v>
      </c>
      <c r="S334" s="165"/>
      <c r="T334" s="123"/>
      <c r="U334" s="119"/>
      <c r="V334" s="229" t="s">
        <v>266</v>
      </c>
      <c r="W334" s="230"/>
      <c r="X334" s="231"/>
      <c r="Y334" s="228">
        <f>(Y328)-((AR322/13)*P333)-((AS322/13)*R333)</f>
        <v>0.51482564191321789</v>
      </c>
    </row>
    <row r="335" spans="1:52" x14ac:dyDescent="0.3">
      <c r="G335" s="119" t="s">
        <v>130</v>
      </c>
      <c r="H335" s="119" t="s">
        <v>36</v>
      </c>
      <c r="I335" s="119">
        <v>0</v>
      </c>
      <c r="J335" s="119">
        <f>((I335)/(J345))*(100)</f>
        <v>0</v>
      </c>
      <c r="V335" s="229" t="s">
        <v>267</v>
      </c>
      <c r="W335" s="230"/>
      <c r="X335" s="231"/>
      <c r="Y335" s="228">
        <f>(Y328)-((AX322/13)*P334)-((AY322/13)*R334)</f>
        <v>0.49446698756780205</v>
      </c>
    </row>
    <row r="336" spans="1:52" x14ac:dyDescent="0.3">
      <c r="G336" s="119"/>
      <c r="H336" s="30" t="s">
        <v>30</v>
      </c>
      <c r="I336" s="30">
        <v>3</v>
      </c>
      <c r="J336" s="30">
        <f>((I336)/(J345))*(100)</f>
        <v>100</v>
      </c>
    </row>
    <row r="337" spans="1:46" x14ac:dyDescent="0.3">
      <c r="G337" s="119"/>
      <c r="H337" s="119" t="s">
        <v>35</v>
      </c>
      <c r="I337" s="119">
        <v>0</v>
      </c>
      <c r="J337" s="119">
        <v>0</v>
      </c>
    </row>
    <row r="338" spans="1:46" x14ac:dyDescent="0.3">
      <c r="A338" s="238" t="s">
        <v>77</v>
      </c>
      <c r="B338" s="139" t="s">
        <v>48</v>
      </c>
      <c r="C338" s="139" t="s">
        <v>259</v>
      </c>
      <c r="D338" s="139" t="s">
        <v>26</v>
      </c>
      <c r="E338" s="139" t="s">
        <v>66</v>
      </c>
      <c r="G338" s="139" t="s">
        <v>77</v>
      </c>
      <c r="H338" s="139" t="s">
        <v>48</v>
      </c>
      <c r="I338" s="139" t="s">
        <v>259</v>
      </c>
      <c r="J338" s="139" t="s">
        <v>39</v>
      </c>
      <c r="K338" s="139" t="s">
        <v>66</v>
      </c>
      <c r="M338" s="139" t="s">
        <v>77</v>
      </c>
      <c r="N338" s="139" t="s">
        <v>4</v>
      </c>
      <c r="O338" s="139" t="s">
        <v>55</v>
      </c>
      <c r="P338" s="139" t="s">
        <v>43</v>
      </c>
      <c r="Q338" s="139" t="s">
        <v>66</v>
      </c>
      <c r="R338" s="119"/>
      <c r="S338" s="139" t="s">
        <v>77</v>
      </c>
      <c r="T338" s="139" t="s">
        <v>56</v>
      </c>
      <c r="U338" s="139" t="s">
        <v>44</v>
      </c>
      <c r="V338" s="139" t="s">
        <v>258</v>
      </c>
      <c r="W338" s="139" t="s">
        <v>66</v>
      </c>
      <c r="X338" s="119"/>
      <c r="Y338" s="139" t="s">
        <v>10</v>
      </c>
      <c r="Z338" s="139" t="s">
        <v>44</v>
      </c>
      <c r="AA338" s="139" t="s">
        <v>47</v>
      </c>
      <c r="AB338" s="139" t="s">
        <v>66</v>
      </c>
      <c r="AC338" s="119"/>
      <c r="AD338" s="139" t="s">
        <v>11</v>
      </c>
      <c r="AE338" s="139" t="s">
        <v>259</v>
      </c>
      <c r="AF338" s="139" t="s">
        <v>25</v>
      </c>
      <c r="AG338" s="139" t="s">
        <v>34</v>
      </c>
      <c r="AH338" s="139" t="s">
        <v>66</v>
      </c>
      <c r="AJ338" s="242" t="s">
        <v>13</v>
      </c>
      <c r="AK338" s="139" t="s">
        <v>259</v>
      </c>
      <c r="AL338" s="166" t="s">
        <v>27</v>
      </c>
      <c r="AM338" s="166" t="s">
        <v>32</v>
      </c>
      <c r="AN338" s="139" t="s">
        <v>66</v>
      </c>
      <c r="AO338" s="119"/>
      <c r="AP338" s="139" t="s">
        <v>52</v>
      </c>
      <c r="AQ338" s="142" t="s">
        <v>259</v>
      </c>
      <c r="AR338" s="166" t="s">
        <v>28</v>
      </c>
      <c r="AS338" s="166" t="s">
        <v>33</v>
      </c>
      <c r="AT338" s="139" t="s">
        <v>66</v>
      </c>
    </row>
    <row r="339" spans="1:46" x14ac:dyDescent="0.3">
      <c r="A339" s="160">
        <v>20</v>
      </c>
      <c r="B339" s="158" t="s">
        <v>39</v>
      </c>
      <c r="C339" s="121">
        <v>1</v>
      </c>
      <c r="D339" s="121">
        <v>1</v>
      </c>
      <c r="E339" s="158" t="s">
        <v>35</v>
      </c>
      <c r="G339" s="160">
        <v>4</v>
      </c>
      <c r="H339" s="158" t="s">
        <v>26</v>
      </c>
      <c r="I339" s="121">
        <v>0</v>
      </c>
      <c r="J339" s="121">
        <v>1</v>
      </c>
      <c r="K339" s="158" t="s">
        <v>30</v>
      </c>
      <c r="M339" s="160">
        <v>4</v>
      </c>
      <c r="N339" s="158">
        <v>51</v>
      </c>
      <c r="O339" s="121">
        <v>0</v>
      </c>
      <c r="P339" s="121">
        <v>1</v>
      </c>
      <c r="Q339" s="158" t="s">
        <v>30</v>
      </c>
      <c r="R339" s="119"/>
      <c r="S339" s="160">
        <v>4</v>
      </c>
      <c r="T339" s="158">
        <v>98</v>
      </c>
      <c r="U339" s="121">
        <v>0.2</v>
      </c>
      <c r="V339" s="121">
        <v>0.8</v>
      </c>
      <c r="W339" s="158" t="s">
        <v>30</v>
      </c>
      <c r="X339" s="119"/>
      <c r="Y339" s="4">
        <v>28.356290174471997</v>
      </c>
      <c r="Z339" s="121">
        <v>0</v>
      </c>
      <c r="AA339" s="121">
        <v>1</v>
      </c>
      <c r="AB339" s="158" t="s">
        <v>30</v>
      </c>
      <c r="AC339" s="119"/>
      <c r="AD339" s="120" t="s">
        <v>25</v>
      </c>
      <c r="AE339" s="121">
        <v>1</v>
      </c>
      <c r="AF339" s="121">
        <v>1</v>
      </c>
      <c r="AG339" s="121">
        <v>0</v>
      </c>
      <c r="AH339" s="158" t="s">
        <v>30</v>
      </c>
      <c r="AJ339" s="74" t="s">
        <v>27</v>
      </c>
      <c r="AK339" s="121">
        <v>0</v>
      </c>
      <c r="AL339" s="121">
        <v>0</v>
      </c>
      <c r="AM339" s="121">
        <v>1</v>
      </c>
      <c r="AN339" s="158" t="s">
        <v>30</v>
      </c>
      <c r="AO339" s="119"/>
      <c r="AP339" s="158" t="s">
        <v>33</v>
      </c>
      <c r="AQ339" s="121">
        <v>1</v>
      </c>
      <c r="AR339" s="121">
        <v>1</v>
      </c>
      <c r="AS339" s="121">
        <v>0</v>
      </c>
      <c r="AT339" s="158" t="s">
        <v>30</v>
      </c>
    </row>
    <row r="340" spans="1:46" x14ac:dyDescent="0.3">
      <c r="A340" s="160">
        <v>42</v>
      </c>
      <c r="B340" s="158" t="s">
        <v>39</v>
      </c>
      <c r="C340" s="121">
        <v>1</v>
      </c>
      <c r="D340" s="121">
        <v>1</v>
      </c>
      <c r="E340" s="158" t="s">
        <v>30</v>
      </c>
      <c r="G340" s="160">
        <v>10</v>
      </c>
      <c r="H340" s="158" t="s">
        <v>26</v>
      </c>
      <c r="I340" s="121">
        <v>0</v>
      </c>
      <c r="J340" s="121">
        <v>1</v>
      </c>
      <c r="K340" s="158" t="s">
        <v>30</v>
      </c>
      <c r="M340" s="160">
        <v>10</v>
      </c>
      <c r="N340" s="158">
        <v>57</v>
      </c>
      <c r="O340" s="121">
        <v>0</v>
      </c>
      <c r="P340" s="121">
        <v>1</v>
      </c>
      <c r="Q340" s="158" t="s">
        <v>30</v>
      </c>
      <c r="R340" s="119"/>
      <c r="S340" s="160">
        <v>10</v>
      </c>
      <c r="T340" s="158">
        <v>105</v>
      </c>
      <c r="U340" s="121">
        <v>0</v>
      </c>
      <c r="V340" s="121">
        <v>1</v>
      </c>
      <c r="W340" s="158" t="s">
        <v>30</v>
      </c>
      <c r="X340" s="119"/>
      <c r="Y340" s="4">
        <v>26.805411030176899</v>
      </c>
      <c r="Z340" s="121">
        <v>2.1620996647011264E-2</v>
      </c>
      <c r="AA340" s="121">
        <v>0.97837900335298877</v>
      </c>
      <c r="AB340" s="158" t="s">
        <v>30</v>
      </c>
      <c r="AC340" s="119"/>
      <c r="AD340" s="120" t="s">
        <v>31</v>
      </c>
      <c r="AE340" s="121">
        <v>0</v>
      </c>
      <c r="AF340" s="121">
        <v>0</v>
      </c>
      <c r="AG340" s="121">
        <v>1</v>
      </c>
      <c r="AH340" s="158" t="s">
        <v>30</v>
      </c>
      <c r="AJ340" s="74" t="s">
        <v>27</v>
      </c>
      <c r="AK340" s="121">
        <v>0</v>
      </c>
      <c r="AL340" s="121">
        <v>0</v>
      </c>
      <c r="AM340" s="121">
        <v>1</v>
      </c>
      <c r="AN340" s="158" t="s">
        <v>30</v>
      </c>
      <c r="AO340" s="119"/>
      <c r="AP340" s="158" t="s">
        <v>33</v>
      </c>
      <c r="AQ340" s="121">
        <v>1</v>
      </c>
      <c r="AR340" s="121">
        <v>1</v>
      </c>
      <c r="AS340" s="121">
        <v>0</v>
      </c>
      <c r="AT340" s="158" t="s">
        <v>30</v>
      </c>
    </row>
    <row r="341" spans="1:46" x14ac:dyDescent="0.3">
      <c r="A341" s="160">
        <v>52</v>
      </c>
      <c r="B341" s="158" t="s">
        <v>39</v>
      </c>
      <c r="C341" s="121">
        <v>1</v>
      </c>
      <c r="D341" s="121">
        <v>1</v>
      </c>
      <c r="E341" s="158" t="s">
        <v>35</v>
      </c>
      <c r="G341" s="160">
        <v>21</v>
      </c>
      <c r="H341" s="158" t="s">
        <v>26</v>
      </c>
      <c r="I341" s="121">
        <v>0</v>
      </c>
      <c r="J341" s="121">
        <v>1</v>
      </c>
      <c r="K341" s="158" t="s">
        <v>30</v>
      </c>
      <c r="M341" s="160">
        <v>21</v>
      </c>
      <c r="N341" s="158">
        <v>52</v>
      </c>
      <c r="O341" s="121">
        <v>0</v>
      </c>
      <c r="P341" s="121">
        <v>1</v>
      </c>
      <c r="Q341" s="158" t="s">
        <v>30</v>
      </c>
      <c r="R341" s="119"/>
      <c r="S341" s="160">
        <v>21</v>
      </c>
      <c r="T341" s="158">
        <v>93</v>
      </c>
      <c r="U341" s="121">
        <v>0.7</v>
      </c>
      <c r="V341" s="121">
        <v>0.3</v>
      </c>
      <c r="W341" s="158" t="s">
        <v>30</v>
      </c>
      <c r="X341" s="119"/>
      <c r="Y341" s="4">
        <v>33.246135552913202</v>
      </c>
      <c r="Z341" s="121">
        <v>0</v>
      </c>
      <c r="AA341" s="121">
        <v>1</v>
      </c>
      <c r="AB341" s="158" t="s">
        <v>30</v>
      </c>
      <c r="AC341" s="119"/>
      <c r="AD341" s="120" t="s">
        <v>31</v>
      </c>
      <c r="AE341" s="121">
        <v>0</v>
      </c>
      <c r="AF341" s="121">
        <v>0</v>
      </c>
      <c r="AG341" s="121">
        <v>1</v>
      </c>
      <c r="AH341" s="158" t="s">
        <v>30</v>
      </c>
      <c r="AJ341" s="74" t="s">
        <v>32</v>
      </c>
      <c r="AK341" s="121">
        <v>1</v>
      </c>
      <c r="AL341" s="121">
        <v>1</v>
      </c>
      <c r="AM341" s="121">
        <v>0</v>
      </c>
      <c r="AN341" s="158" t="s">
        <v>30</v>
      </c>
      <c r="AO341" s="119"/>
      <c r="AP341" s="158" t="s">
        <v>28</v>
      </c>
      <c r="AQ341" s="121">
        <v>0</v>
      </c>
      <c r="AR341" s="121">
        <v>0</v>
      </c>
      <c r="AS341" s="121">
        <v>1</v>
      </c>
      <c r="AT341" s="158" t="s">
        <v>30</v>
      </c>
    </row>
    <row r="342" spans="1:46" x14ac:dyDescent="0.3">
      <c r="C342" s="142" t="s">
        <v>36</v>
      </c>
      <c r="D342" s="142">
        <f>COUNTIF(E339:E341, "Rendah")</f>
        <v>0</v>
      </c>
      <c r="I342" s="142" t="s">
        <v>36</v>
      </c>
      <c r="J342" s="142">
        <f>COUNTIF(M336:M341, "Rendah")</f>
        <v>0</v>
      </c>
      <c r="N342" s="121" t="s">
        <v>64</v>
      </c>
      <c r="O342" s="121">
        <f>SUM(O339:O341)</f>
        <v>0</v>
      </c>
      <c r="P342" s="121">
        <f>SUM(P339:P341)</f>
        <v>3</v>
      </c>
      <c r="T342" s="121" t="s">
        <v>64</v>
      </c>
      <c r="U342" s="121">
        <f>SUM(U339:U341)</f>
        <v>0.89999999999999991</v>
      </c>
      <c r="V342" s="121">
        <f>SUM(V339:V341)</f>
        <v>2.1</v>
      </c>
      <c r="Y342" s="121" t="s">
        <v>64</v>
      </c>
      <c r="Z342" s="121">
        <f>SUM(Z339:Z341)</f>
        <v>2.1620996647011264E-2</v>
      </c>
      <c r="AA342" s="121">
        <f>SUM(AA339:AA341)</f>
        <v>2.9783790033529889</v>
      </c>
      <c r="AE342" s="121" t="s">
        <v>64</v>
      </c>
      <c r="AF342" s="121">
        <f>SUM(AF339:AF341)</f>
        <v>1</v>
      </c>
      <c r="AG342" s="121">
        <f>SUM(AG339:AG341)</f>
        <v>2</v>
      </c>
      <c r="AK342" s="121" t="s">
        <v>64</v>
      </c>
      <c r="AL342" s="121">
        <f>SUM(AL339:AL341)</f>
        <v>1</v>
      </c>
      <c r="AM342" s="121">
        <f>SUM(AM339:AM341)</f>
        <v>2</v>
      </c>
      <c r="AQ342" s="121" t="s">
        <v>64</v>
      </c>
      <c r="AR342" s="121">
        <f>SUM(AR339:AR341)</f>
        <v>2</v>
      </c>
      <c r="AS342" s="121">
        <f>SUM(AS339:AS341)</f>
        <v>1</v>
      </c>
    </row>
    <row r="343" spans="1:46" x14ac:dyDescent="0.3">
      <c r="C343" s="142" t="s">
        <v>30</v>
      </c>
      <c r="D343" s="142">
        <f>COUNTIF(E339:E341, "Sedang")</f>
        <v>1</v>
      </c>
      <c r="I343" s="142" t="s">
        <v>30</v>
      </c>
      <c r="J343" s="142">
        <f>COUNTIF(K339:K341, "Sedang")</f>
        <v>3</v>
      </c>
      <c r="N343" s="141" t="s">
        <v>36</v>
      </c>
      <c r="O343" s="146">
        <f>SUMIF(Q339:Q341,N343,O339:O341)</f>
        <v>0</v>
      </c>
      <c r="P343" s="141">
        <f>SUMIF(Q339:Q341,N343,P339:P341)</f>
        <v>0</v>
      </c>
      <c r="T343" s="141" t="s">
        <v>36</v>
      </c>
      <c r="U343" s="146">
        <f>SUMIF(W339:W341,T343,U339:U341)</f>
        <v>0</v>
      </c>
      <c r="V343" s="141">
        <f>SUMIF(W339:W341,T343,V339:V341)</f>
        <v>0</v>
      </c>
      <c r="Y343" s="141" t="s">
        <v>36</v>
      </c>
      <c r="Z343" s="146">
        <f>SUMIF(AB339:AB341,Y343,Z339:Z341)</f>
        <v>0</v>
      </c>
      <c r="AA343" s="141">
        <f>SUMIF(AB339:AB341,Y343,AA339:AA341)</f>
        <v>0</v>
      </c>
      <c r="AE343" s="141" t="s">
        <v>36</v>
      </c>
      <c r="AF343" s="146">
        <f>SUMIF(AH339:AH341,AE343,AF339:AF341)</f>
        <v>0</v>
      </c>
      <c r="AG343" s="141">
        <f>SUMIF(AH339:AH341,AE343,AG339:AG341)</f>
        <v>0</v>
      </c>
      <c r="AK343" s="141" t="s">
        <v>36</v>
      </c>
      <c r="AL343" s="146">
        <f>SUMIF(AN339:AN341,AK343,AL339:AL341)</f>
        <v>0</v>
      </c>
      <c r="AM343" s="141">
        <f>SUMIF(AN339:AN341,AK343,AM339:AM341)</f>
        <v>0</v>
      </c>
      <c r="AQ343" s="141" t="s">
        <v>36</v>
      </c>
      <c r="AR343" s="146">
        <f>SUMIF(AT339:AT341,AQ343,AR339:AR341)</f>
        <v>0</v>
      </c>
      <c r="AS343" s="141">
        <f>SUMIF(AT339:AT341,AQ343,AS339:AS341)</f>
        <v>0</v>
      </c>
    </row>
    <row r="344" spans="1:46" x14ac:dyDescent="0.3">
      <c r="C344" s="142" t="s">
        <v>35</v>
      </c>
      <c r="D344" s="142">
        <f>COUNTIF(E339:E341, "Tinggi")</f>
        <v>2</v>
      </c>
      <c r="I344" s="142" t="s">
        <v>35</v>
      </c>
      <c r="J344" s="142">
        <f>COUNTIF(M336:M341, "Tinggi")</f>
        <v>0</v>
      </c>
      <c r="N344" s="141" t="s">
        <v>30</v>
      </c>
      <c r="O344" s="146">
        <f>SUMIF(Q339:Q341,N344,O339:O341)</f>
        <v>0</v>
      </c>
      <c r="P344" s="141">
        <f>SUMIF(Q339:Q341,N344,P339:P341)</f>
        <v>3</v>
      </c>
      <c r="T344" s="141" t="s">
        <v>30</v>
      </c>
      <c r="U344" s="146">
        <f>SUMIF(W339:W341,T344,U339:U341)</f>
        <v>0.89999999999999991</v>
      </c>
      <c r="V344" s="141">
        <f>SUMIF(W339:W341,T344,V339:V341)</f>
        <v>2.1</v>
      </c>
      <c r="Y344" s="141" t="s">
        <v>30</v>
      </c>
      <c r="Z344" s="146">
        <f>SUMIF(AB339:AB341,Y344,Z339:Z341)</f>
        <v>2.1620996647011264E-2</v>
      </c>
      <c r="AA344" s="141">
        <f>SUMIF(AB339:AB341,Y344,AA339:AA341)</f>
        <v>2.9783790033529889</v>
      </c>
      <c r="AE344" s="141" t="s">
        <v>30</v>
      </c>
      <c r="AF344" s="146">
        <f>SUMIF(AH339:AH341,AE344,AF339:AF341)</f>
        <v>1</v>
      </c>
      <c r="AG344" s="141">
        <f>SUMIF(AH339:AH341,AE344,AG339:AG341)</f>
        <v>2</v>
      </c>
      <c r="AK344" s="141" t="s">
        <v>30</v>
      </c>
      <c r="AL344" s="146">
        <f>SUMIF(AN339:AN341,AK344,AL339:AL341)</f>
        <v>1</v>
      </c>
      <c r="AM344" s="141">
        <f>SUMIF(AN339:AN341,AK344,AM339:AM341)</f>
        <v>2</v>
      </c>
      <c r="AQ344" s="141" t="s">
        <v>30</v>
      </c>
      <c r="AR344" s="146">
        <f>SUMIF(AT339:AT341,AQ344,AR339:AR341)</f>
        <v>2</v>
      </c>
      <c r="AS344" s="141">
        <f>SUMIF(AT339:AT341,AQ344,AS339:AS341)</f>
        <v>1</v>
      </c>
    </row>
    <row r="345" spans="1:46" x14ac:dyDescent="0.3">
      <c r="C345" s="119"/>
      <c r="D345" s="119">
        <v>3</v>
      </c>
      <c r="I345" s="119"/>
      <c r="J345" s="119">
        <v>3</v>
      </c>
      <c r="N345" s="141" t="s">
        <v>35</v>
      </c>
      <c r="O345" s="146">
        <f>SUMIF(Q339:Q341,N345,O339:O341)</f>
        <v>0</v>
      </c>
      <c r="P345" s="141">
        <f>SUMIF(Q339:Q341,N345,P339:P341)</f>
        <v>0</v>
      </c>
      <c r="T345" s="141" t="s">
        <v>35</v>
      </c>
      <c r="U345" s="146">
        <f>SUMIF(W339:W341,T345,U339:U341)</f>
        <v>0</v>
      </c>
      <c r="V345" s="141">
        <f>SUMIF(W339:W341,T345,V339:V341)</f>
        <v>0</v>
      </c>
      <c r="Y345" s="141" t="s">
        <v>35</v>
      </c>
      <c r="Z345" s="146">
        <f>SUMIF(AB339:AB341,Y345,Z339:Z341)</f>
        <v>0</v>
      </c>
      <c r="AA345" s="141">
        <f>SUMIF(AB339:AB341,Y345,AA339:AA341)</f>
        <v>0</v>
      </c>
      <c r="AE345" s="141" t="s">
        <v>35</v>
      </c>
      <c r="AF345" s="146">
        <f>SUMIF(AH339:AH341,AE345,AF339:AF341)</f>
        <v>0</v>
      </c>
      <c r="AG345" s="141">
        <f>SUMIF(AH339:AH341,AE345,AG339:AG341)</f>
        <v>0</v>
      </c>
      <c r="AK345" s="141" t="s">
        <v>35</v>
      </c>
      <c r="AL345" s="146">
        <f>SUMIF(AN339:AN341,AK345,AL339:AL341)</f>
        <v>0</v>
      </c>
      <c r="AM345" s="141">
        <f>SUMIF(AN339:AN341,AK345,AM339:AM341)</f>
        <v>0</v>
      </c>
      <c r="AQ345" s="141" t="s">
        <v>35</v>
      </c>
      <c r="AR345" s="146">
        <f>SUMIF(AT339:AT341,AQ345,AR339:AR341)</f>
        <v>0</v>
      </c>
      <c r="AS345" s="141">
        <f>SUMIF(AT339:AT341,AQ345,AS339:AS341)</f>
        <v>0</v>
      </c>
    </row>
    <row r="348" spans="1:46" x14ac:dyDescent="0.3">
      <c r="M348" s="219" t="s">
        <v>270</v>
      </c>
      <c r="N348" s="219"/>
      <c r="O348" s="165" t="s">
        <v>55</v>
      </c>
      <c r="P348" s="123">
        <f>-(0)-(0)-(0)</f>
        <v>0</v>
      </c>
      <c r="Q348" s="165" t="s">
        <v>43</v>
      </c>
      <c r="R348" s="123">
        <f>-(0)-(P344/P342)*LOG((P344/P342),2)-(0)</f>
        <v>0</v>
      </c>
      <c r="S348" s="145"/>
      <c r="T348" s="123"/>
      <c r="V348" s="232" t="s">
        <v>261</v>
      </c>
      <c r="W348" s="233"/>
      <c r="X348" s="234"/>
      <c r="Y348" s="151">
        <f>-(0)-((1/3)*LOG((1/3),2))-((2/3)*LOG((2/3),2))</f>
        <v>0.91829583405448956</v>
      </c>
    </row>
    <row r="349" spans="1:46" x14ac:dyDescent="0.3">
      <c r="M349" s="219" t="s">
        <v>272</v>
      </c>
      <c r="N349" s="219"/>
      <c r="O349" s="165" t="s">
        <v>44</v>
      </c>
      <c r="P349" s="123">
        <f>-(0)-(U344/U342)*LOG((U344/U342),2)-(0)</f>
        <v>0</v>
      </c>
      <c r="Q349" s="165" t="s">
        <v>258</v>
      </c>
      <c r="R349" s="123">
        <f>-(0)-(V344/V342)*LOG((V344/V342),2)-(0)</f>
        <v>0</v>
      </c>
      <c r="S349" s="165"/>
      <c r="T349" s="123"/>
      <c r="V349" s="229" t="s">
        <v>65</v>
      </c>
      <c r="W349" s="230"/>
      <c r="X349" s="231"/>
      <c r="Y349" s="228">
        <f>(Y348)-((O342/3)*P348)-((P342/3)*R348)</f>
        <v>0.91829583405448956</v>
      </c>
    </row>
    <row r="350" spans="1:46" x14ac:dyDescent="0.3">
      <c r="M350" s="219" t="s">
        <v>273</v>
      </c>
      <c r="N350" s="219"/>
      <c r="O350" s="165" t="s">
        <v>44</v>
      </c>
      <c r="P350" s="123">
        <f>-(0)-(Z344/Z342)*LOG((Z344/Z342),2)-(0)</f>
        <v>0</v>
      </c>
      <c r="Q350" s="165" t="s">
        <v>47</v>
      </c>
      <c r="R350" s="123">
        <f>-(0)-(AA344/AA342)*LOG((AA344/AA342),2)-(0)</f>
        <v>0</v>
      </c>
      <c r="S350" s="165"/>
      <c r="T350" s="123"/>
      <c r="V350" s="229" t="s">
        <v>263</v>
      </c>
      <c r="W350" s="230"/>
      <c r="X350" s="231"/>
      <c r="Y350" s="151">
        <f>(Y348)-((U342/3)*P349)-((V342/3)*R349)</f>
        <v>0.91829583405448956</v>
      </c>
    </row>
    <row r="351" spans="1:46" x14ac:dyDescent="0.3">
      <c r="M351" s="219" t="s">
        <v>274</v>
      </c>
      <c r="N351" s="219"/>
      <c r="O351" s="165" t="s">
        <v>25</v>
      </c>
      <c r="P351" s="123">
        <f>-(0)-(AF344/AF342)*LOG((AF344/AF342),2)-(0)</f>
        <v>0</v>
      </c>
      <c r="Q351" s="165" t="s">
        <v>34</v>
      </c>
      <c r="R351" s="123">
        <f>-(0)-(AG344/AG342)*LOG((AG344/AG342),2)-(0)</f>
        <v>0</v>
      </c>
      <c r="S351" s="165"/>
      <c r="T351" s="123"/>
      <c r="V351" s="229" t="s">
        <v>67</v>
      </c>
      <c r="W351" s="230"/>
      <c r="X351" s="231"/>
      <c r="Y351" s="151">
        <f>(Y348)-((Z342/3)*P350)-((AA342/3)*R350)</f>
        <v>0.91829583405448956</v>
      </c>
    </row>
    <row r="352" spans="1:46" x14ac:dyDescent="0.3">
      <c r="M352" s="219" t="s">
        <v>276</v>
      </c>
      <c r="N352" s="219"/>
      <c r="O352" s="149" t="s">
        <v>27</v>
      </c>
      <c r="P352" s="123">
        <f>-(0)-(AL344/AL342)*LOG((AL344/AL342),2)-(0)</f>
        <v>0</v>
      </c>
      <c r="Q352" s="149" t="s">
        <v>32</v>
      </c>
      <c r="R352" s="123">
        <f>-(0)-(AM344/AM342)*LOG((AM344/AM342),2)-(0)</f>
        <v>0</v>
      </c>
      <c r="S352" s="165"/>
      <c r="T352" s="123"/>
      <c r="V352" s="229" t="s">
        <v>264</v>
      </c>
      <c r="W352" s="230"/>
      <c r="X352" s="231"/>
      <c r="Y352" s="151">
        <f>(Y348)-((AF342/3)*P351)-((AG342/3)*R351)</f>
        <v>0.91829583405448956</v>
      </c>
    </row>
    <row r="353" spans="1:25" x14ac:dyDescent="0.3">
      <c r="M353" s="219" t="s">
        <v>277</v>
      </c>
      <c r="N353" s="219"/>
      <c r="O353" s="149" t="s">
        <v>28</v>
      </c>
      <c r="P353" s="123">
        <f>-(0)-(AR344/AR342)*LOG((AR344/AR342),2)-(0)</f>
        <v>0</v>
      </c>
      <c r="Q353" s="149" t="s">
        <v>33</v>
      </c>
      <c r="R353" s="123">
        <f>-(0)-(AS344/AS342)*LOG((AS344/AS342),2)-(0)</f>
        <v>0</v>
      </c>
      <c r="S353" s="165"/>
      <c r="T353" s="123"/>
      <c r="V353" s="229" t="s">
        <v>266</v>
      </c>
      <c r="W353" s="230"/>
      <c r="X353" s="231"/>
      <c r="Y353" s="228">
        <f>(Y348)-((AL342/3)*P352)-((AM342/3)*R352)</f>
        <v>0.91829583405448956</v>
      </c>
    </row>
    <row r="354" spans="1:25" x14ac:dyDescent="0.3">
      <c r="V354" s="235" t="s">
        <v>267</v>
      </c>
      <c r="W354" s="236"/>
      <c r="X354" s="237"/>
      <c r="Y354" s="152">
        <f>(Y348)-((AR342/3)*P353)-((AS342/3)*R353)</f>
        <v>0.91829583405448956</v>
      </c>
    </row>
    <row r="362" spans="1:25" x14ac:dyDescent="0.3">
      <c r="A362" s="139" t="s">
        <v>77</v>
      </c>
      <c r="B362" s="139" t="s">
        <v>52</v>
      </c>
      <c r="C362" s="142" t="s">
        <v>259</v>
      </c>
      <c r="D362" s="166" t="s">
        <v>28</v>
      </c>
      <c r="E362" s="139" t="s">
        <v>66</v>
      </c>
      <c r="G362" s="139" t="s">
        <v>77</v>
      </c>
      <c r="H362" s="139" t="s">
        <v>52</v>
      </c>
      <c r="I362" s="142" t="s">
        <v>259</v>
      </c>
      <c r="J362" s="166" t="s">
        <v>33</v>
      </c>
      <c r="K362" s="139" t="s">
        <v>66</v>
      </c>
    </row>
    <row r="363" spans="1:25" x14ac:dyDescent="0.3">
      <c r="A363" s="160">
        <v>4</v>
      </c>
      <c r="B363" s="158" t="s">
        <v>33</v>
      </c>
      <c r="C363" s="121">
        <v>1</v>
      </c>
      <c r="D363" s="121">
        <v>1</v>
      </c>
      <c r="E363" s="158" t="s">
        <v>30</v>
      </c>
      <c r="G363" s="160">
        <v>21</v>
      </c>
      <c r="H363" s="158" t="s">
        <v>28</v>
      </c>
      <c r="I363" s="121">
        <v>0</v>
      </c>
      <c r="J363" s="121">
        <v>1</v>
      </c>
      <c r="K363" s="158" t="s">
        <v>30</v>
      </c>
    </row>
    <row r="364" spans="1:25" x14ac:dyDescent="0.3">
      <c r="A364" s="163">
        <v>10</v>
      </c>
      <c r="B364" s="158" t="s">
        <v>33</v>
      </c>
      <c r="C364" s="121">
        <v>1</v>
      </c>
      <c r="D364" s="121">
        <v>1</v>
      </c>
      <c r="E364" s="158" t="s">
        <v>30</v>
      </c>
      <c r="I364" s="142" t="s">
        <v>36</v>
      </c>
      <c r="J364" s="142">
        <f>COUNTIF(K361:K363, "Rendah")</f>
        <v>0</v>
      </c>
    </row>
    <row r="365" spans="1:25" x14ac:dyDescent="0.3">
      <c r="A365" s="164"/>
      <c r="C365" s="142" t="s">
        <v>36</v>
      </c>
      <c r="D365" s="142">
        <f>COUNTIF(E362:E364, "Rendah")</f>
        <v>0</v>
      </c>
      <c r="I365" s="142" t="s">
        <v>30</v>
      </c>
      <c r="J365" s="142">
        <f>COUNTIF(K361:K363, "Sedang")</f>
        <v>1</v>
      </c>
    </row>
    <row r="366" spans="1:25" x14ac:dyDescent="0.3">
      <c r="C366" s="142" t="s">
        <v>30</v>
      </c>
      <c r="D366" s="142">
        <f>COUNTIF(E362:E364, "Sedang")</f>
        <v>2</v>
      </c>
      <c r="I366" s="142" t="s">
        <v>35</v>
      </c>
      <c r="J366" s="142">
        <f>COUNTIF(K361:K363, "Tinggi")</f>
        <v>0</v>
      </c>
    </row>
    <row r="367" spans="1:25" x14ac:dyDescent="0.3">
      <c r="C367" s="142" t="s">
        <v>35</v>
      </c>
      <c r="D367" s="142">
        <f>COUNTIF(E362:E364, "Tinggi")</f>
        <v>0</v>
      </c>
      <c r="J367">
        <v>1</v>
      </c>
    </row>
    <row r="368" spans="1:25" x14ac:dyDescent="0.3">
      <c r="D368">
        <v>2</v>
      </c>
      <c r="F368" s="161" t="s">
        <v>283</v>
      </c>
      <c r="G368" s="153">
        <v>0.7</v>
      </c>
      <c r="H368" s="119"/>
      <c r="I368" s="119"/>
    </row>
    <row r="369" spans="6:9" x14ac:dyDescent="0.3">
      <c r="F369" s="128" t="s">
        <v>290</v>
      </c>
      <c r="G369" s="119"/>
      <c r="H369" s="119"/>
      <c r="I369" s="128" t="s">
        <v>282</v>
      </c>
    </row>
    <row r="370" spans="6:9" x14ac:dyDescent="0.3">
      <c r="F370" s="90" t="s">
        <v>130</v>
      </c>
      <c r="G370" s="90" t="s">
        <v>36</v>
      </c>
      <c r="H370" s="90">
        <v>0</v>
      </c>
      <c r="I370" s="90">
        <f>((H370)/(D368))*(100)</f>
        <v>0</v>
      </c>
    </row>
    <row r="371" spans="6:9" x14ac:dyDescent="0.3">
      <c r="F371" s="119"/>
      <c r="G371" s="30" t="s">
        <v>30</v>
      </c>
      <c r="H371" s="30">
        <v>2</v>
      </c>
      <c r="I371" s="30">
        <f>((H371)/(D368))*(100)</f>
        <v>100</v>
      </c>
    </row>
    <row r="372" spans="6:9" x14ac:dyDescent="0.3">
      <c r="F372" s="119"/>
      <c r="G372" s="119" t="s">
        <v>35</v>
      </c>
      <c r="H372" s="90">
        <v>0</v>
      </c>
      <c r="I372" s="90">
        <f>((H372)/(D368))*(100)</f>
        <v>0</v>
      </c>
    </row>
    <row r="373" spans="6:9" x14ac:dyDescent="0.3">
      <c r="F373" s="128" t="s">
        <v>291</v>
      </c>
      <c r="G373" s="119"/>
      <c r="H373" s="119"/>
      <c r="I373" s="128" t="s">
        <v>282</v>
      </c>
    </row>
    <row r="374" spans="6:9" x14ac:dyDescent="0.3">
      <c r="F374" s="119" t="s">
        <v>130</v>
      </c>
      <c r="G374" s="119" t="s">
        <v>36</v>
      </c>
      <c r="H374" s="119">
        <v>0</v>
      </c>
      <c r="I374" s="119">
        <f>((H374)/(J367))*(100)</f>
        <v>0</v>
      </c>
    </row>
    <row r="375" spans="6:9" x14ac:dyDescent="0.3">
      <c r="F375" s="119"/>
      <c r="G375" s="30" t="s">
        <v>30</v>
      </c>
      <c r="H375" s="30">
        <v>1</v>
      </c>
      <c r="I375" s="30">
        <f>((H375)/(J367))*(100)</f>
        <v>100</v>
      </c>
    </row>
    <row r="376" spans="6:9" x14ac:dyDescent="0.3">
      <c r="F376" s="119"/>
      <c r="G376" s="119" t="s">
        <v>35</v>
      </c>
      <c r="H376" s="119">
        <v>0</v>
      </c>
      <c r="I376" s="119">
        <v>0</v>
      </c>
    </row>
    <row r="391" spans="6:59" x14ac:dyDescent="0.3">
      <c r="F391" s="139" t="s">
        <v>77</v>
      </c>
      <c r="G391" s="139" t="s">
        <v>260</v>
      </c>
      <c r="H391" s="158" t="s">
        <v>29</v>
      </c>
      <c r="I391" s="139" t="s">
        <v>66</v>
      </c>
      <c r="M391" s="139" t="s">
        <v>77</v>
      </c>
      <c r="N391" s="139" t="s">
        <v>4</v>
      </c>
      <c r="O391" s="139" t="s">
        <v>55</v>
      </c>
      <c r="P391" s="139" t="s">
        <v>43</v>
      </c>
      <c r="Q391" s="139" t="s">
        <v>66</v>
      </c>
      <c r="S391" s="139" t="s">
        <v>77</v>
      </c>
      <c r="T391" s="139" t="s">
        <v>56</v>
      </c>
      <c r="U391" s="139" t="s">
        <v>44</v>
      </c>
      <c r="V391" s="139" t="s">
        <v>258</v>
      </c>
      <c r="W391" s="139" t="s">
        <v>66</v>
      </c>
      <c r="Y391" s="139" t="s">
        <v>10</v>
      </c>
      <c r="Z391" s="139" t="s">
        <v>44</v>
      </c>
      <c r="AA391" s="139" t="s">
        <v>47</v>
      </c>
      <c r="AB391" s="139" t="s">
        <v>66</v>
      </c>
      <c r="AD391" s="139" t="s">
        <v>11</v>
      </c>
      <c r="AE391" s="139" t="s">
        <v>259</v>
      </c>
      <c r="AF391" s="139" t="s">
        <v>25</v>
      </c>
      <c r="AG391" s="139" t="s">
        <v>34</v>
      </c>
      <c r="AH391" s="139" t="s">
        <v>66</v>
      </c>
      <c r="AJ391" s="139" t="s">
        <v>48</v>
      </c>
      <c r="AK391" s="139" t="s">
        <v>259</v>
      </c>
      <c r="AL391" s="139" t="s">
        <v>26</v>
      </c>
      <c r="AM391" s="139" t="s">
        <v>39</v>
      </c>
      <c r="AN391" s="139" t="s">
        <v>66</v>
      </c>
      <c r="AP391" s="139" t="s">
        <v>13</v>
      </c>
      <c r="AQ391" s="139" t="s">
        <v>259</v>
      </c>
      <c r="AR391" s="166" t="s">
        <v>27</v>
      </c>
      <c r="AS391" s="166" t="s">
        <v>32</v>
      </c>
      <c r="AT391" s="139" t="s">
        <v>66</v>
      </c>
      <c r="AV391" s="139" t="s">
        <v>52</v>
      </c>
      <c r="AW391" s="142" t="s">
        <v>259</v>
      </c>
      <c r="AX391" s="166" t="s">
        <v>28</v>
      </c>
      <c r="AY391" s="166" t="s">
        <v>33</v>
      </c>
      <c r="AZ391" s="139" t="s">
        <v>66</v>
      </c>
      <c r="BB391" s="139" t="s">
        <v>77</v>
      </c>
      <c r="BC391" s="139" t="s">
        <v>15</v>
      </c>
      <c r="BD391" s="139" t="s">
        <v>259</v>
      </c>
      <c r="BE391" s="139" t="s">
        <v>25</v>
      </c>
      <c r="BF391" s="139" t="s">
        <v>34</v>
      </c>
      <c r="BG391" s="139" t="s">
        <v>66</v>
      </c>
    </row>
    <row r="392" spans="6:59" x14ac:dyDescent="0.3">
      <c r="F392" s="160">
        <v>1</v>
      </c>
      <c r="G392" s="158" t="s">
        <v>29</v>
      </c>
      <c r="H392" s="121">
        <v>1</v>
      </c>
      <c r="I392" s="158" t="s">
        <v>30</v>
      </c>
      <c r="M392" s="160">
        <v>1</v>
      </c>
      <c r="N392" s="158">
        <v>52</v>
      </c>
      <c r="O392" s="121">
        <v>0</v>
      </c>
      <c r="P392" s="121">
        <v>1</v>
      </c>
      <c r="Q392" s="158" t="s">
        <v>30</v>
      </c>
      <c r="S392" s="160">
        <v>1</v>
      </c>
      <c r="T392" s="158">
        <v>78</v>
      </c>
      <c r="U392" s="121">
        <v>1</v>
      </c>
      <c r="V392" s="121">
        <v>0</v>
      </c>
      <c r="W392" s="158" t="s">
        <v>30</v>
      </c>
      <c r="Y392" s="4">
        <v>23.598931085099178</v>
      </c>
      <c r="Z392" s="121">
        <v>0.37789654610009138</v>
      </c>
      <c r="AA392" s="121">
        <v>0.62210345389990862</v>
      </c>
      <c r="AB392" s="158" t="s">
        <v>30</v>
      </c>
      <c r="AD392" s="120" t="s">
        <v>25</v>
      </c>
      <c r="AE392" s="121">
        <v>1</v>
      </c>
      <c r="AF392" s="121">
        <v>1</v>
      </c>
      <c r="AG392" s="121">
        <v>0</v>
      </c>
      <c r="AH392" s="158" t="s">
        <v>30</v>
      </c>
      <c r="AJ392" s="158" t="s">
        <v>26</v>
      </c>
      <c r="AK392" s="121">
        <v>0</v>
      </c>
      <c r="AL392" s="121">
        <v>0</v>
      </c>
      <c r="AM392" s="121">
        <v>1</v>
      </c>
      <c r="AN392" s="158" t="s">
        <v>30</v>
      </c>
      <c r="AP392" s="158" t="s">
        <v>27</v>
      </c>
      <c r="AQ392" s="121">
        <v>0</v>
      </c>
      <c r="AR392" s="121">
        <v>0</v>
      </c>
      <c r="AS392" s="121">
        <v>1</v>
      </c>
      <c r="AT392" s="158" t="s">
        <v>30</v>
      </c>
      <c r="AV392" s="158" t="s">
        <v>28</v>
      </c>
      <c r="AW392" s="121">
        <v>0</v>
      </c>
      <c r="AX392" s="121">
        <v>0</v>
      </c>
      <c r="AY392" s="121">
        <v>1</v>
      </c>
      <c r="AZ392" s="158" t="s">
        <v>30</v>
      </c>
      <c r="BB392" s="160">
        <v>1</v>
      </c>
      <c r="BC392" s="158" t="s">
        <v>25</v>
      </c>
      <c r="BD392" s="121">
        <v>1</v>
      </c>
      <c r="BE392" s="121">
        <v>1</v>
      </c>
      <c r="BF392" s="121">
        <v>0</v>
      </c>
      <c r="BG392" s="158" t="s">
        <v>30</v>
      </c>
    </row>
    <row r="393" spans="6:59" x14ac:dyDescent="0.3">
      <c r="F393" s="160">
        <v>7</v>
      </c>
      <c r="G393" s="158" t="s">
        <v>29</v>
      </c>
      <c r="H393" s="121">
        <v>1</v>
      </c>
      <c r="I393" s="158" t="s">
        <v>35</v>
      </c>
      <c r="K393" s="139" t="s">
        <v>77</v>
      </c>
      <c r="L393" s="139" t="s">
        <v>77</v>
      </c>
      <c r="M393" s="160">
        <v>7</v>
      </c>
      <c r="N393" s="158">
        <v>55</v>
      </c>
      <c r="O393" s="121">
        <v>0</v>
      </c>
      <c r="P393" s="121">
        <v>1</v>
      </c>
      <c r="Q393" s="158" t="s">
        <v>35</v>
      </c>
      <c r="S393" s="160">
        <v>7</v>
      </c>
      <c r="T393" s="158">
        <v>97</v>
      </c>
      <c r="U393" s="121">
        <v>0.3</v>
      </c>
      <c r="V393" s="121">
        <v>0.7</v>
      </c>
      <c r="W393" s="158" t="s">
        <v>35</v>
      </c>
      <c r="Y393" s="4">
        <v>27.695595003287313</v>
      </c>
      <c r="Z393" s="121">
        <v>0</v>
      </c>
      <c r="AA393" s="121">
        <v>1</v>
      </c>
      <c r="AB393" s="158" t="s">
        <v>35</v>
      </c>
      <c r="AD393" s="120" t="s">
        <v>31</v>
      </c>
      <c r="AE393" s="121">
        <v>0</v>
      </c>
      <c r="AF393" s="121">
        <v>0</v>
      </c>
      <c r="AG393" s="121">
        <v>1</v>
      </c>
      <c r="AH393" s="158" t="s">
        <v>35</v>
      </c>
      <c r="AJ393" s="158" t="s">
        <v>26</v>
      </c>
      <c r="AK393" s="121">
        <v>0</v>
      </c>
      <c r="AL393" s="121">
        <v>0</v>
      </c>
      <c r="AM393" s="121">
        <v>1</v>
      </c>
      <c r="AN393" s="158" t="s">
        <v>35</v>
      </c>
      <c r="AP393" s="158" t="s">
        <v>27</v>
      </c>
      <c r="AQ393" s="121">
        <v>0</v>
      </c>
      <c r="AR393" s="121">
        <v>0</v>
      </c>
      <c r="AS393" s="121">
        <v>1</v>
      </c>
      <c r="AT393" s="158" t="s">
        <v>35</v>
      </c>
      <c r="AV393" s="158" t="s">
        <v>28</v>
      </c>
      <c r="AW393" s="121">
        <v>0</v>
      </c>
      <c r="AX393" s="121">
        <v>0</v>
      </c>
      <c r="AY393" s="121">
        <v>1</v>
      </c>
      <c r="AZ393" s="158" t="s">
        <v>35</v>
      </c>
      <c r="BB393" s="160">
        <v>7</v>
      </c>
      <c r="BC393" s="158" t="s">
        <v>25</v>
      </c>
      <c r="BD393" s="121">
        <v>1</v>
      </c>
      <c r="BE393" s="121">
        <v>1</v>
      </c>
      <c r="BF393" s="121">
        <v>0</v>
      </c>
      <c r="BG393" s="158" t="s">
        <v>35</v>
      </c>
    </row>
    <row r="394" spans="6:59" x14ac:dyDescent="0.3">
      <c r="F394" s="160">
        <v>13</v>
      </c>
      <c r="G394" s="158" t="s">
        <v>29</v>
      </c>
      <c r="H394" s="121">
        <v>1</v>
      </c>
      <c r="I394" s="158" t="s">
        <v>30</v>
      </c>
      <c r="K394" s="160">
        <v>17</v>
      </c>
      <c r="L394" s="160">
        <v>17</v>
      </c>
      <c r="M394" s="160">
        <v>13</v>
      </c>
      <c r="N394" s="158">
        <v>52</v>
      </c>
      <c r="O394" s="121">
        <v>0</v>
      </c>
      <c r="P394" s="121">
        <v>1</v>
      </c>
      <c r="Q394" s="158" t="s">
        <v>30</v>
      </c>
      <c r="S394" s="160">
        <v>13</v>
      </c>
      <c r="T394" s="158">
        <v>85</v>
      </c>
      <c r="U394" s="121">
        <v>1</v>
      </c>
      <c r="V394" s="121">
        <v>0</v>
      </c>
      <c r="W394" s="158" t="s">
        <v>30</v>
      </c>
      <c r="Y394" s="4">
        <v>27.028166638556247</v>
      </c>
      <c r="Z394" s="121">
        <v>0</v>
      </c>
      <c r="AA394" s="121">
        <v>1</v>
      </c>
      <c r="AB394" s="158" t="s">
        <v>30</v>
      </c>
      <c r="AD394" s="120" t="s">
        <v>25</v>
      </c>
      <c r="AE394" s="121">
        <v>1</v>
      </c>
      <c r="AF394" s="121">
        <v>1</v>
      </c>
      <c r="AG394" s="121">
        <v>0</v>
      </c>
      <c r="AH394" s="158" t="s">
        <v>30</v>
      </c>
      <c r="AJ394" s="158" t="s">
        <v>26</v>
      </c>
      <c r="AK394" s="121">
        <v>0</v>
      </c>
      <c r="AL394" s="121">
        <v>0</v>
      </c>
      <c r="AM394" s="121">
        <v>1</v>
      </c>
      <c r="AN394" s="158" t="s">
        <v>30</v>
      </c>
      <c r="AP394" s="158" t="s">
        <v>32</v>
      </c>
      <c r="AQ394" s="121">
        <v>1</v>
      </c>
      <c r="AR394" s="121">
        <v>1</v>
      </c>
      <c r="AS394" s="121">
        <v>0</v>
      </c>
      <c r="AT394" s="158" t="s">
        <v>30</v>
      </c>
      <c r="AV394" s="158" t="s">
        <v>33</v>
      </c>
      <c r="AW394" s="121">
        <v>1</v>
      </c>
      <c r="AX394" s="121">
        <v>1</v>
      </c>
      <c r="AY394" s="121">
        <v>0</v>
      </c>
      <c r="AZ394" s="158" t="s">
        <v>30</v>
      </c>
      <c r="BB394" s="160">
        <v>13</v>
      </c>
      <c r="BC394" s="158" t="s">
        <v>25</v>
      </c>
      <c r="BD394" s="121">
        <v>1</v>
      </c>
      <c r="BE394" s="121">
        <v>1</v>
      </c>
      <c r="BF394" s="121">
        <v>0</v>
      </c>
      <c r="BG394" s="158" t="s">
        <v>30</v>
      </c>
    </row>
    <row r="395" spans="6:59" x14ac:dyDescent="0.3">
      <c r="F395" s="160">
        <v>17</v>
      </c>
      <c r="G395" s="158" t="s">
        <v>29</v>
      </c>
      <c r="H395" s="121">
        <v>1</v>
      </c>
      <c r="I395" s="158" t="s">
        <v>30</v>
      </c>
      <c r="K395" s="160">
        <v>27</v>
      </c>
      <c r="L395" s="160">
        <v>27</v>
      </c>
      <c r="M395" s="160">
        <v>17</v>
      </c>
      <c r="N395" s="158">
        <v>69</v>
      </c>
      <c r="O395" s="121">
        <v>0</v>
      </c>
      <c r="P395" s="121">
        <v>1</v>
      </c>
      <c r="Q395" s="158" t="s">
        <v>30</v>
      </c>
      <c r="S395" s="160">
        <v>17</v>
      </c>
      <c r="T395" s="158">
        <v>81</v>
      </c>
      <c r="U395" s="121">
        <v>1</v>
      </c>
      <c r="V395" s="121">
        <v>0</v>
      </c>
      <c r="W395" s="158" t="s">
        <v>30</v>
      </c>
      <c r="Y395" s="4">
        <v>19.421700090977414</v>
      </c>
      <c r="Z395" s="121">
        <v>0.84203332322473179</v>
      </c>
      <c r="AA395" s="121">
        <v>0.15796667677526818</v>
      </c>
      <c r="AB395" s="158" t="s">
        <v>30</v>
      </c>
      <c r="AD395" s="120" t="s">
        <v>31</v>
      </c>
      <c r="AE395" s="121">
        <v>0</v>
      </c>
      <c r="AF395" s="121">
        <v>0</v>
      </c>
      <c r="AG395" s="121">
        <v>1</v>
      </c>
      <c r="AH395" s="158" t="s">
        <v>30</v>
      </c>
      <c r="AJ395" s="158" t="s">
        <v>39</v>
      </c>
      <c r="AK395" s="121">
        <v>1</v>
      </c>
      <c r="AL395" s="121">
        <v>1</v>
      </c>
      <c r="AM395" s="121">
        <v>0</v>
      </c>
      <c r="AN395" s="158" t="s">
        <v>30</v>
      </c>
      <c r="AP395" s="158" t="s">
        <v>32</v>
      </c>
      <c r="AQ395" s="121">
        <v>1</v>
      </c>
      <c r="AR395" s="121">
        <v>1</v>
      </c>
      <c r="AS395" s="121">
        <v>0</v>
      </c>
      <c r="AT395" s="158" t="s">
        <v>30</v>
      </c>
      <c r="AV395" s="158" t="s">
        <v>28</v>
      </c>
      <c r="AW395" s="121">
        <v>0</v>
      </c>
      <c r="AX395" s="121">
        <v>0</v>
      </c>
      <c r="AY395" s="121">
        <v>1</v>
      </c>
      <c r="AZ395" s="158" t="s">
        <v>30</v>
      </c>
      <c r="BB395" s="160">
        <v>17</v>
      </c>
      <c r="BC395" s="158" t="s">
        <v>31</v>
      </c>
      <c r="BD395" s="121">
        <v>0</v>
      </c>
      <c r="BE395" s="121">
        <v>0</v>
      </c>
      <c r="BF395" s="121">
        <v>1</v>
      </c>
      <c r="BG395" s="158" t="s">
        <v>30</v>
      </c>
    </row>
    <row r="396" spans="6:59" x14ac:dyDescent="0.3">
      <c r="F396" s="160">
        <v>27</v>
      </c>
      <c r="G396" s="158" t="s">
        <v>29</v>
      </c>
      <c r="H396" s="121">
        <v>1</v>
      </c>
      <c r="I396" s="158" t="s">
        <v>35</v>
      </c>
      <c r="K396" s="160">
        <v>38</v>
      </c>
      <c r="L396" s="160">
        <v>38</v>
      </c>
      <c r="M396" s="160">
        <v>27</v>
      </c>
      <c r="N396" s="158">
        <v>50</v>
      </c>
      <c r="O396" s="121">
        <v>0</v>
      </c>
      <c r="P396" s="121">
        <v>1</v>
      </c>
      <c r="Q396" s="158" t="s">
        <v>35</v>
      </c>
      <c r="S396" s="160">
        <v>27</v>
      </c>
      <c r="T396" s="158">
        <v>97</v>
      </c>
      <c r="U396" s="121">
        <v>0.3</v>
      </c>
      <c r="V396" s="121">
        <v>0.7</v>
      </c>
      <c r="W396" s="158" t="s">
        <v>35</v>
      </c>
      <c r="Y396" s="4">
        <v>28</v>
      </c>
      <c r="Z396" s="121">
        <v>0</v>
      </c>
      <c r="AA396" s="121">
        <v>1</v>
      </c>
      <c r="AB396" s="158" t="s">
        <v>35</v>
      </c>
      <c r="AD396" s="120" t="s">
        <v>31</v>
      </c>
      <c r="AE396" s="121">
        <v>0</v>
      </c>
      <c r="AF396" s="121">
        <v>0</v>
      </c>
      <c r="AG396" s="121">
        <v>1</v>
      </c>
      <c r="AH396" s="158" t="s">
        <v>35</v>
      </c>
      <c r="AJ396" s="158" t="s">
        <v>26</v>
      </c>
      <c r="AK396" s="121">
        <v>0</v>
      </c>
      <c r="AL396" s="121">
        <v>0</v>
      </c>
      <c r="AM396" s="121">
        <v>1</v>
      </c>
      <c r="AN396" s="158" t="s">
        <v>35</v>
      </c>
      <c r="AP396" s="158" t="s">
        <v>32</v>
      </c>
      <c r="AQ396" s="121">
        <v>1</v>
      </c>
      <c r="AR396" s="121">
        <v>1</v>
      </c>
      <c r="AS396" s="121">
        <v>0</v>
      </c>
      <c r="AT396" s="158" t="s">
        <v>35</v>
      </c>
      <c r="AV396" s="158" t="s">
        <v>33</v>
      </c>
      <c r="AW396" s="121">
        <v>1</v>
      </c>
      <c r="AX396" s="121">
        <v>1</v>
      </c>
      <c r="AY396" s="121">
        <v>0</v>
      </c>
      <c r="AZ396" s="158" t="s">
        <v>35</v>
      </c>
      <c r="BB396" s="160">
        <v>27</v>
      </c>
      <c r="BC396" s="158" t="s">
        <v>31</v>
      </c>
      <c r="BD396" s="121">
        <v>0</v>
      </c>
      <c r="BE396" s="121">
        <v>0</v>
      </c>
      <c r="BF396" s="121">
        <v>1</v>
      </c>
      <c r="BG396" s="158" t="s">
        <v>35</v>
      </c>
    </row>
    <row r="397" spans="6:59" x14ac:dyDescent="0.3">
      <c r="F397" s="160">
        <v>31</v>
      </c>
      <c r="G397" s="158" t="s">
        <v>29</v>
      </c>
      <c r="H397" s="121">
        <v>1</v>
      </c>
      <c r="I397" s="158" t="s">
        <v>35</v>
      </c>
      <c r="K397" s="160">
        <v>40</v>
      </c>
      <c r="L397" s="160">
        <v>40</v>
      </c>
      <c r="M397" s="160">
        <v>31</v>
      </c>
      <c r="N397" s="158">
        <v>85</v>
      </c>
      <c r="O397" s="121">
        <v>0</v>
      </c>
      <c r="P397" s="121">
        <v>1</v>
      </c>
      <c r="Q397" s="158" t="s">
        <v>35</v>
      </c>
      <c r="S397" s="160">
        <v>31</v>
      </c>
      <c r="T397" s="158">
        <v>68</v>
      </c>
      <c r="U397" s="121">
        <v>1</v>
      </c>
      <c r="V397" s="121">
        <v>0</v>
      </c>
      <c r="W397" s="158" t="s">
        <v>35</v>
      </c>
      <c r="Y397" s="4">
        <v>24.582560296846012</v>
      </c>
      <c r="Z397" s="121">
        <v>0.26860441146155423</v>
      </c>
      <c r="AA397" s="121">
        <v>0.73139558853844577</v>
      </c>
      <c r="AB397" s="158" t="s">
        <v>35</v>
      </c>
      <c r="AD397" s="120" t="s">
        <v>31</v>
      </c>
      <c r="AE397" s="121">
        <v>0</v>
      </c>
      <c r="AF397" s="121">
        <v>0</v>
      </c>
      <c r="AG397" s="121">
        <v>1</v>
      </c>
      <c r="AH397" s="158" t="s">
        <v>35</v>
      </c>
      <c r="AJ397" s="158" t="s">
        <v>39</v>
      </c>
      <c r="AK397" s="121">
        <v>1</v>
      </c>
      <c r="AL397" s="121">
        <v>1</v>
      </c>
      <c r="AM397" s="121">
        <v>0</v>
      </c>
      <c r="AN397" s="158" t="s">
        <v>35</v>
      </c>
      <c r="AP397" s="158" t="s">
        <v>27</v>
      </c>
      <c r="AQ397" s="121">
        <v>0</v>
      </c>
      <c r="AR397" s="121">
        <v>0</v>
      </c>
      <c r="AS397" s="121">
        <v>1</v>
      </c>
      <c r="AT397" s="158" t="s">
        <v>35</v>
      </c>
      <c r="AV397" s="158" t="s">
        <v>28</v>
      </c>
      <c r="AW397" s="121">
        <v>0</v>
      </c>
      <c r="AX397" s="121">
        <v>0</v>
      </c>
      <c r="AY397" s="121">
        <v>1</v>
      </c>
      <c r="AZ397" s="158" t="s">
        <v>35</v>
      </c>
      <c r="BB397" s="160">
        <v>31</v>
      </c>
      <c r="BC397" s="158" t="s">
        <v>25</v>
      </c>
      <c r="BD397" s="121">
        <v>1</v>
      </c>
      <c r="BE397" s="121">
        <v>1</v>
      </c>
      <c r="BF397" s="121">
        <v>0</v>
      </c>
      <c r="BG397" s="158" t="s">
        <v>35</v>
      </c>
    </row>
    <row r="398" spans="6:59" x14ac:dyDescent="0.3">
      <c r="F398" s="160">
        <v>35</v>
      </c>
      <c r="G398" s="158" t="s">
        <v>29</v>
      </c>
      <c r="H398" s="121">
        <v>1</v>
      </c>
      <c r="I398" s="158" t="s">
        <v>30</v>
      </c>
      <c r="K398" s="160">
        <v>54</v>
      </c>
      <c r="L398" s="160">
        <v>54</v>
      </c>
      <c r="M398" s="160">
        <v>35</v>
      </c>
      <c r="N398" s="158">
        <v>70</v>
      </c>
      <c r="O398" s="121">
        <v>0</v>
      </c>
      <c r="P398" s="121">
        <v>1</v>
      </c>
      <c r="Q398" s="158" t="s">
        <v>30</v>
      </c>
      <c r="S398" s="160">
        <v>35</v>
      </c>
      <c r="T398" s="158">
        <v>78</v>
      </c>
      <c r="U398" s="121">
        <v>1</v>
      </c>
      <c r="V398" s="121">
        <v>0</v>
      </c>
      <c r="W398" s="158" t="s">
        <v>30</v>
      </c>
      <c r="Y398" s="4">
        <v>20.730013886133701</v>
      </c>
      <c r="Z398" s="121">
        <v>0.69666512376292211</v>
      </c>
      <c r="AA398" s="121">
        <v>0.30333487623707789</v>
      </c>
      <c r="AB398" s="158" t="s">
        <v>30</v>
      </c>
      <c r="AD398" s="120" t="s">
        <v>31</v>
      </c>
      <c r="AE398" s="121">
        <v>0</v>
      </c>
      <c r="AF398" s="121">
        <v>0</v>
      </c>
      <c r="AG398" s="121">
        <v>1</v>
      </c>
      <c r="AH398" s="158" t="s">
        <v>30</v>
      </c>
      <c r="AJ398" s="158" t="s">
        <v>26</v>
      </c>
      <c r="AK398" s="121">
        <v>0</v>
      </c>
      <c r="AL398" s="121">
        <v>0</v>
      </c>
      <c r="AM398" s="121">
        <v>1</v>
      </c>
      <c r="AN398" s="158" t="s">
        <v>30</v>
      </c>
      <c r="AP398" s="158" t="s">
        <v>27</v>
      </c>
      <c r="AQ398" s="121">
        <v>0</v>
      </c>
      <c r="AR398" s="121">
        <v>0</v>
      </c>
      <c r="AS398" s="121">
        <v>1</v>
      </c>
      <c r="AT398" s="158" t="s">
        <v>30</v>
      </c>
      <c r="AV398" s="158" t="s">
        <v>33</v>
      </c>
      <c r="AW398" s="121">
        <v>1</v>
      </c>
      <c r="AX398" s="121">
        <v>1</v>
      </c>
      <c r="AY398" s="121">
        <v>0</v>
      </c>
      <c r="AZ398" s="158" t="s">
        <v>30</v>
      </c>
      <c r="BB398" s="160">
        <v>35</v>
      </c>
      <c r="BC398" s="158" t="s">
        <v>25</v>
      </c>
      <c r="BD398" s="121">
        <v>1</v>
      </c>
      <c r="BE398" s="121">
        <v>1</v>
      </c>
      <c r="BF398" s="121">
        <v>0</v>
      </c>
      <c r="BG398" s="158" t="s">
        <v>30</v>
      </c>
    </row>
    <row r="399" spans="6:59" x14ac:dyDescent="0.3">
      <c r="F399" s="160">
        <v>36</v>
      </c>
      <c r="G399" s="158" t="s">
        <v>29</v>
      </c>
      <c r="H399" s="121">
        <v>1</v>
      </c>
      <c r="I399" s="158" t="s">
        <v>36</v>
      </c>
      <c r="K399" s="160">
        <v>56</v>
      </c>
      <c r="L399" s="160">
        <v>56</v>
      </c>
      <c r="M399" s="160">
        <v>36</v>
      </c>
      <c r="N399" s="158">
        <v>32</v>
      </c>
      <c r="O399" s="121">
        <v>0.7</v>
      </c>
      <c r="P399" s="121">
        <v>0.3</v>
      </c>
      <c r="Q399" s="158" t="s">
        <v>36</v>
      </c>
      <c r="S399" s="160">
        <v>36</v>
      </c>
      <c r="T399" s="158">
        <v>88</v>
      </c>
      <c r="U399" s="121">
        <v>1</v>
      </c>
      <c r="V399" s="121">
        <v>0</v>
      </c>
      <c r="W399" s="158" t="s">
        <v>36</v>
      </c>
      <c r="Y399" s="4">
        <v>26.360544217687082</v>
      </c>
      <c r="Z399" s="121">
        <v>7.1050642479213152E-2</v>
      </c>
      <c r="AA399" s="121">
        <v>0.92894935752078689</v>
      </c>
      <c r="AB399" s="158" t="s">
        <v>36</v>
      </c>
      <c r="AD399" s="158" t="s">
        <v>25</v>
      </c>
      <c r="AE399" s="121">
        <v>1</v>
      </c>
      <c r="AF399" s="121">
        <v>1</v>
      </c>
      <c r="AG399" s="121">
        <v>0</v>
      </c>
      <c r="AH399" s="158" t="s">
        <v>36</v>
      </c>
      <c r="AJ399" s="158" t="s">
        <v>26</v>
      </c>
      <c r="AK399" s="121">
        <v>0</v>
      </c>
      <c r="AL399" s="121">
        <v>0</v>
      </c>
      <c r="AM399" s="121">
        <v>1</v>
      </c>
      <c r="AN399" s="158" t="s">
        <v>36</v>
      </c>
      <c r="AP399" s="158" t="s">
        <v>27</v>
      </c>
      <c r="AQ399" s="121">
        <v>0</v>
      </c>
      <c r="AR399" s="121">
        <v>0</v>
      </c>
      <c r="AS399" s="121">
        <v>1</v>
      </c>
      <c r="AT399" s="158" t="s">
        <v>36</v>
      </c>
      <c r="AV399" s="158" t="s">
        <v>28</v>
      </c>
      <c r="AW399" s="121">
        <v>0</v>
      </c>
      <c r="AX399" s="121">
        <v>0</v>
      </c>
      <c r="AY399" s="121">
        <v>1</v>
      </c>
      <c r="AZ399" s="158" t="s">
        <v>36</v>
      </c>
      <c r="BB399" s="160">
        <v>36</v>
      </c>
      <c r="BC399" s="158" t="s">
        <v>25</v>
      </c>
      <c r="BD399" s="121">
        <v>1</v>
      </c>
      <c r="BE399" s="121">
        <v>1</v>
      </c>
      <c r="BF399" s="121">
        <v>0</v>
      </c>
      <c r="BG399" s="158" t="s">
        <v>36</v>
      </c>
    </row>
    <row r="400" spans="6:59" x14ac:dyDescent="0.3">
      <c r="F400" s="160">
        <v>38</v>
      </c>
      <c r="G400" s="158" t="s">
        <v>29</v>
      </c>
      <c r="H400" s="121">
        <v>1</v>
      </c>
      <c r="I400" s="158" t="s">
        <v>30</v>
      </c>
      <c r="M400" s="160">
        <v>38</v>
      </c>
      <c r="N400" s="158">
        <v>31</v>
      </c>
      <c r="O400" s="121">
        <v>0.75</v>
      </c>
      <c r="P400" s="121">
        <v>0.25</v>
      </c>
      <c r="Q400" s="158" t="s">
        <v>30</v>
      </c>
      <c r="S400" s="160">
        <v>38</v>
      </c>
      <c r="T400" s="158">
        <v>89</v>
      </c>
      <c r="U400" s="121">
        <v>1</v>
      </c>
      <c r="V400" s="121">
        <v>0</v>
      </c>
      <c r="W400" s="158" t="s">
        <v>30</v>
      </c>
      <c r="Y400" s="4">
        <v>31.301350186727948</v>
      </c>
      <c r="Z400" s="121">
        <v>0</v>
      </c>
      <c r="AA400" s="121">
        <v>1</v>
      </c>
      <c r="AB400" s="158" t="s">
        <v>30</v>
      </c>
      <c r="AD400" s="158" t="s">
        <v>31</v>
      </c>
      <c r="AE400" s="121">
        <v>0</v>
      </c>
      <c r="AF400" s="121">
        <v>0</v>
      </c>
      <c r="AG400" s="121">
        <v>1</v>
      </c>
      <c r="AH400" s="158" t="s">
        <v>30</v>
      </c>
      <c r="AJ400" s="158" t="s">
        <v>39</v>
      </c>
      <c r="AK400" s="121">
        <v>1</v>
      </c>
      <c r="AL400" s="121">
        <v>1</v>
      </c>
      <c r="AM400" s="121">
        <v>0</v>
      </c>
      <c r="AN400" s="158" t="s">
        <v>30</v>
      </c>
      <c r="AP400" s="158" t="s">
        <v>32</v>
      </c>
      <c r="AQ400" s="121">
        <v>1</v>
      </c>
      <c r="AR400" s="121">
        <v>1</v>
      </c>
      <c r="AS400" s="121">
        <v>0</v>
      </c>
      <c r="AT400" s="158" t="s">
        <v>30</v>
      </c>
      <c r="AV400" s="158" t="s">
        <v>28</v>
      </c>
      <c r="AW400" s="121">
        <v>0</v>
      </c>
      <c r="AX400" s="121">
        <v>0</v>
      </c>
      <c r="AY400" s="121">
        <v>1</v>
      </c>
      <c r="AZ400" s="158" t="s">
        <v>30</v>
      </c>
      <c r="BB400" s="160">
        <v>38</v>
      </c>
      <c r="BC400" s="158" t="s">
        <v>31</v>
      </c>
      <c r="BD400" s="121">
        <v>0</v>
      </c>
      <c r="BE400" s="121">
        <v>0</v>
      </c>
      <c r="BF400" s="121">
        <v>1</v>
      </c>
      <c r="BG400" s="158" t="s">
        <v>30</v>
      </c>
    </row>
    <row r="401" spans="6:59" x14ac:dyDescent="0.3">
      <c r="F401" s="160">
        <v>40</v>
      </c>
      <c r="G401" s="158" t="s">
        <v>29</v>
      </c>
      <c r="H401" s="121">
        <v>1</v>
      </c>
      <c r="I401" s="158" t="s">
        <v>30</v>
      </c>
      <c r="M401" s="160">
        <v>40</v>
      </c>
      <c r="N401" s="158">
        <v>41</v>
      </c>
      <c r="O401" s="121">
        <v>0.25</v>
      </c>
      <c r="P401" s="121">
        <v>0.75</v>
      </c>
      <c r="Q401" s="158" t="s">
        <v>30</v>
      </c>
      <c r="S401" s="160">
        <v>40</v>
      </c>
      <c r="T401" s="158">
        <v>97</v>
      </c>
      <c r="U401" s="121">
        <v>0.3</v>
      </c>
      <c r="V401" s="121">
        <v>0.7</v>
      </c>
      <c r="W401" s="158" t="s">
        <v>30</v>
      </c>
      <c r="Y401" s="4">
        <v>26.888888888888889</v>
      </c>
      <c r="Z401" s="121">
        <v>1.2345679012345635E-2</v>
      </c>
      <c r="AA401" s="121">
        <v>0.98765432098765438</v>
      </c>
      <c r="AB401" s="158" t="s">
        <v>30</v>
      </c>
      <c r="AD401" s="158" t="s">
        <v>31</v>
      </c>
      <c r="AE401" s="121">
        <v>0</v>
      </c>
      <c r="AF401" s="121">
        <v>0</v>
      </c>
      <c r="AG401" s="121">
        <v>1</v>
      </c>
      <c r="AH401" s="158" t="s">
        <v>30</v>
      </c>
      <c r="AJ401" s="158" t="s">
        <v>26</v>
      </c>
      <c r="AK401" s="121">
        <v>0</v>
      </c>
      <c r="AL401" s="121">
        <v>0</v>
      </c>
      <c r="AM401" s="121">
        <v>1</v>
      </c>
      <c r="AN401" s="158" t="s">
        <v>30</v>
      </c>
      <c r="AP401" s="158" t="s">
        <v>32</v>
      </c>
      <c r="AQ401" s="121">
        <v>1</v>
      </c>
      <c r="AR401" s="121">
        <v>1</v>
      </c>
      <c r="AS401" s="121">
        <v>0</v>
      </c>
      <c r="AT401" s="158" t="s">
        <v>30</v>
      </c>
      <c r="AV401" s="158" t="s">
        <v>28</v>
      </c>
      <c r="AW401" s="121">
        <v>0</v>
      </c>
      <c r="AX401" s="121">
        <v>0</v>
      </c>
      <c r="AY401" s="121">
        <v>1</v>
      </c>
      <c r="AZ401" s="158" t="s">
        <v>30</v>
      </c>
      <c r="BB401" s="160">
        <v>40</v>
      </c>
      <c r="BC401" s="158" t="s">
        <v>31</v>
      </c>
      <c r="BD401" s="121">
        <v>0</v>
      </c>
      <c r="BE401" s="121">
        <v>0</v>
      </c>
      <c r="BF401" s="121">
        <v>1</v>
      </c>
      <c r="BG401" s="158" t="s">
        <v>30</v>
      </c>
    </row>
    <row r="402" spans="6:59" x14ac:dyDescent="0.3">
      <c r="F402" s="160">
        <v>54</v>
      </c>
      <c r="G402" s="158" t="s">
        <v>29</v>
      </c>
      <c r="H402" s="121">
        <v>1</v>
      </c>
      <c r="I402" s="158" t="s">
        <v>30</v>
      </c>
      <c r="M402" s="160">
        <v>54</v>
      </c>
      <c r="N402" s="158">
        <v>80</v>
      </c>
      <c r="O402" s="121">
        <v>0</v>
      </c>
      <c r="P402" s="121">
        <v>1</v>
      </c>
      <c r="Q402" s="158" t="s">
        <v>30</v>
      </c>
      <c r="S402" s="160">
        <v>54</v>
      </c>
      <c r="T402" s="158">
        <v>78</v>
      </c>
      <c r="U402" s="121">
        <v>1</v>
      </c>
      <c r="V402" s="121">
        <v>0</v>
      </c>
      <c r="W402" s="158" t="s">
        <v>30</v>
      </c>
      <c r="Y402" s="4">
        <v>20.894901144640997</v>
      </c>
      <c r="Z402" s="121">
        <v>0.67834431726211142</v>
      </c>
      <c r="AA402" s="121">
        <v>0.32165568273788853</v>
      </c>
      <c r="AB402" s="158" t="s">
        <v>30</v>
      </c>
      <c r="AD402" s="158" t="s">
        <v>31</v>
      </c>
      <c r="AE402" s="121">
        <v>0</v>
      </c>
      <c r="AF402" s="121">
        <v>0</v>
      </c>
      <c r="AG402" s="121">
        <v>1</v>
      </c>
      <c r="AH402" s="158" t="s">
        <v>30</v>
      </c>
      <c r="AJ402" s="158" t="s">
        <v>26</v>
      </c>
      <c r="AK402" s="121">
        <v>0</v>
      </c>
      <c r="AL402" s="121">
        <v>0</v>
      </c>
      <c r="AM402" s="121">
        <v>1</v>
      </c>
      <c r="AN402" s="158" t="s">
        <v>30</v>
      </c>
      <c r="AP402" s="158" t="s">
        <v>27</v>
      </c>
      <c r="AQ402" s="121">
        <v>0</v>
      </c>
      <c r="AR402" s="121">
        <v>0</v>
      </c>
      <c r="AS402" s="121">
        <v>1</v>
      </c>
      <c r="AT402" s="158" t="s">
        <v>30</v>
      </c>
      <c r="AV402" s="158" t="s">
        <v>28</v>
      </c>
      <c r="AW402" s="121">
        <v>0</v>
      </c>
      <c r="AX402" s="121">
        <v>0</v>
      </c>
      <c r="AY402" s="121">
        <v>1</v>
      </c>
      <c r="AZ402" s="158" t="s">
        <v>30</v>
      </c>
      <c r="BB402" s="160">
        <v>54</v>
      </c>
      <c r="BC402" s="158" t="s">
        <v>31</v>
      </c>
      <c r="BD402" s="121">
        <v>0</v>
      </c>
      <c r="BE402" s="121">
        <v>0</v>
      </c>
      <c r="BF402" s="121">
        <v>1</v>
      </c>
      <c r="BG402" s="158" t="s">
        <v>30</v>
      </c>
    </row>
    <row r="403" spans="6:59" x14ac:dyDescent="0.3">
      <c r="F403" s="160">
        <v>56</v>
      </c>
      <c r="G403" s="158" t="s">
        <v>29</v>
      </c>
      <c r="H403" s="121">
        <v>1</v>
      </c>
      <c r="I403" s="158" t="s">
        <v>35</v>
      </c>
      <c r="M403" s="160">
        <v>56</v>
      </c>
      <c r="N403" s="158">
        <v>51</v>
      </c>
      <c r="O403" s="121">
        <v>0</v>
      </c>
      <c r="P403" s="121">
        <v>1</v>
      </c>
      <c r="Q403" s="158" t="s">
        <v>35</v>
      </c>
      <c r="S403" s="160">
        <v>56</v>
      </c>
      <c r="T403" s="158">
        <v>85</v>
      </c>
      <c r="U403" s="121">
        <v>1</v>
      </c>
      <c r="V403" s="121">
        <v>0</v>
      </c>
      <c r="W403" s="158" t="s">
        <v>35</v>
      </c>
      <c r="Y403" s="4">
        <v>22.812933941678239</v>
      </c>
      <c r="Z403" s="121">
        <v>0.46522956203575128</v>
      </c>
      <c r="AA403" s="121">
        <v>0.53477043796424872</v>
      </c>
      <c r="AB403" s="158" t="s">
        <v>35</v>
      </c>
      <c r="AD403" s="158" t="s">
        <v>31</v>
      </c>
      <c r="AE403" s="121">
        <v>0</v>
      </c>
      <c r="AF403" s="121">
        <v>0</v>
      </c>
      <c r="AG403" s="121">
        <v>1</v>
      </c>
      <c r="AH403" s="158" t="s">
        <v>35</v>
      </c>
      <c r="AJ403" s="158" t="s">
        <v>39</v>
      </c>
      <c r="AK403" s="121">
        <v>1</v>
      </c>
      <c r="AL403" s="121">
        <v>1</v>
      </c>
      <c r="AM403" s="121">
        <v>0</v>
      </c>
      <c r="AN403" s="158" t="s">
        <v>35</v>
      </c>
      <c r="AP403" s="158" t="s">
        <v>27</v>
      </c>
      <c r="AQ403" s="121">
        <v>0</v>
      </c>
      <c r="AR403" s="121">
        <v>0</v>
      </c>
      <c r="AS403" s="121">
        <v>1</v>
      </c>
      <c r="AT403" s="158" t="s">
        <v>35</v>
      </c>
      <c r="AV403" s="158" t="s">
        <v>33</v>
      </c>
      <c r="AW403" s="121">
        <v>1</v>
      </c>
      <c r="AX403" s="121">
        <v>1</v>
      </c>
      <c r="AY403" s="121">
        <v>0</v>
      </c>
      <c r="AZ403" s="158" t="s">
        <v>35</v>
      </c>
      <c r="BB403" s="160">
        <v>56</v>
      </c>
      <c r="BC403" s="158" t="s">
        <v>31</v>
      </c>
      <c r="BD403" s="121">
        <v>0</v>
      </c>
      <c r="BE403" s="121">
        <v>0</v>
      </c>
      <c r="BF403" s="121">
        <v>1</v>
      </c>
      <c r="BG403" s="158" t="s">
        <v>35</v>
      </c>
    </row>
    <row r="404" spans="6:59" x14ac:dyDescent="0.3">
      <c r="F404" s="160">
        <v>58</v>
      </c>
      <c r="G404" s="158" t="s">
        <v>29</v>
      </c>
      <c r="H404" s="121">
        <v>1</v>
      </c>
      <c r="I404" s="158" t="s">
        <v>30</v>
      </c>
      <c r="M404" s="160">
        <v>58</v>
      </c>
      <c r="N404" s="158">
        <v>65</v>
      </c>
      <c r="O404" s="121">
        <v>0</v>
      </c>
      <c r="P404" s="121">
        <v>1</v>
      </c>
      <c r="Q404" s="158" t="s">
        <v>30</v>
      </c>
      <c r="S404" s="160">
        <v>58</v>
      </c>
      <c r="T404" s="158">
        <v>91</v>
      </c>
      <c r="U404" s="121">
        <v>0.9</v>
      </c>
      <c r="V404" s="121">
        <v>0.1</v>
      </c>
      <c r="W404" s="158" t="s">
        <v>30</v>
      </c>
      <c r="Y404" s="4">
        <v>24.765704392336936</v>
      </c>
      <c r="Z404" s="121">
        <v>0.24825506751811824</v>
      </c>
      <c r="AA404" s="121">
        <v>0.75174493248188179</v>
      </c>
      <c r="AB404" s="158" t="s">
        <v>30</v>
      </c>
      <c r="AD404" s="158" t="s">
        <v>25</v>
      </c>
      <c r="AE404" s="121">
        <v>1</v>
      </c>
      <c r="AF404" s="121">
        <v>1</v>
      </c>
      <c r="AG404" s="121">
        <v>0</v>
      </c>
      <c r="AH404" s="158" t="s">
        <v>30</v>
      </c>
      <c r="AJ404" s="158" t="s">
        <v>26</v>
      </c>
      <c r="AK404" s="121">
        <v>0</v>
      </c>
      <c r="AL404" s="121">
        <v>0</v>
      </c>
      <c r="AM404" s="121">
        <v>1</v>
      </c>
      <c r="AN404" s="158" t="s">
        <v>30</v>
      </c>
      <c r="AP404" s="158" t="s">
        <v>27</v>
      </c>
      <c r="AQ404" s="121">
        <v>0</v>
      </c>
      <c r="AR404" s="121">
        <v>0</v>
      </c>
      <c r="AS404" s="121">
        <v>1</v>
      </c>
      <c r="AT404" s="158" t="s">
        <v>30</v>
      </c>
      <c r="AV404" s="158" t="s">
        <v>33</v>
      </c>
      <c r="AW404" s="121">
        <v>1</v>
      </c>
      <c r="AX404" s="121">
        <v>1</v>
      </c>
      <c r="AY404" s="121">
        <v>0</v>
      </c>
      <c r="AZ404" s="158" t="s">
        <v>30</v>
      </c>
      <c r="BB404" s="160">
        <v>58</v>
      </c>
      <c r="BC404" s="158" t="s">
        <v>25</v>
      </c>
      <c r="BD404" s="121">
        <v>1</v>
      </c>
      <c r="BE404" s="121">
        <v>1</v>
      </c>
      <c r="BF404" s="121">
        <v>0</v>
      </c>
      <c r="BG404" s="158" t="s">
        <v>30</v>
      </c>
    </row>
    <row r="405" spans="6:59" x14ac:dyDescent="0.3">
      <c r="F405" s="160">
        <v>59</v>
      </c>
      <c r="G405" s="158" t="s">
        <v>29</v>
      </c>
      <c r="H405" s="121">
        <v>1</v>
      </c>
      <c r="I405" s="158" t="s">
        <v>36</v>
      </c>
      <c r="M405" s="160">
        <v>59</v>
      </c>
      <c r="N405" s="158">
        <v>23</v>
      </c>
      <c r="O405" s="121">
        <v>1</v>
      </c>
      <c r="P405" s="121">
        <v>0</v>
      </c>
      <c r="Q405" s="158" t="s">
        <v>36</v>
      </c>
      <c r="S405" s="160">
        <v>59</v>
      </c>
      <c r="T405" s="158">
        <v>85</v>
      </c>
      <c r="U405" s="121">
        <v>1</v>
      </c>
      <c r="V405" s="121">
        <v>0</v>
      </c>
      <c r="W405" s="158" t="s">
        <v>36</v>
      </c>
      <c r="Y405" s="4">
        <v>22.977777777777778</v>
      </c>
      <c r="Z405" s="121">
        <v>0.44691358024691358</v>
      </c>
      <c r="AA405" s="121">
        <v>0.55308641975308648</v>
      </c>
      <c r="AB405" s="158" t="s">
        <v>36</v>
      </c>
      <c r="AD405" s="158" t="s">
        <v>31</v>
      </c>
      <c r="AE405" s="121">
        <v>0</v>
      </c>
      <c r="AF405" s="121">
        <v>0</v>
      </c>
      <c r="AG405" s="121">
        <v>1</v>
      </c>
      <c r="AH405" s="158" t="s">
        <v>36</v>
      </c>
      <c r="AJ405" s="158" t="s">
        <v>26</v>
      </c>
      <c r="AK405" s="121">
        <v>0</v>
      </c>
      <c r="AL405" s="121">
        <v>0</v>
      </c>
      <c r="AM405" s="121">
        <v>1</v>
      </c>
      <c r="AN405" s="158" t="s">
        <v>36</v>
      </c>
      <c r="AP405" s="158" t="s">
        <v>27</v>
      </c>
      <c r="AQ405" s="121">
        <v>0</v>
      </c>
      <c r="AR405" s="121">
        <v>0</v>
      </c>
      <c r="AS405" s="121">
        <v>1</v>
      </c>
      <c r="AT405" s="158" t="s">
        <v>36</v>
      </c>
      <c r="AV405" s="158" t="s">
        <v>28</v>
      </c>
      <c r="AW405" s="121">
        <v>0</v>
      </c>
      <c r="AX405" s="121">
        <v>0</v>
      </c>
      <c r="AY405" s="121">
        <v>1</v>
      </c>
      <c r="AZ405" s="158" t="s">
        <v>36</v>
      </c>
      <c r="BB405" s="160">
        <v>59</v>
      </c>
      <c r="BC405" s="158" t="s">
        <v>25</v>
      </c>
      <c r="BD405" s="121">
        <v>1</v>
      </c>
      <c r="BE405" s="121">
        <v>1</v>
      </c>
      <c r="BF405" s="121">
        <v>0</v>
      </c>
      <c r="BG405" s="158" t="s">
        <v>36</v>
      </c>
    </row>
    <row r="406" spans="6:59" x14ac:dyDescent="0.3">
      <c r="F406" s="119"/>
      <c r="G406" s="142" t="s">
        <v>36</v>
      </c>
      <c r="H406" s="142">
        <f>COUNTIF(I392:I405, "Rendah")</f>
        <v>2</v>
      </c>
      <c r="I406" s="119"/>
      <c r="N406" s="121" t="s">
        <v>64</v>
      </c>
      <c r="O406" s="121">
        <f>SUM(O392:O405)</f>
        <v>2.7</v>
      </c>
      <c r="P406" s="121">
        <f>SUM(P392:P405)</f>
        <v>11.3</v>
      </c>
      <c r="T406" s="121" t="s">
        <v>64</v>
      </c>
      <c r="U406" s="121">
        <f>SUM(U392:U405)</f>
        <v>11.799999999999999</v>
      </c>
      <c r="V406" s="121">
        <f>SUM(V392:V405)</f>
        <v>2.1999999999999997</v>
      </c>
      <c r="Y406" s="121" t="s">
        <v>64</v>
      </c>
      <c r="Z406" s="121">
        <f>SUM(Z392:Z405)</f>
        <v>4.1073382531037526</v>
      </c>
      <c r="AA406" s="121">
        <f>SUM(AA392:AA405)</f>
        <v>9.8926617468962466</v>
      </c>
      <c r="AE406" s="121" t="s">
        <v>64</v>
      </c>
      <c r="AF406" s="121">
        <f>SUM(AF392:AF405)</f>
        <v>4</v>
      </c>
      <c r="AG406" s="121">
        <f>SUM(AG392:AG405)</f>
        <v>10</v>
      </c>
      <c r="AK406" s="121" t="s">
        <v>64</v>
      </c>
      <c r="AL406" s="121">
        <f>SUM(AL392:AL405)</f>
        <v>4</v>
      </c>
      <c r="AM406" s="121">
        <f>SUM(AM392:AM405)</f>
        <v>10</v>
      </c>
      <c r="AQ406" s="121" t="s">
        <v>64</v>
      </c>
      <c r="AR406" s="121">
        <f>SUM(AR392:AR405)</f>
        <v>5</v>
      </c>
      <c r="AS406" s="121">
        <f>SUM(AS392:AS405)</f>
        <v>9</v>
      </c>
      <c r="AW406" s="121" t="s">
        <v>64</v>
      </c>
      <c r="AX406" s="121">
        <f>SUM(AX392:AX405)</f>
        <v>5</v>
      </c>
      <c r="AY406" s="121">
        <f>SUM(AY392:AY405)</f>
        <v>9</v>
      </c>
      <c r="BD406" s="121" t="s">
        <v>64</v>
      </c>
      <c r="BE406" s="121">
        <f>SUM(BE392:BE405)</f>
        <v>8</v>
      </c>
      <c r="BF406" s="121">
        <f>SUM(BF392:BF405)</f>
        <v>6</v>
      </c>
    </row>
    <row r="407" spans="6:59" x14ac:dyDescent="0.3">
      <c r="G407" s="142" t="s">
        <v>30</v>
      </c>
      <c r="H407" s="142">
        <f>COUNTIF(I392:I405, "Sedang")</f>
        <v>8</v>
      </c>
      <c r="N407" s="141" t="s">
        <v>36</v>
      </c>
      <c r="O407" s="146">
        <f>SUMIF(Q392:Q405,N407,O392:O405)</f>
        <v>1.7</v>
      </c>
      <c r="P407" s="141">
        <f>SUMIF(Q392:Q405,N407,P392:P405)</f>
        <v>0.3</v>
      </c>
      <c r="T407" s="141" t="s">
        <v>36</v>
      </c>
      <c r="U407" s="146">
        <f>SUMIF(W392:W405,T407,U392:U405)</f>
        <v>2</v>
      </c>
      <c r="V407" s="141">
        <f>SUMIF(W392:W405,T407,V392:V405)</f>
        <v>0</v>
      </c>
      <c r="Y407" s="141" t="s">
        <v>36</v>
      </c>
      <c r="Z407" s="146">
        <f>SUMIF(AB392:AB405,Y407,Z392:Z405)</f>
        <v>0.51796422272612674</v>
      </c>
      <c r="AA407" s="141">
        <f>SUMIF(AB392:AB405,Y407,AA392:AA405)</f>
        <v>1.4820357772738735</v>
      </c>
      <c r="AE407" s="141" t="s">
        <v>36</v>
      </c>
      <c r="AF407" s="146">
        <f>SUMIF(AH392:AH405,AE407,AF392:AF405)</f>
        <v>1</v>
      </c>
      <c r="AG407" s="141">
        <f>SUMIF(AH392:AH405,AE407,AG392:AG405)</f>
        <v>1</v>
      </c>
      <c r="AK407" s="141" t="s">
        <v>36</v>
      </c>
      <c r="AL407" s="146">
        <f>SUMIF(AN392:AN405,AK407,AL392:AL405)</f>
        <v>0</v>
      </c>
      <c r="AM407" s="141">
        <f>SUMIF(AN392:AN405,AK407,AM392:AM405)</f>
        <v>2</v>
      </c>
      <c r="AQ407" s="141" t="s">
        <v>36</v>
      </c>
      <c r="AR407" s="146">
        <f>SUMIF(AT392:AT405,AQ407,AR392:AR405)</f>
        <v>0</v>
      </c>
      <c r="AS407" s="141">
        <f>SUMIF(AT392:AT405,AQ407,AS392:AS405)</f>
        <v>2</v>
      </c>
      <c r="AW407" s="141" t="s">
        <v>36</v>
      </c>
      <c r="AX407" s="146">
        <f>SUMIF(AZ392:AZ405,AW407,AX392:AX405)</f>
        <v>0</v>
      </c>
      <c r="AY407" s="141">
        <f>SUMIF(AZ392:AZ405,AW407,AY392:AY405)</f>
        <v>2</v>
      </c>
      <c r="BD407" s="141" t="s">
        <v>36</v>
      </c>
      <c r="BE407" s="146">
        <f>SUMIF(BG392:BG405,BD407,BE392:BE405)</f>
        <v>2</v>
      </c>
      <c r="BF407" s="141">
        <f>SUMIF(BG392:BG405,BD407,BF392:BF405)</f>
        <v>0</v>
      </c>
    </row>
    <row r="408" spans="6:59" x14ac:dyDescent="0.3">
      <c r="G408" s="142" t="s">
        <v>35</v>
      </c>
      <c r="H408" s="142">
        <f>COUNTIF(I392:I405, "Tinggi")</f>
        <v>4</v>
      </c>
      <c r="N408" s="141" t="s">
        <v>30</v>
      </c>
      <c r="O408" s="146">
        <f>SUMIF(Q392:Q405,N408,O392:O405)</f>
        <v>1</v>
      </c>
      <c r="P408" s="141">
        <f>SUMIF(Q392:Q405,N408,P392:P405)</f>
        <v>7</v>
      </c>
      <c r="T408" s="141" t="s">
        <v>30</v>
      </c>
      <c r="U408" s="146">
        <f>SUMIF(W392:W405,T408,U392:U405)</f>
        <v>7.2</v>
      </c>
      <c r="V408" s="141">
        <f>SUMIF(W392:W405,T408,V392:V405)</f>
        <v>0.79999999999999993</v>
      </c>
      <c r="Y408" s="141" t="s">
        <v>30</v>
      </c>
      <c r="Z408" s="146">
        <f>SUMIF(AB392:AB405,Y408,Z392:Z405)</f>
        <v>2.8555400568803204</v>
      </c>
      <c r="AA408" s="141">
        <f>SUMIF(AB392:AB405,Y408,AA392:AA405)</f>
        <v>5.1444599431196787</v>
      </c>
      <c r="AE408" s="141" t="s">
        <v>30</v>
      </c>
      <c r="AF408" s="146">
        <f>SUMIF(AH392:AH405,AE408,AF392:AF405)</f>
        <v>3</v>
      </c>
      <c r="AG408" s="141">
        <f>SUMIF(AH392:AH405,AE408,AG392:AG405)</f>
        <v>5</v>
      </c>
      <c r="AK408" s="141" t="s">
        <v>30</v>
      </c>
      <c r="AL408" s="146">
        <f>SUMIF(AN392:AN405,AK408,AL392:AL405)</f>
        <v>2</v>
      </c>
      <c r="AM408" s="141">
        <f>SUMIF(AN392:AN405,AK408,AM392:AM405)</f>
        <v>6</v>
      </c>
      <c r="AQ408" s="141" t="s">
        <v>30</v>
      </c>
      <c r="AR408" s="146">
        <f>SUMIF(AT392:AT405,AQ408,AR392:AR405)</f>
        <v>4</v>
      </c>
      <c r="AS408" s="141">
        <f>SUMIF(AT392:AT405,AQ408,AS392:AS405)</f>
        <v>4</v>
      </c>
      <c r="AW408" s="141" t="s">
        <v>30</v>
      </c>
      <c r="AX408" s="146">
        <f>SUMIF(AZ392:AZ405,AW408,AX392:AX405)</f>
        <v>3</v>
      </c>
      <c r="AY408" s="141">
        <f>SUMIF(AZ392:AZ405,AW408,AY392:AY405)</f>
        <v>5</v>
      </c>
      <c r="BD408" s="141" t="s">
        <v>30</v>
      </c>
      <c r="BE408" s="146">
        <f>SUMIF(BG392:BG405,BD408,BE392:BE405)</f>
        <v>4</v>
      </c>
      <c r="BF408" s="141">
        <f>SUMIF(BG392:BG405,BD408,BF392:BF405)</f>
        <v>4</v>
      </c>
    </row>
    <row r="409" spans="6:59" x14ac:dyDescent="0.3">
      <c r="H409">
        <v>14</v>
      </c>
      <c r="N409" s="141" t="s">
        <v>35</v>
      </c>
      <c r="O409" s="146">
        <f>SUMIF(Q392:Q405,N409,O392:O405)</f>
        <v>0</v>
      </c>
      <c r="P409" s="141">
        <f>SUMIF(Q392:Q405,N409,P392:P405)</f>
        <v>4</v>
      </c>
      <c r="T409" s="141" t="s">
        <v>35</v>
      </c>
      <c r="U409" s="146">
        <f>SUMIF(W392:W405,T409,U392:U405)</f>
        <v>2.6</v>
      </c>
      <c r="V409" s="141">
        <f>SUMIF(W392:W405,T409,V392:V405)</f>
        <v>1.4</v>
      </c>
      <c r="Y409" s="141" t="s">
        <v>35</v>
      </c>
      <c r="Z409" s="146">
        <f>SUMIF(AB392:AB405,Y409,Z392:Z405)</f>
        <v>0.7338339734973055</v>
      </c>
      <c r="AA409" s="141">
        <f>SUMIF(AB392:AB405,Y409,AA392:AA405)</f>
        <v>3.2661660265026944</v>
      </c>
      <c r="AE409" s="141" t="s">
        <v>35</v>
      </c>
      <c r="AF409" s="146">
        <f>SUMIF(AH392:AH405,AE409,AF392:AF405)</f>
        <v>0</v>
      </c>
      <c r="AG409" s="141">
        <f>SUMIF(AH392:AH405,AE409,AG392:AG405)</f>
        <v>4</v>
      </c>
      <c r="AK409" s="141" t="s">
        <v>35</v>
      </c>
      <c r="AL409" s="146">
        <f>SUMIF(AN392:AN405,AK409,AL392:AL405)</f>
        <v>2</v>
      </c>
      <c r="AM409" s="141">
        <f>SUMIF(AN392:AN405,AK409,AM392:AM405)</f>
        <v>2</v>
      </c>
      <c r="AQ409" s="141" t="s">
        <v>35</v>
      </c>
      <c r="AR409" s="146">
        <f>SUMIF(AT392:AT405,AQ409,AR392:AR405)</f>
        <v>1</v>
      </c>
      <c r="AS409" s="141">
        <f>SUMIF(AT392:AT405,AQ409,AS392:AS405)</f>
        <v>3</v>
      </c>
      <c r="AW409" s="141" t="s">
        <v>35</v>
      </c>
      <c r="AX409" s="146">
        <f>SUMIF(AZ392:AZ405,AW409,AX392:AX405)</f>
        <v>2</v>
      </c>
      <c r="AY409" s="141">
        <f>SUMIF(AZ392:AZ405,AW409,AY392:AY405)</f>
        <v>2</v>
      </c>
      <c r="BD409" s="141" t="s">
        <v>35</v>
      </c>
      <c r="BE409" s="146">
        <f>SUMIF(BG392:BG405,BD409,BE392:BE405)</f>
        <v>2</v>
      </c>
      <c r="BF409" s="141">
        <f>SUMIF(BG392:BG405,BD409,BF392:BF405)</f>
        <v>2</v>
      </c>
    </row>
    <row r="412" spans="6:59" x14ac:dyDescent="0.3">
      <c r="M412" s="219" t="s">
        <v>270</v>
      </c>
      <c r="N412" s="219"/>
      <c r="O412" s="165" t="s">
        <v>55</v>
      </c>
      <c r="P412" s="123">
        <f>-(O407/O406)*LOG((O407/O406),2)-(O408/O406)*LOG((O408/O406),2)-(0)</f>
        <v>0.95095604845497261</v>
      </c>
      <c r="Q412" s="165" t="s">
        <v>43</v>
      </c>
      <c r="R412" s="123">
        <f>-(P407/P406)*LOG((P407/P406),2)-(P408/P406)*LOG((P408/P406),2)-(P409/P406)*LOG((P409/P406),2)</f>
        <v>1.0973309758328371</v>
      </c>
      <c r="S412" s="145"/>
      <c r="T412" s="123"/>
      <c r="V412" s="232" t="s">
        <v>261</v>
      </c>
      <c r="W412" s="233"/>
      <c r="X412" s="234"/>
      <c r="Y412" s="151">
        <f>-((2/14)*LOG((2/14),2))-((8/14)*LOG((8/14),2))-((4/14)*LOG((4/14),2))</f>
        <v>1.3787834934861758</v>
      </c>
    </row>
    <row r="413" spans="6:59" x14ac:dyDescent="0.3">
      <c r="M413" s="219" t="s">
        <v>272</v>
      </c>
      <c r="N413" s="219"/>
      <c r="O413" s="165" t="s">
        <v>44</v>
      </c>
      <c r="P413" s="123">
        <f>-(U407/U406)*LOG((U407/U406),2)-(U408/U406)*LOG((U408/U406),2)-(U409/U406)*LOG((U409/U406),2)</f>
        <v>1.3497227555206368</v>
      </c>
      <c r="Q413" s="165" t="s">
        <v>258</v>
      </c>
      <c r="R413" s="123">
        <f>-(0)-(V408/V406)*LOG((V408/V406),2)-(V409/V406)*LOG((V409/V406),2)</f>
        <v>0.94566030460064021</v>
      </c>
      <c r="S413" s="165"/>
      <c r="T413" s="123"/>
      <c r="V413" s="229" t="s">
        <v>65</v>
      </c>
      <c r="W413" s="230"/>
      <c r="X413" s="231"/>
      <c r="Y413" s="151">
        <f>(Y412)-((O406/14)*P412)-((P406/14)*R412)</f>
        <v>0.30968196793335534</v>
      </c>
    </row>
    <row r="414" spans="6:59" x14ac:dyDescent="0.3">
      <c r="M414" s="219" t="s">
        <v>273</v>
      </c>
      <c r="N414" s="219"/>
      <c r="O414" s="165" t="s">
        <v>44</v>
      </c>
      <c r="P414" s="123">
        <f>-(Z407/Z406)*LOG((Z407/Z406),2)-(Z408/Z406)*LOG((Z408/Z406),2)-(Z409/Z406)*LOG((Z409/Z406),2)</f>
        <v>1.1852456828744484</v>
      </c>
      <c r="Q414" s="165" t="s">
        <v>47</v>
      </c>
      <c r="R414" s="123">
        <f>-(AA407/AA406)*LOG((AA407/AA406),2)-(AA408/AA406)*LOG((AA408/AA406),2)-(AA409/AA406)*LOG((AA409/AA406),2)</f>
        <v>1.428711095161354</v>
      </c>
      <c r="S414" s="165"/>
      <c r="T414" s="123"/>
      <c r="V414" s="229" t="s">
        <v>263</v>
      </c>
      <c r="W414" s="230"/>
      <c r="X414" s="231"/>
      <c r="Y414" s="151">
        <f>(Y412)-((U406/14)*P413)-((V406/14)*R413)</f>
        <v>9.255626596725286E-2</v>
      </c>
    </row>
    <row r="415" spans="6:59" x14ac:dyDescent="0.3">
      <c r="M415" s="219" t="s">
        <v>274</v>
      </c>
      <c r="N415" s="219"/>
      <c r="O415" s="165" t="s">
        <v>25</v>
      </c>
      <c r="P415" s="123">
        <f>-(AF407/AF406)*LOG((AF407/AF406),2)-(AF408/AF406)*LOG((AF408/AF406),2)-(0)</f>
        <v>0.81127812445913283</v>
      </c>
      <c r="Q415" s="165" t="s">
        <v>34</v>
      </c>
      <c r="R415" s="123">
        <f>-(AG407/AG406)*LOG((AG407/AG406),2)-(AG408/AG406)*LOG((AG408/AG406),2)-(AG409/AG406)*LOG((AG409/AG406),2)</f>
        <v>1.360964047443681</v>
      </c>
      <c r="S415" s="165"/>
      <c r="T415" s="123"/>
      <c r="V415" s="229" t="s">
        <v>67</v>
      </c>
      <c r="W415" s="230"/>
      <c r="X415" s="231"/>
      <c r="Y415" s="151">
        <f>(Y412)-((Z406/14)*P414)-((AA406/14)*R414)</f>
        <v>2.1500598410085114E-2</v>
      </c>
    </row>
    <row r="416" spans="6:59" x14ac:dyDescent="0.3">
      <c r="M416" s="219" t="s">
        <v>275</v>
      </c>
      <c r="N416" s="219"/>
      <c r="O416" s="165" t="s">
        <v>26</v>
      </c>
      <c r="P416" s="123">
        <f>-(0)-(AL408/AL406)*LOG((AL408/AL406),2)-(AL409/AL406)*LOG((AL409/AL406),2)</f>
        <v>1</v>
      </c>
      <c r="Q416" s="165" t="s">
        <v>39</v>
      </c>
      <c r="R416" s="123">
        <f>-(AM407/AM406)*LOG((AM407/AM406),2)-(AM408/AM406)*LOG((AM408/AM406),2)-(AM409/AM406)*LOG((AM409/AM406),2)</f>
        <v>1.3709505944546687</v>
      </c>
      <c r="S416" s="165"/>
      <c r="T416" s="123"/>
      <c r="V416" s="229" t="s">
        <v>264</v>
      </c>
      <c r="W416" s="230"/>
      <c r="X416" s="231"/>
      <c r="Y416" s="151">
        <f>(Y412)-((AF406/14)*P415)-((AG406/14)*R415)</f>
        <v>0.17487256689522279</v>
      </c>
    </row>
    <row r="417" spans="1:25" x14ac:dyDescent="0.3">
      <c r="M417" s="219" t="s">
        <v>276</v>
      </c>
      <c r="N417" s="219"/>
      <c r="O417" s="149" t="s">
        <v>27</v>
      </c>
      <c r="P417" s="123">
        <f>-(0)-(AR408/AR406)*LOG((AR408/AR406),2)-(AR409/AR406)*LOG((AR409/AR406),2)</f>
        <v>0.72192809488736231</v>
      </c>
      <c r="Q417" s="149" t="s">
        <v>32</v>
      </c>
      <c r="R417" s="123">
        <f>-(AS407/AS406)*LOG((AS407/AS406),2)-(AS408/AS406)*LOG((AS408/AS406),2)-(AS409/AS406)*LOG((AS409/AS406),2)</f>
        <v>1.5304930567574826</v>
      </c>
      <c r="S417" s="165"/>
      <c r="T417" s="123"/>
      <c r="V417" s="229" t="s">
        <v>265</v>
      </c>
      <c r="W417" s="230"/>
      <c r="X417" s="231"/>
      <c r="Y417" s="151">
        <f>(Y412)-((AL406/14)*P416)-((AM406/14)*R416)</f>
        <v>0.11381878316141258</v>
      </c>
    </row>
    <row r="418" spans="1:25" x14ac:dyDescent="0.3">
      <c r="M418" s="219" t="s">
        <v>277</v>
      </c>
      <c r="N418" s="219"/>
      <c r="O418" s="149" t="s">
        <v>28</v>
      </c>
      <c r="P418" s="123">
        <f>-(0)-(AX408/AX406)*LOG((AX408/AX406),2)-(AX409/AX406)*LOG((AX409/AX406),2)</f>
        <v>0.97095059445466858</v>
      </c>
      <c r="Q418" s="149" t="s">
        <v>33</v>
      </c>
      <c r="R418" s="123">
        <f>-(AY407/AY406)*LOG((AY407/AY406),2)-(AY408/AY406)*LOG((AY408/AY406),2)-(AY409/AY406)*LOG((AY409/AY406),2)</f>
        <v>1.4355205042826666</v>
      </c>
      <c r="S418" s="165"/>
      <c r="T418" s="123"/>
      <c r="V418" s="229" t="s">
        <v>266</v>
      </c>
      <c r="W418" s="230"/>
      <c r="X418" s="231"/>
      <c r="Y418" s="228">
        <f>(Y412)-((AR406/14)*P417)-((AS406/14)*R417)</f>
        <v>0.13706363739659333</v>
      </c>
    </row>
    <row r="419" spans="1:25" x14ac:dyDescent="0.3">
      <c r="M419" s="165" t="s">
        <v>278</v>
      </c>
      <c r="N419" s="165"/>
      <c r="O419" s="165" t="s">
        <v>25</v>
      </c>
      <c r="P419" s="123">
        <f>-(BE407/BE406)*LOG((BE407/BE406),2)-(BE408/BE406)*LOG((BE408/BE406),2)-(0)</f>
        <v>1</v>
      </c>
      <c r="Q419" s="165" t="s">
        <v>34</v>
      </c>
      <c r="R419" s="123">
        <f>-(0)-(BF408/BF406)*LOG((BF408/BF406),2)-(BF409/BF406)*LOG((BF409/BF406),2)</f>
        <v>0.91829583405448956</v>
      </c>
      <c r="S419" s="165"/>
      <c r="T419" s="123"/>
      <c r="V419" s="229" t="s">
        <v>267</v>
      </c>
      <c r="W419" s="230"/>
      <c r="X419" s="231"/>
      <c r="Y419" s="228">
        <f>(Y412)-((AX406/14)*P418)-((AY406/14)*R418)</f>
        <v>0.10918081414207981</v>
      </c>
    </row>
    <row r="420" spans="1:25" x14ac:dyDescent="0.3">
      <c r="V420" s="218" t="s">
        <v>268</v>
      </c>
      <c r="W420" s="218"/>
      <c r="X420" s="218"/>
      <c r="Y420" s="152">
        <f>(Y412)-((BE406/14)*P419)-((BF406/14)*R419)</f>
        <v>0.41379956460568035</v>
      </c>
    </row>
    <row r="422" spans="1:25" x14ac:dyDescent="0.3">
      <c r="A422" s="139" t="s">
        <v>77</v>
      </c>
      <c r="B422" s="139" t="s">
        <v>15</v>
      </c>
      <c r="C422" s="139" t="s">
        <v>259</v>
      </c>
      <c r="D422" s="139" t="s">
        <v>25</v>
      </c>
      <c r="E422" s="139" t="s">
        <v>66</v>
      </c>
      <c r="H422" s="139" t="s">
        <v>77</v>
      </c>
      <c r="I422" s="139" t="s">
        <v>15</v>
      </c>
      <c r="J422" s="139" t="s">
        <v>259</v>
      </c>
      <c r="K422" s="139" t="s">
        <v>34</v>
      </c>
      <c r="L422" s="139" t="s">
        <v>66</v>
      </c>
    </row>
    <row r="423" spans="1:25" x14ac:dyDescent="0.3">
      <c r="A423" s="160">
        <v>1</v>
      </c>
      <c r="B423" s="158" t="s">
        <v>25</v>
      </c>
      <c r="C423" s="121">
        <v>1</v>
      </c>
      <c r="D423" s="121">
        <v>1</v>
      </c>
      <c r="E423" s="158" t="s">
        <v>30</v>
      </c>
      <c r="H423" s="160">
        <v>17</v>
      </c>
      <c r="I423" s="158" t="s">
        <v>31</v>
      </c>
      <c r="J423" s="121">
        <v>0</v>
      </c>
      <c r="K423" s="121">
        <v>1</v>
      </c>
      <c r="L423" s="158" t="s">
        <v>30</v>
      </c>
    </row>
    <row r="424" spans="1:25" x14ac:dyDescent="0.3">
      <c r="A424" s="160">
        <v>7</v>
      </c>
      <c r="B424" s="158" t="s">
        <v>25</v>
      </c>
      <c r="C424" s="121">
        <v>1</v>
      </c>
      <c r="D424" s="121">
        <v>1</v>
      </c>
      <c r="E424" s="158" t="s">
        <v>35</v>
      </c>
      <c r="H424" s="160">
        <v>27</v>
      </c>
      <c r="I424" s="158" t="s">
        <v>31</v>
      </c>
      <c r="J424" s="121">
        <v>0</v>
      </c>
      <c r="K424" s="121">
        <v>1</v>
      </c>
      <c r="L424" s="158" t="s">
        <v>35</v>
      </c>
    </row>
    <row r="425" spans="1:25" x14ac:dyDescent="0.3">
      <c r="A425" s="160">
        <v>13</v>
      </c>
      <c r="B425" s="158" t="s">
        <v>25</v>
      </c>
      <c r="C425" s="121">
        <v>1</v>
      </c>
      <c r="D425" s="121">
        <v>1</v>
      </c>
      <c r="E425" s="158" t="s">
        <v>30</v>
      </c>
      <c r="H425" s="160">
        <v>38</v>
      </c>
      <c r="I425" s="158" t="s">
        <v>31</v>
      </c>
      <c r="J425" s="121">
        <v>0</v>
      </c>
      <c r="K425" s="121">
        <v>1</v>
      </c>
      <c r="L425" s="158" t="s">
        <v>30</v>
      </c>
    </row>
    <row r="426" spans="1:25" x14ac:dyDescent="0.3">
      <c r="A426" s="160">
        <v>31</v>
      </c>
      <c r="B426" s="158" t="s">
        <v>25</v>
      </c>
      <c r="C426" s="121">
        <v>1</v>
      </c>
      <c r="D426" s="121">
        <v>1</v>
      </c>
      <c r="E426" s="158" t="s">
        <v>35</v>
      </c>
      <c r="H426" s="160">
        <v>40</v>
      </c>
      <c r="I426" s="158" t="s">
        <v>31</v>
      </c>
      <c r="J426" s="121">
        <v>0</v>
      </c>
      <c r="K426" s="121">
        <v>1</v>
      </c>
      <c r="L426" s="158" t="s">
        <v>30</v>
      </c>
    </row>
    <row r="427" spans="1:25" x14ac:dyDescent="0.3">
      <c r="A427" s="160">
        <v>35</v>
      </c>
      <c r="B427" s="158" t="s">
        <v>25</v>
      </c>
      <c r="C427" s="121">
        <v>1</v>
      </c>
      <c r="D427" s="121">
        <v>1</v>
      </c>
      <c r="E427" s="158" t="s">
        <v>30</v>
      </c>
      <c r="H427" s="160">
        <v>54</v>
      </c>
      <c r="I427" s="158" t="s">
        <v>31</v>
      </c>
      <c r="J427" s="121">
        <v>0</v>
      </c>
      <c r="K427" s="121">
        <v>1</v>
      </c>
      <c r="L427" s="158" t="s">
        <v>30</v>
      </c>
    </row>
    <row r="428" spans="1:25" x14ac:dyDescent="0.3">
      <c r="A428" s="160">
        <v>36</v>
      </c>
      <c r="B428" s="158" t="s">
        <v>25</v>
      </c>
      <c r="C428" s="121">
        <v>1</v>
      </c>
      <c r="D428" s="121">
        <v>1</v>
      </c>
      <c r="E428" s="158" t="s">
        <v>36</v>
      </c>
      <c r="H428" s="160">
        <v>56</v>
      </c>
      <c r="I428" s="158" t="s">
        <v>31</v>
      </c>
      <c r="J428" s="121">
        <v>0</v>
      </c>
      <c r="K428" s="121">
        <v>1</v>
      </c>
      <c r="L428" s="158" t="s">
        <v>35</v>
      </c>
    </row>
    <row r="429" spans="1:25" x14ac:dyDescent="0.3">
      <c r="A429" s="160">
        <v>58</v>
      </c>
      <c r="B429" s="158" t="s">
        <v>25</v>
      </c>
      <c r="C429" s="121">
        <v>1</v>
      </c>
      <c r="D429" s="121">
        <v>1</v>
      </c>
      <c r="E429" s="158" t="s">
        <v>30</v>
      </c>
      <c r="J429" s="142" t="s">
        <v>36</v>
      </c>
      <c r="K429" s="142">
        <f>COUNTIF(L423:L428, "Rendah")</f>
        <v>0</v>
      </c>
    </row>
    <row r="430" spans="1:25" x14ac:dyDescent="0.3">
      <c r="A430" s="160">
        <v>59</v>
      </c>
      <c r="B430" s="158" t="s">
        <v>25</v>
      </c>
      <c r="C430" s="121">
        <v>1</v>
      </c>
      <c r="D430" s="121">
        <v>1</v>
      </c>
      <c r="E430" s="158" t="s">
        <v>36</v>
      </c>
      <c r="J430" s="142" t="s">
        <v>30</v>
      </c>
      <c r="K430" s="142">
        <f>COUNTIF(L423:L428, "Sedang")</f>
        <v>4</v>
      </c>
    </row>
    <row r="431" spans="1:25" x14ac:dyDescent="0.3">
      <c r="C431" s="142" t="s">
        <v>36</v>
      </c>
      <c r="D431" s="142">
        <f>COUNTIF(E423:E430, "Rendah")</f>
        <v>2</v>
      </c>
      <c r="J431" s="142" t="s">
        <v>35</v>
      </c>
      <c r="K431" s="142">
        <f>COUNTIF(L423:L428, "Tinggi")</f>
        <v>2</v>
      </c>
    </row>
    <row r="432" spans="1:25" x14ac:dyDescent="0.3">
      <c r="C432" s="142" t="s">
        <v>30</v>
      </c>
      <c r="D432" s="142">
        <f>COUNTIF(E423:E430, "Sedang")</f>
        <v>4</v>
      </c>
      <c r="K432">
        <v>6</v>
      </c>
    </row>
    <row r="433" spans="3:52" x14ac:dyDescent="0.3">
      <c r="C433" s="142" t="s">
        <v>35</v>
      </c>
      <c r="D433" s="142">
        <f>COUNTIF(E423:E430, "Tinggi")</f>
        <v>2</v>
      </c>
      <c r="F433" s="161" t="s">
        <v>283</v>
      </c>
      <c r="G433" s="153">
        <v>0.7</v>
      </c>
      <c r="H433" s="119"/>
      <c r="I433" s="119"/>
    </row>
    <row r="434" spans="3:52" x14ac:dyDescent="0.3">
      <c r="D434">
        <v>8</v>
      </c>
      <c r="F434" s="128" t="s">
        <v>289</v>
      </c>
      <c r="G434" s="119"/>
      <c r="H434" s="119"/>
      <c r="I434" s="128" t="s">
        <v>282</v>
      </c>
      <c r="M434" s="139" t="s">
        <v>77</v>
      </c>
      <c r="N434" s="139" t="s">
        <v>4</v>
      </c>
      <c r="O434" s="139" t="s">
        <v>55</v>
      </c>
      <c r="P434" s="139" t="s">
        <v>43</v>
      </c>
      <c r="Q434" s="139" t="s">
        <v>66</v>
      </c>
      <c r="R434" s="119"/>
      <c r="S434" s="139" t="s">
        <v>77</v>
      </c>
      <c r="T434" s="139" t="s">
        <v>56</v>
      </c>
      <c r="U434" s="139" t="s">
        <v>44</v>
      </c>
      <c r="V434" s="139" t="s">
        <v>258</v>
      </c>
      <c r="W434" s="139" t="s">
        <v>66</v>
      </c>
      <c r="X434" s="119"/>
      <c r="Y434" s="139" t="s">
        <v>10</v>
      </c>
      <c r="Z434" s="139" t="s">
        <v>44</v>
      </c>
      <c r="AA434" s="139" t="s">
        <v>47</v>
      </c>
      <c r="AB434" s="139" t="s">
        <v>66</v>
      </c>
      <c r="AC434" s="119"/>
      <c r="AD434" s="139" t="s">
        <v>11</v>
      </c>
      <c r="AE434" s="139" t="s">
        <v>259</v>
      </c>
      <c r="AF434" s="139" t="s">
        <v>25</v>
      </c>
      <c r="AG434" s="139" t="s">
        <v>34</v>
      </c>
      <c r="AH434" s="139" t="s">
        <v>66</v>
      </c>
      <c r="AI434" s="119"/>
      <c r="AJ434" s="139" t="s">
        <v>48</v>
      </c>
      <c r="AK434" s="139" t="s">
        <v>259</v>
      </c>
      <c r="AL434" s="139" t="s">
        <v>26</v>
      </c>
      <c r="AM434" s="139" t="s">
        <v>39</v>
      </c>
      <c r="AN434" s="139" t="s">
        <v>66</v>
      </c>
      <c r="AP434" s="139" t="s">
        <v>13</v>
      </c>
      <c r="AQ434" s="139" t="s">
        <v>259</v>
      </c>
      <c r="AR434" s="166" t="s">
        <v>27</v>
      </c>
      <c r="AS434" s="166" t="s">
        <v>32</v>
      </c>
      <c r="AT434" s="139" t="s">
        <v>66</v>
      </c>
      <c r="AU434" s="119"/>
      <c r="AV434" s="139" t="s">
        <v>52</v>
      </c>
      <c r="AW434" s="142" t="s">
        <v>259</v>
      </c>
      <c r="AX434" s="166" t="s">
        <v>28</v>
      </c>
      <c r="AY434" s="166" t="s">
        <v>33</v>
      </c>
      <c r="AZ434" s="139" t="s">
        <v>66</v>
      </c>
    </row>
    <row r="435" spans="3:52" x14ac:dyDescent="0.3">
      <c r="F435" s="90" t="s">
        <v>130</v>
      </c>
      <c r="G435" s="90" t="s">
        <v>36</v>
      </c>
      <c r="H435" s="90">
        <v>2</v>
      </c>
      <c r="I435" s="90">
        <f>((H435)/(D434))*(100)</f>
        <v>25</v>
      </c>
      <c r="M435" s="160">
        <v>1</v>
      </c>
      <c r="N435" s="158">
        <v>52</v>
      </c>
      <c r="O435" s="121">
        <v>0</v>
      </c>
      <c r="P435" s="121">
        <v>1</v>
      </c>
      <c r="Q435" s="158" t="s">
        <v>30</v>
      </c>
      <c r="R435" s="119"/>
      <c r="S435" s="160">
        <v>1</v>
      </c>
      <c r="T435" s="158">
        <v>78</v>
      </c>
      <c r="U435" s="121">
        <v>1</v>
      </c>
      <c r="V435" s="121">
        <v>0</v>
      </c>
      <c r="W435" s="158" t="s">
        <v>30</v>
      </c>
      <c r="X435" s="119"/>
      <c r="Y435" s="4">
        <v>23.598931085099178</v>
      </c>
      <c r="Z435" s="121">
        <v>0.37789654610009138</v>
      </c>
      <c r="AA435" s="121">
        <v>0.62210345389990862</v>
      </c>
      <c r="AB435" s="158" t="s">
        <v>30</v>
      </c>
      <c r="AC435" s="119"/>
      <c r="AD435" s="120" t="s">
        <v>25</v>
      </c>
      <c r="AE435" s="121">
        <v>1</v>
      </c>
      <c r="AF435" s="121">
        <v>1</v>
      </c>
      <c r="AG435" s="121">
        <v>0</v>
      </c>
      <c r="AH435" s="158" t="s">
        <v>30</v>
      </c>
      <c r="AI435" s="119"/>
      <c r="AJ435" s="158" t="s">
        <v>26</v>
      </c>
      <c r="AK435" s="121">
        <v>0</v>
      </c>
      <c r="AL435" s="121">
        <v>0</v>
      </c>
      <c r="AM435" s="121">
        <v>1</v>
      </c>
      <c r="AN435" s="158" t="s">
        <v>30</v>
      </c>
      <c r="AP435" s="158" t="s">
        <v>27</v>
      </c>
      <c r="AQ435" s="121">
        <v>0</v>
      </c>
      <c r="AR435" s="121">
        <v>0</v>
      </c>
      <c r="AS435" s="121">
        <v>1</v>
      </c>
      <c r="AT435" s="158" t="s">
        <v>30</v>
      </c>
      <c r="AU435" s="119"/>
      <c r="AV435" s="158" t="s">
        <v>28</v>
      </c>
      <c r="AW435" s="121">
        <v>0</v>
      </c>
      <c r="AX435" s="121">
        <v>0</v>
      </c>
      <c r="AY435" s="121">
        <v>1</v>
      </c>
      <c r="AZ435" s="158" t="s">
        <v>30</v>
      </c>
    </row>
    <row r="436" spans="3:52" x14ac:dyDescent="0.3">
      <c r="F436" s="119"/>
      <c r="G436" s="119" t="s">
        <v>30</v>
      </c>
      <c r="H436" s="90">
        <v>4</v>
      </c>
      <c r="I436" s="90">
        <f>((H436)/(D434))*(100)</f>
        <v>50</v>
      </c>
      <c r="M436" s="160">
        <v>7</v>
      </c>
      <c r="N436" s="158">
        <v>55</v>
      </c>
      <c r="O436" s="121">
        <v>0</v>
      </c>
      <c r="P436" s="121">
        <v>1</v>
      </c>
      <c r="Q436" s="158" t="s">
        <v>35</v>
      </c>
      <c r="R436" s="119"/>
      <c r="S436" s="160">
        <v>7</v>
      </c>
      <c r="T436" s="158">
        <v>97</v>
      </c>
      <c r="U436" s="121">
        <v>0.3</v>
      </c>
      <c r="V436" s="121">
        <v>0.7</v>
      </c>
      <c r="W436" s="158" t="s">
        <v>35</v>
      </c>
      <c r="X436" s="119"/>
      <c r="Y436" s="4">
        <v>27.695595003287313</v>
      </c>
      <c r="Z436" s="121">
        <v>0</v>
      </c>
      <c r="AA436" s="121">
        <v>1</v>
      </c>
      <c r="AB436" s="158" t="s">
        <v>35</v>
      </c>
      <c r="AC436" s="119"/>
      <c r="AD436" s="120" t="s">
        <v>31</v>
      </c>
      <c r="AE436" s="121">
        <v>0</v>
      </c>
      <c r="AF436" s="121">
        <v>0</v>
      </c>
      <c r="AG436" s="121">
        <v>1</v>
      </c>
      <c r="AH436" s="158" t="s">
        <v>35</v>
      </c>
      <c r="AI436" s="119"/>
      <c r="AJ436" s="158" t="s">
        <v>26</v>
      </c>
      <c r="AK436" s="121">
        <v>0</v>
      </c>
      <c r="AL436" s="121">
        <v>0</v>
      </c>
      <c r="AM436" s="121">
        <v>1</v>
      </c>
      <c r="AN436" s="158" t="s">
        <v>35</v>
      </c>
      <c r="AP436" s="158" t="s">
        <v>27</v>
      </c>
      <c r="AQ436" s="121">
        <v>0</v>
      </c>
      <c r="AR436" s="121">
        <v>0</v>
      </c>
      <c r="AS436" s="121">
        <v>1</v>
      </c>
      <c r="AT436" s="158" t="s">
        <v>35</v>
      </c>
      <c r="AU436" s="119"/>
      <c r="AV436" s="158" t="s">
        <v>28</v>
      </c>
      <c r="AW436" s="121">
        <v>0</v>
      </c>
      <c r="AX436" s="121">
        <v>0</v>
      </c>
      <c r="AY436" s="121">
        <v>1</v>
      </c>
      <c r="AZ436" s="158" t="s">
        <v>35</v>
      </c>
    </row>
    <row r="437" spans="3:52" x14ac:dyDescent="0.3">
      <c r="F437" s="119"/>
      <c r="G437" s="119" t="s">
        <v>35</v>
      </c>
      <c r="H437" s="90">
        <v>2</v>
      </c>
      <c r="I437" s="90">
        <f>((H437)/(D434))*(100)</f>
        <v>25</v>
      </c>
      <c r="M437" s="160">
        <v>13</v>
      </c>
      <c r="N437" s="158">
        <v>52</v>
      </c>
      <c r="O437" s="121">
        <v>0</v>
      </c>
      <c r="P437" s="121">
        <v>1</v>
      </c>
      <c r="Q437" s="158" t="s">
        <v>30</v>
      </c>
      <c r="R437" s="119"/>
      <c r="S437" s="160">
        <v>13</v>
      </c>
      <c r="T437" s="158">
        <v>85</v>
      </c>
      <c r="U437" s="121">
        <v>1</v>
      </c>
      <c r="V437" s="121">
        <v>0</v>
      </c>
      <c r="W437" s="158" t="s">
        <v>30</v>
      </c>
      <c r="X437" s="119"/>
      <c r="Y437" s="4">
        <v>27.028166638556247</v>
      </c>
      <c r="Z437" s="121">
        <v>0</v>
      </c>
      <c r="AA437" s="121">
        <v>1</v>
      </c>
      <c r="AB437" s="158" t="s">
        <v>30</v>
      </c>
      <c r="AC437" s="119"/>
      <c r="AD437" s="120" t="s">
        <v>25</v>
      </c>
      <c r="AE437" s="121">
        <v>1</v>
      </c>
      <c r="AF437" s="121">
        <v>1</v>
      </c>
      <c r="AG437" s="121">
        <v>0</v>
      </c>
      <c r="AH437" s="158" t="s">
        <v>30</v>
      </c>
      <c r="AI437" s="119"/>
      <c r="AJ437" s="158" t="s">
        <v>26</v>
      </c>
      <c r="AK437" s="121">
        <v>0</v>
      </c>
      <c r="AL437" s="121">
        <v>0</v>
      </c>
      <c r="AM437" s="121">
        <v>1</v>
      </c>
      <c r="AN437" s="158" t="s">
        <v>30</v>
      </c>
      <c r="AP437" s="158" t="s">
        <v>32</v>
      </c>
      <c r="AQ437" s="121">
        <v>1</v>
      </c>
      <c r="AR437" s="121">
        <v>1</v>
      </c>
      <c r="AS437" s="121">
        <v>0</v>
      </c>
      <c r="AT437" s="158" t="s">
        <v>30</v>
      </c>
      <c r="AU437" s="119"/>
      <c r="AV437" s="158" t="s">
        <v>33</v>
      </c>
      <c r="AW437" s="121">
        <v>1</v>
      </c>
      <c r="AX437" s="121">
        <v>1</v>
      </c>
      <c r="AY437" s="121">
        <v>0</v>
      </c>
      <c r="AZ437" s="158" t="s">
        <v>30</v>
      </c>
    </row>
    <row r="438" spans="3:52" x14ac:dyDescent="0.3">
      <c r="F438" s="128" t="s">
        <v>286</v>
      </c>
      <c r="G438" s="119"/>
      <c r="H438" s="119"/>
      <c r="I438" s="128" t="s">
        <v>282</v>
      </c>
      <c r="M438" s="160">
        <v>31</v>
      </c>
      <c r="N438" s="158">
        <v>85</v>
      </c>
      <c r="O438" s="121">
        <v>0</v>
      </c>
      <c r="P438" s="121">
        <v>1</v>
      </c>
      <c r="Q438" s="158" t="s">
        <v>35</v>
      </c>
      <c r="R438" s="119"/>
      <c r="S438" s="160">
        <v>31</v>
      </c>
      <c r="T438" s="158">
        <v>68</v>
      </c>
      <c r="U438" s="121">
        <v>1</v>
      </c>
      <c r="V438" s="121">
        <v>0</v>
      </c>
      <c r="W438" s="158" t="s">
        <v>35</v>
      </c>
      <c r="X438" s="119"/>
      <c r="Y438" s="4">
        <v>24.582560296846012</v>
      </c>
      <c r="Z438" s="121">
        <v>0.26860441146155423</v>
      </c>
      <c r="AA438" s="121">
        <v>0.73139558853844577</v>
      </c>
      <c r="AB438" s="158" t="s">
        <v>35</v>
      </c>
      <c r="AC438" s="119"/>
      <c r="AD438" s="120" t="s">
        <v>31</v>
      </c>
      <c r="AE438" s="121">
        <v>0</v>
      </c>
      <c r="AF438" s="121">
        <v>0</v>
      </c>
      <c r="AG438" s="121">
        <v>1</v>
      </c>
      <c r="AH438" s="158" t="s">
        <v>35</v>
      </c>
      <c r="AI438" s="119"/>
      <c r="AJ438" s="158" t="s">
        <v>39</v>
      </c>
      <c r="AK438" s="121">
        <v>1</v>
      </c>
      <c r="AL438" s="121">
        <v>1</v>
      </c>
      <c r="AM438" s="121">
        <v>0</v>
      </c>
      <c r="AN438" s="158" t="s">
        <v>35</v>
      </c>
      <c r="AP438" s="158" t="s">
        <v>27</v>
      </c>
      <c r="AQ438" s="121">
        <v>0</v>
      </c>
      <c r="AR438" s="121">
        <v>0</v>
      </c>
      <c r="AS438" s="121">
        <v>1</v>
      </c>
      <c r="AT438" s="158" t="s">
        <v>35</v>
      </c>
      <c r="AU438" s="119"/>
      <c r="AV438" s="158" t="s">
        <v>28</v>
      </c>
      <c r="AW438" s="121">
        <v>0</v>
      </c>
      <c r="AX438" s="121">
        <v>0</v>
      </c>
      <c r="AY438" s="121">
        <v>1</v>
      </c>
      <c r="AZ438" s="158" t="s">
        <v>35</v>
      </c>
    </row>
    <row r="439" spans="3:52" x14ac:dyDescent="0.3">
      <c r="F439" s="119" t="s">
        <v>130</v>
      </c>
      <c r="G439" s="119" t="s">
        <v>36</v>
      </c>
      <c r="H439" s="119">
        <v>0</v>
      </c>
      <c r="I439" s="119">
        <f>((H439)/(K432))*(100)</f>
        <v>0</v>
      </c>
      <c r="M439" s="160">
        <v>35</v>
      </c>
      <c r="N439" s="158">
        <v>70</v>
      </c>
      <c r="O439" s="121">
        <v>0</v>
      </c>
      <c r="P439" s="121">
        <v>1</v>
      </c>
      <c r="Q439" s="158" t="s">
        <v>30</v>
      </c>
      <c r="R439" s="119"/>
      <c r="S439" s="160">
        <v>35</v>
      </c>
      <c r="T439" s="158">
        <v>78</v>
      </c>
      <c r="U439" s="121">
        <v>1</v>
      </c>
      <c r="V439" s="121">
        <v>0</v>
      </c>
      <c r="W439" s="158" t="s">
        <v>30</v>
      </c>
      <c r="X439" s="119"/>
      <c r="Y439" s="4">
        <v>20.730013886133701</v>
      </c>
      <c r="Z439" s="121">
        <v>0.69666512376292211</v>
      </c>
      <c r="AA439" s="121">
        <v>0.30333487623707789</v>
      </c>
      <c r="AB439" s="158" t="s">
        <v>30</v>
      </c>
      <c r="AC439" s="119"/>
      <c r="AD439" s="120" t="s">
        <v>31</v>
      </c>
      <c r="AE439" s="121">
        <v>0</v>
      </c>
      <c r="AF439" s="121">
        <v>0</v>
      </c>
      <c r="AG439" s="121">
        <v>1</v>
      </c>
      <c r="AH439" s="158" t="s">
        <v>30</v>
      </c>
      <c r="AI439" s="119"/>
      <c r="AJ439" s="158" t="s">
        <v>26</v>
      </c>
      <c r="AK439" s="121">
        <v>0</v>
      </c>
      <c r="AL439" s="121">
        <v>0</v>
      </c>
      <c r="AM439" s="121">
        <v>1</v>
      </c>
      <c r="AN439" s="158" t="s">
        <v>30</v>
      </c>
      <c r="AP439" s="158" t="s">
        <v>27</v>
      </c>
      <c r="AQ439" s="121">
        <v>0</v>
      </c>
      <c r="AR439" s="121">
        <v>0</v>
      </c>
      <c r="AS439" s="121">
        <v>1</v>
      </c>
      <c r="AT439" s="158" t="s">
        <v>30</v>
      </c>
      <c r="AU439" s="119"/>
      <c r="AV439" s="158" t="s">
        <v>33</v>
      </c>
      <c r="AW439" s="121">
        <v>1</v>
      </c>
      <c r="AX439" s="121">
        <v>1</v>
      </c>
      <c r="AY439" s="121">
        <v>0</v>
      </c>
      <c r="AZ439" s="158" t="s">
        <v>30</v>
      </c>
    </row>
    <row r="440" spans="3:52" x14ac:dyDescent="0.3">
      <c r="F440" s="119"/>
      <c r="G440" s="90" t="s">
        <v>30</v>
      </c>
      <c r="H440" s="90">
        <v>4</v>
      </c>
      <c r="I440" s="90">
        <f>((H440)/(K432))*(100)</f>
        <v>66.666666666666657</v>
      </c>
      <c r="M440" s="160">
        <v>36</v>
      </c>
      <c r="N440" s="158">
        <v>32</v>
      </c>
      <c r="O440" s="121">
        <v>0.7</v>
      </c>
      <c r="P440" s="121">
        <v>0.3</v>
      </c>
      <c r="Q440" s="158" t="s">
        <v>36</v>
      </c>
      <c r="R440" s="119"/>
      <c r="S440" s="160">
        <v>36</v>
      </c>
      <c r="T440" s="158">
        <v>88</v>
      </c>
      <c r="U440" s="121">
        <v>1</v>
      </c>
      <c r="V440" s="121">
        <v>0</v>
      </c>
      <c r="W440" s="158" t="s">
        <v>36</v>
      </c>
      <c r="X440" s="119"/>
      <c r="Y440" s="4">
        <v>26.360544217687082</v>
      </c>
      <c r="Z440" s="121">
        <v>7.1050642479213152E-2</v>
      </c>
      <c r="AA440" s="121">
        <v>0.92894935752078689</v>
      </c>
      <c r="AB440" s="158" t="s">
        <v>36</v>
      </c>
      <c r="AC440" s="119"/>
      <c r="AD440" s="158" t="s">
        <v>25</v>
      </c>
      <c r="AE440" s="121">
        <v>1</v>
      </c>
      <c r="AF440" s="121">
        <v>1</v>
      </c>
      <c r="AG440" s="121">
        <v>0</v>
      </c>
      <c r="AH440" s="158" t="s">
        <v>36</v>
      </c>
      <c r="AI440" s="119"/>
      <c r="AJ440" s="158" t="s">
        <v>26</v>
      </c>
      <c r="AK440" s="121">
        <v>0</v>
      </c>
      <c r="AL440" s="121">
        <v>0</v>
      </c>
      <c r="AM440" s="121">
        <v>1</v>
      </c>
      <c r="AN440" s="158" t="s">
        <v>36</v>
      </c>
      <c r="AP440" s="158" t="s">
        <v>27</v>
      </c>
      <c r="AQ440" s="121">
        <v>0</v>
      </c>
      <c r="AR440" s="121">
        <v>0</v>
      </c>
      <c r="AS440" s="121">
        <v>1</v>
      </c>
      <c r="AT440" s="158" t="s">
        <v>36</v>
      </c>
      <c r="AU440" s="119"/>
      <c r="AV440" s="158" t="s">
        <v>28</v>
      </c>
      <c r="AW440" s="121">
        <v>0</v>
      </c>
      <c r="AX440" s="121">
        <v>0</v>
      </c>
      <c r="AY440" s="121">
        <v>1</v>
      </c>
      <c r="AZ440" s="158" t="s">
        <v>36</v>
      </c>
    </row>
    <row r="441" spans="3:52" x14ac:dyDescent="0.3">
      <c r="F441" s="119"/>
      <c r="G441" s="119" t="s">
        <v>35</v>
      </c>
      <c r="H441" s="119">
        <v>2</v>
      </c>
      <c r="I441" s="119">
        <f>((H441)/(K432))*(100)</f>
        <v>33.333333333333329</v>
      </c>
      <c r="M441" s="160">
        <v>58</v>
      </c>
      <c r="N441" s="158">
        <v>65</v>
      </c>
      <c r="O441" s="121">
        <v>0</v>
      </c>
      <c r="P441" s="121">
        <v>1</v>
      </c>
      <c r="Q441" s="158" t="s">
        <v>30</v>
      </c>
      <c r="R441" s="119"/>
      <c r="S441" s="160">
        <v>58</v>
      </c>
      <c r="T441" s="158">
        <v>91</v>
      </c>
      <c r="U441" s="121">
        <v>0.9</v>
      </c>
      <c r="V441" s="121">
        <v>0.1</v>
      </c>
      <c r="W441" s="158" t="s">
        <v>30</v>
      </c>
      <c r="X441" s="119"/>
      <c r="Y441" s="4">
        <v>24.765704392336936</v>
      </c>
      <c r="Z441" s="121">
        <v>0.24825506751811824</v>
      </c>
      <c r="AA441" s="121">
        <v>0.75174493248188179</v>
      </c>
      <c r="AB441" s="158" t="s">
        <v>30</v>
      </c>
      <c r="AC441" s="119"/>
      <c r="AD441" s="158" t="s">
        <v>25</v>
      </c>
      <c r="AE441" s="121">
        <v>1</v>
      </c>
      <c r="AF441" s="121">
        <v>1</v>
      </c>
      <c r="AG441" s="121">
        <v>0</v>
      </c>
      <c r="AH441" s="158" t="s">
        <v>30</v>
      </c>
      <c r="AI441" s="119"/>
      <c r="AJ441" s="158" t="s">
        <v>26</v>
      </c>
      <c r="AK441" s="121">
        <v>0</v>
      </c>
      <c r="AL441" s="121">
        <v>0</v>
      </c>
      <c r="AM441" s="121">
        <v>1</v>
      </c>
      <c r="AN441" s="158" t="s">
        <v>30</v>
      </c>
      <c r="AP441" s="158" t="s">
        <v>27</v>
      </c>
      <c r="AQ441" s="121">
        <v>0</v>
      </c>
      <c r="AR441" s="121">
        <v>0</v>
      </c>
      <c r="AS441" s="121">
        <v>1</v>
      </c>
      <c r="AT441" s="158" t="s">
        <v>30</v>
      </c>
      <c r="AU441" s="119"/>
      <c r="AV441" s="158" t="s">
        <v>33</v>
      </c>
      <c r="AW441" s="121">
        <v>1</v>
      </c>
      <c r="AX441" s="121">
        <v>1</v>
      </c>
      <c r="AY441" s="121">
        <v>0</v>
      </c>
      <c r="AZ441" s="158" t="s">
        <v>30</v>
      </c>
    </row>
    <row r="442" spans="3:52" x14ac:dyDescent="0.3">
      <c r="M442" s="160">
        <v>59</v>
      </c>
      <c r="N442" s="158">
        <v>23</v>
      </c>
      <c r="O442" s="121">
        <v>1</v>
      </c>
      <c r="P442" s="121">
        <v>0</v>
      </c>
      <c r="Q442" s="158" t="s">
        <v>36</v>
      </c>
      <c r="R442" s="119"/>
      <c r="S442" s="160">
        <v>59</v>
      </c>
      <c r="T442" s="158">
        <v>85</v>
      </c>
      <c r="U442" s="121">
        <v>1</v>
      </c>
      <c r="V442" s="121">
        <v>0</v>
      </c>
      <c r="W442" s="158" t="s">
        <v>36</v>
      </c>
      <c r="X442" s="119"/>
      <c r="Y442" s="4">
        <v>22.977777777777778</v>
      </c>
      <c r="Z442" s="121">
        <v>0.44691358024691358</v>
      </c>
      <c r="AA442" s="121">
        <v>0.55308641975308648</v>
      </c>
      <c r="AB442" s="158" t="s">
        <v>36</v>
      </c>
      <c r="AC442" s="119"/>
      <c r="AD442" s="158" t="s">
        <v>31</v>
      </c>
      <c r="AE442" s="121">
        <v>0</v>
      </c>
      <c r="AF442" s="121">
        <v>0</v>
      </c>
      <c r="AG442" s="121">
        <v>1</v>
      </c>
      <c r="AH442" s="158" t="s">
        <v>36</v>
      </c>
      <c r="AI442" s="119"/>
      <c r="AJ442" s="158" t="s">
        <v>26</v>
      </c>
      <c r="AK442" s="121">
        <v>0</v>
      </c>
      <c r="AL442" s="121">
        <v>0</v>
      </c>
      <c r="AM442" s="121">
        <v>1</v>
      </c>
      <c r="AN442" s="158" t="s">
        <v>36</v>
      </c>
      <c r="AP442" s="158" t="s">
        <v>27</v>
      </c>
      <c r="AQ442" s="121">
        <v>0</v>
      </c>
      <c r="AR442" s="121">
        <v>0</v>
      </c>
      <c r="AS442" s="121">
        <v>1</v>
      </c>
      <c r="AT442" s="158" t="s">
        <v>36</v>
      </c>
      <c r="AU442" s="119"/>
      <c r="AV442" s="158" t="s">
        <v>28</v>
      </c>
      <c r="AW442" s="121">
        <v>0</v>
      </c>
      <c r="AX442" s="121">
        <v>0</v>
      </c>
      <c r="AY442" s="121">
        <v>1</v>
      </c>
      <c r="AZ442" s="158" t="s">
        <v>36</v>
      </c>
    </row>
    <row r="443" spans="3:52" x14ac:dyDescent="0.3">
      <c r="N443" s="121" t="s">
        <v>64</v>
      </c>
      <c r="O443" s="121">
        <f>SUM(O435:O442)</f>
        <v>1.7</v>
      </c>
      <c r="P443" s="121">
        <f>SUM(P435:P442)</f>
        <v>6.3</v>
      </c>
      <c r="T443" s="121" t="s">
        <v>64</v>
      </c>
      <c r="U443" s="121">
        <f>SUM(U435:U442)</f>
        <v>7.2</v>
      </c>
      <c r="V443" s="121">
        <f>SUM(V435:V442)</f>
        <v>0.79999999999999993</v>
      </c>
      <c r="Y443" s="121" t="s">
        <v>64</v>
      </c>
      <c r="Z443" s="121">
        <f>SUM(Z435:Z442)</f>
        <v>2.1093853715688127</v>
      </c>
      <c r="AA443" s="121">
        <f>SUM(AA435:AA442)</f>
        <v>5.8906146284311873</v>
      </c>
      <c r="AE443" s="121" t="s">
        <v>64</v>
      </c>
      <c r="AF443" s="121">
        <f>SUM(AF435:AF442)</f>
        <v>4</v>
      </c>
      <c r="AG443" s="121">
        <f>SUM(AG435:AG442)</f>
        <v>4</v>
      </c>
      <c r="AK443" s="121" t="s">
        <v>64</v>
      </c>
      <c r="AL443" s="121">
        <f>SUM(AL435:AL442)</f>
        <v>1</v>
      </c>
      <c r="AM443" s="121">
        <f>SUM(AM435:AM442)</f>
        <v>7</v>
      </c>
      <c r="AQ443" s="121" t="s">
        <v>64</v>
      </c>
      <c r="AR443" s="121">
        <f>SUM(AR435:AR442)</f>
        <v>1</v>
      </c>
      <c r="AS443" s="121">
        <f>SUM(AS435:AS442)</f>
        <v>7</v>
      </c>
      <c r="AW443" s="121" t="s">
        <v>64</v>
      </c>
      <c r="AX443" s="121">
        <f>SUM(AX435:AX442)</f>
        <v>3</v>
      </c>
      <c r="AY443" s="121">
        <f>SUM(AY435:AY442)</f>
        <v>5</v>
      </c>
    </row>
    <row r="444" spans="3:52" x14ac:dyDescent="0.3">
      <c r="N444" s="141" t="s">
        <v>36</v>
      </c>
      <c r="O444" s="146">
        <f>SUMIF(Q435:Q442,N444,O435:O442)</f>
        <v>1.7</v>
      </c>
      <c r="P444" s="141">
        <f>SUMIF(Q435:Q442,N444,P435:P442)</f>
        <v>0.3</v>
      </c>
      <c r="T444" s="141" t="s">
        <v>36</v>
      </c>
      <c r="U444" s="146">
        <f>SUMIF(W435:W442,T444,U435:U442)</f>
        <v>2</v>
      </c>
      <c r="V444" s="141">
        <f>SUMIF(W435:W442,T444,V435:V442)</f>
        <v>0</v>
      </c>
      <c r="Y444" s="141" t="s">
        <v>36</v>
      </c>
      <c r="Z444" s="146">
        <f>SUMIF(AB435:AB442,Y444,Z435:Z442)</f>
        <v>0.51796422272612674</v>
      </c>
      <c r="AA444" s="141">
        <f>SUMIF(AB435:AB442,Y444,AA435:AA442)</f>
        <v>1.4820357772738735</v>
      </c>
      <c r="AE444" s="141" t="s">
        <v>36</v>
      </c>
      <c r="AF444" s="146">
        <f>SUMIF(AH435:AH442,AE444,AF435:AF442)</f>
        <v>1</v>
      </c>
      <c r="AG444" s="141">
        <f>SUMIF(AH435:AH442,AE444,AG435:AG442)</f>
        <v>1</v>
      </c>
      <c r="AK444" s="141" t="s">
        <v>36</v>
      </c>
      <c r="AL444" s="146">
        <f>SUMIF(AN435:AN442,AK444,AL435:AL442)</f>
        <v>0</v>
      </c>
      <c r="AM444" s="141">
        <f>SUMIF(AN435:AN442,AK444,AM435:AM442)</f>
        <v>2</v>
      </c>
      <c r="AQ444" s="141" t="s">
        <v>36</v>
      </c>
      <c r="AR444" s="146">
        <f>SUMIF(AT435:AT442,AQ444,AR435:AR442)</f>
        <v>0</v>
      </c>
      <c r="AS444" s="141">
        <f>SUMIF(AT435:AT442,AQ444,AS435:AS442)</f>
        <v>2</v>
      </c>
      <c r="AW444" s="141" t="s">
        <v>36</v>
      </c>
      <c r="AX444" s="146">
        <f>SUMIF(AZ435:AZ442,AW444,AX435:AX442)</f>
        <v>0</v>
      </c>
      <c r="AY444" s="141">
        <f>SUMIF(AZ435:AZ442,AW444,AY435:AY442)</f>
        <v>2</v>
      </c>
    </row>
    <row r="445" spans="3:52" x14ac:dyDescent="0.3">
      <c r="N445" s="141" t="s">
        <v>30</v>
      </c>
      <c r="O445" s="146">
        <f>SUMIF(Q435:Q442,N445,O435:O442)</f>
        <v>0</v>
      </c>
      <c r="P445" s="141">
        <f>SUMIF(Q435:Q442,N445,P435:P442)</f>
        <v>4</v>
      </c>
      <c r="T445" s="141" t="s">
        <v>30</v>
      </c>
      <c r="U445" s="146">
        <f>SUMIF(W435:W442,T445,U435:U442)</f>
        <v>3.9</v>
      </c>
      <c r="V445" s="141">
        <f>SUMIF(W435:W442,T445,V435:V442)</f>
        <v>0.1</v>
      </c>
      <c r="Y445" s="141" t="s">
        <v>30</v>
      </c>
      <c r="Z445" s="146">
        <f>SUMIF(AB435:AB442,Y445,Z435:Z442)</f>
        <v>1.3228167373811319</v>
      </c>
      <c r="AA445" s="141">
        <f>SUMIF(AB435:AB442,Y445,AA435:AA442)</f>
        <v>2.6771832626188683</v>
      </c>
      <c r="AE445" s="141" t="s">
        <v>30</v>
      </c>
      <c r="AF445" s="146">
        <f>SUMIF(AH435:AH442,AE445,AF435:AF442)</f>
        <v>3</v>
      </c>
      <c r="AG445" s="141">
        <f>SUMIF(AH435:AH442,AE445,AG435:AG442)</f>
        <v>1</v>
      </c>
      <c r="AK445" s="141" t="s">
        <v>30</v>
      </c>
      <c r="AL445" s="146">
        <f>SUMIF(AN435:AN442,AK445,AL435:AL442)</f>
        <v>0</v>
      </c>
      <c r="AM445" s="141">
        <f>SUMIF(AN435:AN442,AK445,AM435:AM442)</f>
        <v>4</v>
      </c>
      <c r="AQ445" s="141" t="s">
        <v>30</v>
      </c>
      <c r="AR445" s="146">
        <f>SUMIF(AT435:AT442,AQ445,AR435:AR442)</f>
        <v>1</v>
      </c>
      <c r="AS445" s="141">
        <f>SUMIF(AT435:AT442,AQ445,AS435:AS442)</f>
        <v>3</v>
      </c>
      <c r="AW445" s="141" t="s">
        <v>30</v>
      </c>
      <c r="AX445" s="146">
        <f>SUMIF(AZ435:AZ442,AW445,AX435:AX442)</f>
        <v>3</v>
      </c>
      <c r="AY445" s="141">
        <f>SUMIF(AZ435:AZ442,AW445,AY435:AY442)</f>
        <v>1</v>
      </c>
    </row>
    <row r="446" spans="3:52" x14ac:dyDescent="0.3">
      <c r="N446" s="141" t="s">
        <v>35</v>
      </c>
      <c r="O446" s="146">
        <f>SUMIF(Q429:Q442,N446,O429:O442)</f>
        <v>0</v>
      </c>
      <c r="P446" s="141">
        <f>SUMIF(Q435:Q442,N446,P435:P442)</f>
        <v>2</v>
      </c>
      <c r="T446" s="141" t="s">
        <v>35</v>
      </c>
      <c r="U446" s="146">
        <f>SUMIF(W429:W442,T446,U429:U442)</f>
        <v>1.3</v>
      </c>
      <c r="V446" s="141">
        <f>SUMIF(W435:W442,T446,V435:V442)</f>
        <v>0.7</v>
      </c>
      <c r="Y446" s="141" t="s">
        <v>35</v>
      </c>
      <c r="Z446" s="146">
        <f>SUMIF(AB429:AB442,Y446,Z429:Z442)</f>
        <v>0.26860441146155423</v>
      </c>
      <c r="AA446" s="141">
        <f>SUMIF(AB435:AB442,Y446,AA435:AA442)</f>
        <v>1.7313955885384458</v>
      </c>
      <c r="AE446" s="141" t="s">
        <v>35</v>
      </c>
      <c r="AF446" s="146">
        <f>SUMIF(AH429:AH442,AE446,AF429:AF442)</f>
        <v>0</v>
      </c>
      <c r="AG446" s="141">
        <f>SUMIF(AH435:AH442,AE446,AG435:AG442)</f>
        <v>2</v>
      </c>
      <c r="AK446" s="141" t="s">
        <v>35</v>
      </c>
      <c r="AL446" s="146">
        <f>SUMIF(AN429:AN442,AK446,AL429:AL442)</f>
        <v>1</v>
      </c>
      <c r="AM446" s="141">
        <f>SUMIF(AN435:AN442,AK446,AM435:AM442)</f>
        <v>1</v>
      </c>
      <c r="AQ446" s="141" t="s">
        <v>35</v>
      </c>
      <c r="AR446" s="146">
        <f>SUMIF(AT429:AT442,AQ446,AR429:AR442)</f>
        <v>0</v>
      </c>
      <c r="AS446" s="141">
        <f>SUMIF(AT435:AT442,AQ446,AS435:AS442)</f>
        <v>2</v>
      </c>
      <c r="AW446" s="141" t="s">
        <v>35</v>
      </c>
      <c r="AX446" s="146">
        <f>SUMIF(AZ429:AZ442,AW446,AX429:AX442)</f>
        <v>0</v>
      </c>
      <c r="AY446" s="141">
        <f>SUMIF(AZ435:AZ442,AW446,AY435:AY442)</f>
        <v>2</v>
      </c>
    </row>
    <row r="449" spans="1:46" x14ac:dyDescent="0.3">
      <c r="D449" s="161" t="s">
        <v>283</v>
      </c>
      <c r="E449" s="153">
        <v>0.7</v>
      </c>
      <c r="F449" s="119"/>
      <c r="G449" s="119"/>
      <c r="M449" s="219" t="s">
        <v>270</v>
      </c>
      <c r="N449" s="219"/>
      <c r="O449" s="165" t="s">
        <v>55</v>
      </c>
      <c r="P449" s="123">
        <f>-(O444/O443)*LOG((O444/O443),2)-(0)-(0)</f>
        <v>0</v>
      </c>
      <c r="Q449" s="165" t="s">
        <v>43</v>
      </c>
      <c r="R449" s="123">
        <f>-(P444/P443)*LOG((P444/P443),2)-(P445/P443)*LOG((P445/P443),2)-(P446/P443)*LOG((P446/P443),2)</f>
        <v>1.1507628886522148</v>
      </c>
      <c r="S449" s="145"/>
      <c r="T449" s="123"/>
      <c r="V449" s="232" t="s">
        <v>261</v>
      </c>
      <c r="W449" s="233"/>
      <c r="X449" s="234"/>
      <c r="Y449" s="151">
        <f>-((2/8)*LOG((2/8),2))-((4/8)*LOG((4/8),2))-((2/8)*LOG((2/8),2))</f>
        <v>1.5</v>
      </c>
    </row>
    <row r="450" spans="1:46" x14ac:dyDescent="0.3">
      <c r="D450" s="128" t="s">
        <v>111</v>
      </c>
      <c r="E450" s="119"/>
      <c r="F450" s="119"/>
      <c r="G450" s="128" t="s">
        <v>282</v>
      </c>
      <c r="M450" s="219" t="s">
        <v>272</v>
      </c>
      <c r="N450" s="219"/>
      <c r="O450" s="165" t="s">
        <v>44</v>
      </c>
      <c r="P450" s="123">
        <f>-(U444/U443)*LOG((U444/U443),2)-(U445/U443)*LOG((U445/U443),2)-(U446/U443)*LOG((U446/U443),2)</f>
        <v>1.4383282685366301</v>
      </c>
      <c r="Q450" s="165" t="s">
        <v>258</v>
      </c>
      <c r="R450" s="123">
        <f>-(0)-(V445/V443)*LOG((V445/V443),2)-(V446/V443)*LOG((V446/V443),2)</f>
        <v>0.54356444319959651</v>
      </c>
      <c r="S450" s="165"/>
      <c r="T450" s="123"/>
      <c r="V450" s="235" t="s">
        <v>65</v>
      </c>
      <c r="W450" s="236"/>
      <c r="X450" s="237"/>
      <c r="Y450" s="152">
        <f>(Y449)-((O443/8)*P449)-((P443/8)*R449)</f>
        <v>0.5937742251863809</v>
      </c>
    </row>
    <row r="451" spans="1:46" x14ac:dyDescent="0.3">
      <c r="D451" s="30" t="s">
        <v>130</v>
      </c>
      <c r="E451" s="30" t="s">
        <v>36</v>
      </c>
      <c r="F451" s="30">
        <v>2</v>
      </c>
      <c r="G451" s="30">
        <f>((F451)/(C465))*(100)</f>
        <v>100</v>
      </c>
      <c r="M451" s="219" t="s">
        <v>273</v>
      </c>
      <c r="N451" s="219"/>
      <c r="O451" s="165" t="s">
        <v>44</v>
      </c>
      <c r="P451" s="123">
        <f>-(Z444/Z443)*LOG((Z444/Z443),2)-(Z445/Z443)*LOG((Z445/Z443),2)-(Z446/Z443)*LOG((Z446/Z443),2)</f>
        <v>1.2982494866447722</v>
      </c>
      <c r="Q451" s="165" t="s">
        <v>47</v>
      </c>
      <c r="R451" s="123">
        <f>-(AA444/AA443)*LOG((AA444/AA443),2)-(AA445/AA443)*LOG((AA445/AA443),2)-(AA446/AA443)*LOG((AA446/AA443),2)</f>
        <v>1.5371589461946473</v>
      </c>
      <c r="S451" s="165"/>
      <c r="T451" s="123"/>
      <c r="V451" s="229" t="s">
        <v>263</v>
      </c>
      <c r="W451" s="230"/>
      <c r="X451" s="231"/>
      <c r="Y451" s="151">
        <f>(Y449)-((U443/8)*P450)-((V443/8)*R450)</f>
        <v>0.15114811399707331</v>
      </c>
    </row>
    <row r="452" spans="1:46" x14ac:dyDescent="0.3">
      <c r="D452" s="119"/>
      <c r="E452" s="119" t="s">
        <v>30</v>
      </c>
      <c r="F452" s="90">
        <v>0</v>
      </c>
      <c r="G452" s="90">
        <f>((F452)/(C465))*(100)</f>
        <v>0</v>
      </c>
      <c r="M452" s="219" t="s">
        <v>274</v>
      </c>
      <c r="N452" s="219"/>
      <c r="O452" s="165" t="s">
        <v>25</v>
      </c>
      <c r="P452" s="123">
        <f>-(AF444/AF443)*LOG((AF444/AF443),2)-(AF445/AF443)*LOG((AF445/AF443),2)-(0)</f>
        <v>0.81127812445913283</v>
      </c>
      <c r="Q452" s="165" t="s">
        <v>34</v>
      </c>
      <c r="R452" s="123">
        <f>-(AG444/AG443)*LOG((AG444/AG443),2)-(AG445/AG443)*LOG((AG445/AG443),2)-(AG446/AG443)*LOG((AG446/AG443),2)</f>
        <v>1.5</v>
      </c>
      <c r="S452" s="165"/>
      <c r="T452" s="123"/>
      <c r="V452" s="229" t="s">
        <v>67</v>
      </c>
      <c r="W452" s="230"/>
      <c r="X452" s="231"/>
      <c r="Y452" s="151">
        <f>(Y449)-((Z443/8)*P451)-((AA443/8)*R451)</f>
        <v>2.58350686933424E-2</v>
      </c>
    </row>
    <row r="453" spans="1:46" x14ac:dyDescent="0.3">
      <c r="D453" s="119"/>
      <c r="E453" s="119" t="s">
        <v>35</v>
      </c>
      <c r="F453" s="90">
        <v>0</v>
      </c>
      <c r="G453" s="90">
        <f>((F453)/(C465))*(100)</f>
        <v>0</v>
      </c>
      <c r="M453" s="219" t="s">
        <v>275</v>
      </c>
      <c r="N453" s="219"/>
      <c r="O453" s="165" t="s">
        <v>26</v>
      </c>
      <c r="P453" s="123">
        <f>-(0)-(0)-(AL446/AL443)*LOG((AL446/AL443),2)</f>
        <v>0</v>
      </c>
      <c r="Q453" s="165" t="s">
        <v>39</v>
      </c>
      <c r="R453" s="123">
        <f>-(AM444/AM443)*LOG((AM444/AM443),2)-(AM445/AM443)*LOG((AM445/AM443),2)-(AM446/AM443)*LOG((AM446/AM443),2)</f>
        <v>1.3787834934861756</v>
      </c>
      <c r="S453" s="165"/>
      <c r="T453" s="123"/>
      <c r="V453" s="229" t="s">
        <v>264</v>
      </c>
      <c r="W453" s="230"/>
      <c r="X453" s="231"/>
      <c r="Y453" s="151">
        <f>(Y449)-((AF443/8)*P452)-((AG443/8)*R452)</f>
        <v>0.34436093777043353</v>
      </c>
    </row>
    <row r="454" spans="1:46" x14ac:dyDescent="0.3">
      <c r="D454" s="128" t="s">
        <v>112</v>
      </c>
      <c r="E454" s="119"/>
      <c r="F454" s="119"/>
      <c r="G454" s="128" t="s">
        <v>282</v>
      </c>
      <c r="M454" s="219" t="s">
        <v>276</v>
      </c>
      <c r="N454" s="219"/>
      <c r="O454" s="149" t="s">
        <v>27</v>
      </c>
      <c r="P454" s="123">
        <f>-(0)-(AR445/AR443)*LOG((AR445/AR443),2)-(0)</f>
        <v>0</v>
      </c>
      <c r="Q454" s="149" t="s">
        <v>32</v>
      </c>
      <c r="R454" s="123">
        <f>-(AS444/AS443)*LOG((AS444/AS443),2)-(AS445/AS443)*LOG((AS445/AS443),2)-(AS446/AS443)*LOG((AS446/AS443),2)</f>
        <v>1.5566567074628228</v>
      </c>
      <c r="S454" s="165"/>
      <c r="T454" s="123"/>
      <c r="V454" s="229" t="s">
        <v>265</v>
      </c>
      <c r="W454" s="230"/>
      <c r="X454" s="231"/>
      <c r="Y454" s="151">
        <f>(Y449)-((AL443/8)*P453)-((AM443/8)*R453)</f>
        <v>0.29356444319959629</v>
      </c>
    </row>
    <row r="455" spans="1:46" x14ac:dyDescent="0.3">
      <c r="D455" s="119" t="s">
        <v>130</v>
      </c>
      <c r="E455" s="119" t="s">
        <v>36</v>
      </c>
      <c r="F455" s="119">
        <v>1</v>
      </c>
      <c r="G455" s="119">
        <f>((F455)/(I469))*(100)</f>
        <v>14.285714285714285</v>
      </c>
      <c r="M455" s="219" t="s">
        <v>277</v>
      </c>
      <c r="N455" s="219"/>
      <c r="O455" s="149" t="s">
        <v>28</v>
      </c>
      <c r="P455" s="123">
        <f>-(0)-(AX445/AX443)*LOG((AX445/AX443),2)-(0)</f>
        <v>0</v>
      </c>
      <c r="Q455" s="149" t="s">
        <v>33</v>
      </c>
      <c r="R455" s="123">
        <f>-(AY444/AY443)*LOG((AY444/AY443),2)-(AY445/AY443)*LOG((AY445/AY443),2)-(AY446/AY443)*LOG((AY446/AY443),2)</f>
        <v>1.5219280948873621</v>
      </c>
      <c r="S455" s="165"/>
      <c r="T455" s="123"/>
      <c r="V455" s="229" t="s">
        <v>266</v>
      </c>
      <c r="W455" s="230"/>
      <c r="X455" s="231"/>
      <c r="Y455" s="228">
        <f>(Y449)-((AR443/8)*P454)-((AS443/8)*R454)</f>
        <v>0.13792538097003004</v>
      </c>
    </row>
    <row r="456" spans="1:46" x14ac:dyDescent="0.3">
      <c r="D456" s="119"/>
      <c r="E456" s="90" t="s">
        <v>30</v>
      </c>
      <c r="F456" s="90">
        <v>4</v>
      </c>
      <c r="G456" s="90">
        <f>((F456)/(I469))*(100)</f>
        <v>57.142857142857139</v>
      </c>
      <c r="V456" s="229" t="s">
        <v>267</v>
      </c>
      <c r="W456" s="230"/>
      <c r="X456" s="231"/>
      <c r="Y456" s="228">
        <f>(Y449)-((AX443/8)*P455)-((AY443/8)*R455)</f>
        <v>0.54879494069539869</v>
      </c>
    </row>
    <row r="457" spans="1:46" x14ac:dyDescent="0.3">
      <c r="D457" s="119"/>
      <c r="E457" s="119" t="s">
        <v>35</v>
      </c>
      <c r="F457" s="119">
        <v>2</v>
      </c>
      <c r="G457" s="119">
        <f>((F457)/(I469))*(100)</f>
        <v>28.571428571428569</v>
      </c>
    </row>
    <row r="458" spans="1:46" x14ac:dyDescent="0.3">
      <c r="G458" s="139" t="s">
        <v>77</v>
      </c>
      <c r="H458" s="139" t="s">
        <v>4</v>
      </c>
      <c r="I458" s="139" t="s">
        <v>43</v>
      </c>
      <c r="J458" s="139" t="s">
        <v>66</v>
      </c>
      <c r="M458" s="139" t="s">
        <v>77</v>
      </c>
      <c r="N458" s="139" t="s">
        <v>56</v>
      </c>
      <c r="O458" s="139" t="s">
        <v>44</v>
      </c>
      <c r="P458" s="139" t="s">
        <v>258</v>
      </c>
      <c r="Q458" s="139" t="s">
        <v>66</v>
      </c>
      <c r="R458" s="119"/>
      <c r="S458" s="139" t="s">
        <v>10</v>
      </c>
      <c r="T458" s="139" t="s">
        <v>44</v>
      </c>
      <c r="U458" s="139" t="s">
        <v>47</v>
      </c>
      <c r="V458" s="139" t="s">
        <v>66</v>
      </c>
      <c r="W458" s="119"/>
      <c r="X458" s="139" t="s">
        <v>11</v>
      </c>
      <c r="Y458" s="139" t="s">
        <v>259</v>
      </c>
      <c r="Z458" s="139" t="s">
        <v>25</v>
      </c>
      <c r="AA458" s="139" t="s">
        <v>34</v>
      </c>
      <c r="AB458" s="139" t="s">
        <v>66</v>
      </c>
      <c r="AC458" s="119"/>
      <c r="AD458" s="139" t="s">
        <v>48</v>
      </c>
      <c r="AE458" s="139" t="s">
        <v>259</v>
      </c>
      <c r="AF458" s="139" t="s">
        <v>26</v>
      </c>
      <c r="AG458" s="139" t="s">
        <v>39</v>
      </c>
      <c r="AH458" s="139" t="s">
        <v>66</v>
      </c>
      <c r="AI458" s="119"/>
      <c r="AJ458" s="139" t="s">
        <v>13</v>
      </c>
      <c r="AK458" s="139" t="s">
        <v>259</v>
      </c>
      <c r="AL458" s="166" t="s">
        <v>27</v>
      </c>
      <c r="AM458" s="166" t="s">
        <v>32</v>
      </c>
      <c r="AN458" s="139" t="s">
        <v>66</v>
      </c>
      <c r="AO458" s="119"/>
      <c r="AP458" s="139" t="s">
        <v>52</v>
      </c>
      <c r="AQ458" s="142" t="s">
        <v>259</v>
      </c>
      <c r="AR458" s="166" t="s">
        <v>28</v>
      </c>
      <c r="AS458" s="166" t="s">
        <v>33</v>
      </c>
      <c r="AT458" s="139" t="s">
        <v>66</v>
      </c>
    </row>
    <row r="459" spans="1:46" x14ac:dyDescent="0.3">
      <c r="A459" s="139" t="s">
        <v>77</v>
      </c>
      <c r="B459" s="139" t="s">
        <v>4</v>
      </c>
      <c r="C459" s="139" t="s">
        <v>55</v>
      </c>
      <c r="D459" s="139" t="s">
        <v>66</v>
      </c>
      <c r="G459" s="160">
        <v>1</v>
      </c>
      <c r="H459" s="158">
        <v>52</v>
      </c>
      <c r="I459" s="121">
        <v>1</v>
      </c>
      <c r="J459" s="158" t="s">
        <v>30</v>
      </c>
      <c r="M459" s="160">
        <v>1</v>
      </c>
      <c r="N459" s="158">
        <v>78</v>
      </c>
      <c r="O459" s="121">
        <v>1</v>
      </c>
      <c r="P459" s="121">
        <v>0</v>
      </c>
      <c r="Q459" s="158" t="s">
        <v>30</v>
      </c>
      <c r="R459" s="119"/>
      <c r="S459" s="4">
        <v>23.598931085099178</v>
      </c>
      <c r="T459" s="121">
        <v>0.37789654610009138</v>
      </c>
      <c r="U459" s="121">
        <v>0.62210345389990862</v>
      </c>
      <c r="V459" s="158" t="s">
        <v>30</v>
      </c>
      <c r="W459" s="119"/>
      <c r="X459" s="120" t="s">
        <v>25</v>
      </c>
      <c r="Y459" s="121">
        <v>1</v>
      </c>
      <c r="Z459" s="121">
        <v>1</v>
      </c>
      <c r="AA459" s="121">
        <v>0</v>
      </c>
      <c r="AB459" s="158" t="s">
        <v>30</v>
      </c>
      <c r="AC459" s="119"/>
      <c r="AD459" s="158" t="s">
        <v>26</v>
      </c>
      <c r="AE459" s="121">
        <v>0</v>
      </c>
      <c r="AF459" s="121">
        <v>0</v>
      </c>
      <c r="AG459" s="121">
        <v>1</v>
      </c>
      <c r="AH459" s="158" t="s">
        <v>30</v>
      </c>
      <c r="AI459" s="119"/>
      <c r="AJ459" s="158" t="s">
        <v>27</v>
      </c>
      <c r="AK459" s="121">
        <v>0</v>
      </c>
      <c r="AL459" s="121">
        <v>0</v>
      </c>
      <c r="AM459" s="121">
        <v>1</v>
      </c>
      <c r="AN459" s="158" t="s">
        <v>30</v>
      </c>
      <c r="AO459" s="119"/>
      <c r="AP459" s="158" t="s">
        <v>28</v>
      </c>
      <c r="AQ459" s="121">
        <v>0</v>
      </c>
      <c r="AR459" s="121">
        <v>0</v>
      </c>
      <c r="AS459" s="121">
        <v>1</v>
      </c>
      <c r="AT459" s="158" t="s">
        <v>30</v>
      </c>
    </row>
    <row r="460" spans="1:46" x14ac:dyDescent="0.3">
      <c r="A460" s="160">
        <v>36</v>
      </c>
      <c r="B460" s="158">
        <v>32</v>
      </c>
      <c r="C460" s="121">
        <v>0.7</v>
      </c>
      <c r="D460" s="158" t="s">
        <v>36</v>
      </c>
      <c r="G460" s="160">
        <v>7</v>
      </c>
      <c r="H460" s="158">
        <v>55</v>
      </c>
      <c r="I460" s="121">
        <v>1</v>
      </c>
      <c r="J460" s="158" t="s">
        <v>35</v>
      </c>
      <c r="M460" s="160">
        <v>7</v>
      </c>
      <c r="N460" s="158">
        <v>97</v>
      </c>
      <c r="O460" s="121">
        <v>0.3</v>
      </c>
      <c r="P460" s="121">
        <v>0.7</v>
      </c>
      <c r="Q460" s="158" t="s">
        <v>35</v>
      </c>
      <c r="R460" s="119"/>
      <c r="S460" s="4">
        <v>27.695595003287313</v>
      </c>
      <c r="T460" s="121">
        <v>0</v>
      </c>
      <c r="U460" s="121">
        <v>1</v>
      </c>
      <c r="V460" s="158" t="s">
        <v>35</v>
      </c>
      <c r="W460" s="119"/>
      <c r="X460" s="120" t="s">
        <v>31</v>
      </c>
      <c r="Y460" s="121">
        <v>0</v>
      </c>
      <c r="Z460" s="121">
        <v>0</v>
      </c>
      <c r="AA460" s="121">
        <v>1</v>
      </c>
      <c r="AB460" s="158" t="s">
        <v>35</v>
      </c>
      <c r="AC460" s="119"/>
      <c r="AD460" s="158" t="s">
        <v>26</v>
      </c>
      <c r="AE460" s="121">
        <v>0</v>
      </c>
      <c r="AF460" s="121">
        <v>0</v>
      </c>
      <c r="AG460" s="121">
        <v>1</v>
      </c>
      <c r="AH460" s="158" t="s">
        <v>35</v>
      </c>
      <c r="AI460" s="119"/>
      <c r="AJ460" s="158" t="s">
        <v>27</v>
      </c>
      <c r="AK460" s="121">
        <v>0</v>
      </c>
      <c r="AL460" s="121">
        <v>0</v>
      </c>
      <c r="AM460" s="121">
        <v>1</v>
      </c>
      <c r="AN460" s="158" t="s">
        <v>35</v>
      </c>
      <c r="AO460" s="119"/>
      <c r="AP460" s="158" t="s">
        <v>28</v>
      </c>
      <c r="AQ460" s="121">
        <v>0</v>
      </c>
      <c r="AR460" s="121">
        <v>0</v>
      </c>
      <c r="AS460" s="121">
        <v>1</v>
      </c>
      <c r="AT460" s="158" t="s">
        <v>35</v>
      </c>
    </row>
    <row r="461" spans="1:46" x14ac:dyDescent="0.3">
      <c r="A461" s="160">
        <v>59</v>
      </c>
      <c r="B461" s="158">
        <v>23</v>
      </c>
      <c r="C461" s="121">
        <v>1</v>
      </c>
      <c r="D461" s="158" t="s">
        <v>36</v>
      </c>
      <c r="G461" s="160">
        <v>13</v>
      </c>
      <c r="H461" s="158">
        <v>52</v>
      </c>
      <c r="I461" s="121">
        <v>1</v>
      </c>
      <c r="J461" s="158" t="s">
        <v>30</v>
      </c>
      <c r="M461" s="160">
        <v>13</v>
      </c>
      <c r="N461" s="158">
        <v>85</v>
      </c>
      <c r="O461" s="121">
        <v>1</v>
      </c>
      <c r="P461" s="121">
        <v>0</v>
      </c>
      <c r="Q461" s="158" t="s">
        <v>30</v>
      </c>
      <c r="R461" s="119"/>
      <c r="S461" s="4">
        <v>27.028166638556247</v>
      </c>
      <c r="T461" s="121">
        <v>0</v>
      </c>
      <c r="U461" s="121">
        <v>1</v>
      </c>
      <c r="V461" s="158" t="s">
        <v>30</v>
      </c>
      <c r="W461" s="119"/>
      <c r="X461" s="120" t="s">
        <v>25</v>
      </c>
      <c r="Y461" s="121">
        <v>1</v>
      </c>
      <c r="Z461" s="121">
        <v>1</v>
      </c>
      <c r="AA461" s="121">
        <v>0</v>
      </c>
      <c r="AB461" s="158" t="s">
        <v>30</v>
      </c>
      <c r="AC461" s="119"/>
      <c r="AD461" s="158" t="s">
        <v>26</v>
      </c>
      <c r="AE461" s="121">
        <v>0</v>
      </c>
      <c r="AF461" s="121">
        <v>0</v>
      </c>
      <c r="AG461" s="121">
        <v>1</v>
      </c>
      <c r="AH461" s="158" t="s">
        <v>30</v>
      </c>
      <c r="AI461" s="119"/>
      <c r="AJ461" s="158" t="s">
        <v>32</v>
      </c>
      <c r="AK461" s="121">
        <v>1</v>
      </c>
      <c r="AL461" s="121">
        <v>1</v>
      </c>
      <c r="AM461" s="121">
        <v>0</v>
      </c>
      <c r="AN461" s="158" t="s">
        <v>30</v>
      </c>
      <c r="AO461" s="119"/>
      <c r="AP461" s="158" t="s">
        <v>33</v>
      </c>
      <c r="AQ461" s="121">
        <v>1</v>
      </c>
      <c r="AR461" s="121">
        <v>1</v>
      </c>
      <c r="AS461" s="121">
        <v>0</v>
      </c>
      <c r="AT461" s="158" t="s">
        <v>30</v>
      </c>
    </row>
    <row r="462" spans="1:46" x14ac:dyDescent="0.3">
      <c r="B462" s="142" t="s">
        <v>36</v>
      </c>
      <c r="C462" s="142">
        <f>COUNTIF(D460:D461, "Rendah")</f>
        <v>2</v>
      </c>
      <c r="G462" s="160">
        <v>31</v>
      </c>
      <c r="H462" s="158">
        <v>85</v>
      </c>
      <c r="I462" s="121">
        <v>1</v>
      </c>
      <c r="J462" s="158" t="s">
        <v>35</v>
      </c>
      <c r="M462" s="160">
        <v>31</v>
      </c>
      <c r="N462" s="158">
        <v>68</v>
      </c>
      <c r="O462" s="121">
        <v>1</v>
      </c>
      <c r="P462" s="121">
        <v>0</v>
      </c>
      <c r="Q462" s="158" t="s">
        <v>35</v>
      </c>
      <c r="R462" s="119"/>
      <c r="S462" s="4">
        <v>24.582560296846012</v>
      </c>
      <c r="T462" s="121">
        <v>0.26860441146155423</v>
      </c>
      <c r="U462" s="121">
        <v>0.73139558853844577</v>
      </c>
      <c r="V462" s="158" t="s">
        <v>35</v>
      </c>
      <c r="W462" s="119"/>
      <c r="X462" s="120" t="s">
        <v>31</v>
      </c>
      <c r="Y462" s="121">
        <v>0</v>
      </c>
      <c r="Z462" s="121">
        <v>0</v>
      </c>
      <c r="AA462" s="121">
        <v>1</v>
      </c>
      <c r="AB462" s="158" t="s">
        <v>35</v>
      </c>
      <c r="AC462" s="119"/>
      <c r="AD462" s="158" t="s">
        <v>39</v>
      </c>
      <c r="AE462" s="121">
        <v>1</v>
      </c>
      <c r="AF462" s="121">
        <v>1</v>
      </c>
      <c r="AG462" s="121">
        <v>0</v>
      </c>
      <c r="AH462" s="158" t="s">
        <v>35</v>
      </c>
      <c r="AI462" s="119"/>
      <c r="AJ462" s="158" t="s">
        <v>27</v>
      </c>
      <c r="AK462" s="121">
        <v>0</v>
      </c>
      <c r="AL462" s="121">
        <v>0</v>
      </c>
      <c r="AM462" s="121">
        <v>1</v>
      </c>
      <c r="AN462" s="158" t="s">
        <v>35</v>
      </c>
      <c r="AO462" s="119"/>
      <c r="AP462" s="158" t="s">
        <v>28</v>
      </c>
      <c r="AQ462" s="121">
        <v>0</v>
      </c>
      <c r="AR462" s="121">
        <v>0</v>
      </c>
      <c r="AS462" s="121">
        <v>1</v>
      </c>
      <c r="AT462" s="158" t="s">
        <v>35</v>
      </c>
    </row>
    <row r="463" spans="1:46" x14ac:dyDescent="0.3">
      <c r="B463" s="142" t="s">
        <v>30</v>
      </c>
      <c r="C463" s="142">
        <f>COUNTIF(D460:D461, "Sedang")</f>
        <v>0</v>
      </c>
      <c r="G463" s="160">
        <v>35</v>
      </c>
      <c r="H463" s="158">
        <v>70</v>
      </c>
      <c r="I463" s="121">
        <v>1</v>
      </c>
      <c r="J463" s="158" t="s">
        <v>30</v>
      </c>
      <c r="M463" s="160">
        <v>35</v>
      </c>
      <c r="N463" s="158">
        <v>78</v>
      </c>
      <c r="O463" s="121">
        <v>1</v>
      </c>
      <c r="P463" s="121">
        <v>0</v>
      </c>
      <c r="Q463" s="158" t="s">
        <v>30</v>
      </c>
      <c r="R463" s="119"/>
      <c r="S463" s="4">
        <v>20.730013886133701</v>
      </c>
      <c r="T463" s="121">
        <v>0.69666512376292211</v>
      </c>
      <c r="U463" s="121">
        <v>0.30333487623707789</v>
      </c>
      <c r="V463" s="158" t="s">
        <v>30</v>
      </c>
      <c r="W463" s="119"/>
      <c r="X463" s="120" t="s">
        <v>31</v>
      </c>
      <c r="Y463" s="121">
        <v>0</v>
      </c>
      <c r="Z463" s="121">
        <v>0</v>
      </c>
      <c r="AA463" s="121">
        <v>1</v>
      </c>
      <c r="AB463" s="158" t="s">
        <v>30</v>
      </c>
      <c r="AC463" s="119"/>
      <c r="AD463" s="158" t="s">
        <v>26</v>
      </c>
      <c r="AE463" s="121">
        <v>0</v>
      </c>
      <c r="AF463" s="121">
        <v>0</v>
      </c>
      <c r="AG463" s="121">
        <v>1</v>
      </c>
      <c r="AH463" s="158" t="s">
        <v>30</v>
      </c>
      <c r="AI463" s="119"/>
      <c r="AJ463" s="158" t="s">
        <v>27</v>
      </c>
      <c r="AK463" s="121">
        <v>0</v>
      </c>
      <c r="AL463" s="121">
        <v>0</v>
      </c>
      <c r="AM463" s="121">
        <v>1</v>
      </c>
      <c r="AN463" s="158" t="s">
        <v>30</v>
      </c>
      <c r="AO463" s="119"/>
      <c r="AP463" s="158" t="s">
        <v>33</v>
      </c>
      <c r="AQ463" s="121">
        <v>1</v>
      </c>
      <c r="AR463" s="121">
        <v>1</v>
      </c>
      <c r="AS463" s="121">
        <v>0</v>
      </c>
      <c r="AT463" s="158" t="s">
        <v>30</v>
      </c>
    </row>
    <row r="464" spans="1:46" x14ac:dyDescent="0.3">
      <c r="B464" s="142" t="s">
        <v>35</v>
      </c>
      <c r="C464" s="142">
        <f>COUNTIF(D460:D461, "Tinggi")</f>
        <v>0</v>
      </c>
      <c r="G464" s="160">
        <v>36</v>
      </c>
      <c r="H464" s="158">
        <v>32</v>
      </c>
      <c r="I464" s="121">
        <v>0.3</v>
      </c>
      <c r="J464" s="158" t="s">
        <v>36</v>
      </c>
      <c r="M464" s="160">
        <v>36</v>
      </c>
      <c r="N464" s="158">
        <v>88</v>
      </c>
      <c r="O464" s="121">
        <v>1</v>
      </c>
      <c r="P464" s="121">
        <v>0</v>
      </c>
      <c r="Q464" s="158" t="s">
        <v>36</v>
      </c>
      <c r="R464" s="119"/>
      <c r="S464" s="4">
        <v>26.360544217687082</v>
      </c>
      <c r="T464" s="121">
        <v>7.1050642479213152E-2</v>
      </c>
      <c r="U464" s="121">
        <v>0.92894935752078689</v>
      </c>
      <c r="V464" s="158" t="s">
        <v>36</v>
      </c>
      <c r="W464" s="119"/>
      <c r="X464" s="158" t="s">
        <v>25</v>
      </c>
      <c r="Y464" s="121">
        <v>1</v>
      </c>
      <c r="Z464" s="121">
        <v>1</v>
      </c>
      <c r="AA464" s="121">
        <v>0</v>
      </c>
      <c r="AB464" s="158" t="s">
        <v>36</v>
      </c>
      <c r="AC464" s="119"/>
      <c r="AD464" s="158" t="s">
        <v>26</v>
      </c>
      <c r="AE464" s="121">
        <v>0</v>
      </c>
      <c r="AF464" s="121">
        <v>0</v>
      </c>
      <c r="AG464" s="121">
        <v>1</v>
      </c>
      <c r="AH464" s="158" t="s">
        <v>36</v>
      </c>
      <c r="AI464" s="119"/>
      <c r="AJ464" s="158" t="s">
        <v>27</v>
      </c>
      <c r="AK464" s="121">
        <v>0</v>
      </c>
      <c r="AL464" s="121">
        <v>0</v>
      </c>
      <c r="AM464" s="121">
        <v>1</v>
      </c>
      <c r="AN464" s="158" t="s">
        <v>36</v>
      </c>
      <c r="AO464" s="119"/>
      <c r="AP464" s="158" t="s">
        <v>28</v>
      </c>
      <c r="AQ464" s="121">
        <v>0</v>
      </c>
      <c r="AR464" s="121">
        <v>0</v>
      </c>
      <c r="AS464" s="121">
        <v>1</v>
      </c>
      <c r="AT464" s="158" t="s">
        <v>36</v>
      </c>
    </row>
    <row r="465" spans="1:46" x14ac:dyDescent="0.3">
      <c r="C465">
        <v>2</v>
      </c>
      <c r="G465" s="160">
        <v>58</v>
      </c>
      <c r="H465" s="158">
        <v>65</v>
      </c>
      <c r="I465" s="121">
        <v>1</v>
      </c>
      <c r="J465" s="158" t="s">
        <v>30</v>
      </c>
      <c r="M465" s="160">
        <v>58</v>
      </c>
      <c r="N465" s="158">
        <v>91</v>
      </c>
      <c r="O465" s="121">
        <v>0.9</v>
      </c>
      <c r="P465" s="121">
        <v>0.1</v>
      </c>
      <c r="Q465" s="158" t="s">
        <v>30</v>
      </c>
      <c r="R465" s="119"/>
      <c r="S465" s="4">
        <v>24.765704392336936</v>
      </c>
      <c r="T465" s="121">
        <v>0.24825506751811824</v>
      </c>
      <c r="U465" s="121">
        <v>0.75174493248188179</v>
      </c>
      <c r="V465" s="158" t="s">
        <v>30</v>
      </c>
      <c r="W465" s="119"/>
      <c r="X465" s="158" t="s">
        <v>25</v>
      </c>
      <c r="Y465" s="121">
        <v>1</v>
      </c>
      <c r="Z465" s="121">
        <v>1</v>
      </c>
      <c r="AA465" s="121">
        <v>0</v>
      </c>
      <c r="AB465" s="158" t="s">
        <v>30</v>
      </c>
      <c r="AC465" s="119"/>
      <c r="AD465" s="158" t="s">
        <v>26</v>
      </c>
      <c r="AE465" s="121">
        <v>0</v>
      </c>
      <c r="AF465" s="121">
        <v>0</v>
      </c>
      <c r="AG465" s="121">
        <v>1</v>
      </c>
      <c r="AH465" s="158" t="s">
        <v>30</v>
      </c>
      <c r="AI465" s="119"/>
      <c r="AJ465" s="158" t="s">
        <v>27</v>
      </c>
      <c r="AK465" s="121">
        <v>0</v>
      </c>
      <c r="AL465" s="121">
        <v>0</v>
      </c>
      <c r="AM465" s="121">
        <v>1</v>
      </c>
      <c r="AN465" s="158" t="s">
        <v>30</v>
      </c>
      <c r="AO465" s="119"/>
      <c r="AP465" s="158" t="s">
        <v>33</v>
      </c>
      <c r="AQ465" s="121">
        <v>1</v>
      </c>
      <c r="AR465" s="121">
        <v>1</v>
      </c>
      <c r="AS465" s="121">
        <v>0</v>
      </c>
      <c r="AT465" s="158" t="s">
        <v>30</v>
      </c>
    </row>
    <row r="466" spans="1:46" x14ac:dyDescent="0.3">
      <c r="H466" s="142" t="s">
        <v>36</v>
      </c>
      <c r="I466" s="142">
        <f>COUNTIF(J459:J465, "Rendah")</f>
        <v>1</v>
      </c>
      <c r="N466" s="121" t="s">
        <v>64</v>
      </c>
      <c r="O466" s="121">
        <f>SUM(O459:O465)</f>
        <v>6.2</v>
      </c>
      <c r="P466" s="121">
        <f>SUM(P458:P465)</f>
        <v>0.79999999999999993</v>
      </c>
      <c r="S466" s="121" t="s">
        <v>64</v>
      </c>
      <c r="T466" s="121">
        <f>SUM(T459:T465)</f>
        <v>1.6624717913218992</v>
      </c>
      <c r="U466" s="121">
        <f>SUM(U458:U465)</f>
        <v>5.3375282086781004</v>
      </c>
      <c r="Y466" s="121" t="s">
        <v>64</v>
      </c>
      <c r="Z466" s="121">
        <f>SUM(Z459:Z465)</f>
        <v>4</v>
      </c>
      <c r="AA466" s="121">
        <f>SUM(AA458:AA465)</f>
        <v>3</v>
      </c>
      <c r="AE466" s="121" t="s">
        <v>64</v>
      </c>
      <c r="AF466" s="121">
        <f>SUM(AF459:AF465)</f>
        <v>1</v>
      </c>
      <c r="AG466" s="121">
        <f>SUM(AG458:AG465)</f>
        <v>6</v>
      </c>
      <c r="AK466" s="121" t="s">
        <v>64</v>
      </c>
      <c r="AL466" s="121">
        <f>SUM(AL459:AL465)</f>
        <v>1</v>
      </c>
      <c r="AM466" s="121">
        <f>SUM(AM458:AM465)</f>
        <v>6</v>
      </c>
      <c r="AQ466" s="121" t="s">
        <v>64</v>
      </c>
      <c r="AR466" s="121">
        <f>SUM(AR459:AR465)</f>
        <v>3</v>
      </c>
      <c r="AS466" s="121">
        <f>SUM(AS458:AS465)</f>
        <v>4</v>
      </c>
    </row>
    <row r="467" spans="1:46" x14ac:dyDescent="0.3">
      <c r="H467" s="142" t="s">
        <v>30</v>
      </c>
      <c r="I467" s="142">
        <f>COUNTIF(J459:J465, "Sedang")</f>
        <v>4</v>
      </c>
      <c r="N467" s="141" t="s">
        <v>36</v>
      </c>
      <c r="O467" s="146">
        <f>SUMIF(Q459:Q465,N467,O459:O465)</f>
        <v>1</v>
      </c>
      <c r="P467" s="141">
        <f>SUMIF(Q459:Q465,N467,P459:P465)</f>
        <v>0</v>
      </c>
      <c r="S467" s="141" t="s">
        <v>36</v>
      </c>
      <c r="T467" s="146">
        <f>SUMIF(V459:V465,S467,T459:T465)</f>
        <v>7.1050642479213152E-2</v>
      </c>
      <c r="U467" s="141">
        <f>SUMIF(V459:V465,S467,U459:U465)</f>
        <v>0.92894935752078689</v>
      </c>
      <c r="Y467" s="141" t="s">
        <v>36</v>
      </c>
      <c r="Z467" s="146">
        <f>SUMIF(AB459:AB465,Y467,Z459:Z465)</f>
        <v>1</v>
      </c>
      <c r="AA467" s="141">
        <f>SUMIF(AB459:AB465,Y467,AA459:AA465)</f>
        <v>0</v>
      </c>
      <c r="AE467" s="141" t="s">
        <v>36</v>
      </c>
      <c r="AF467" s="146">
        <f>SUMIF(AH459:AH465,AE467,AF459:AF465)</f>
        <v>0</v>
      </c>
      <c r="AG467" s="141">
        <f>SUMIF(AH459:AH465,AE467,AG459:AG465)</f>
        <v>1</v>
      </c>
      <c r="AK467" s="141" t="s">
        <v>36</v>
      </c>
      <c r="AL467" s="146">
        <f>SUMIF(AN459:AN465,AK467,AL459:AL465)</f>
        <v>0</v>
      </c>
      <c r="AM467" s="141">
        <f>SUMIF(AN459:AN465,AK467,AM459:AM465)</f>
        <v>1</v>
      </c>
      <c r="AQ467" s="141" t="s">
        <v>36</v>
      </c>
      <c r="AR467" s="146">
        <f>SUMIF(AT459:AT465,AQ467,AR459:AR465)</f>
        <v>0</v>
      </c>
      <c r="AS467" s="141">
        <f>SUMIF(AT459:AT465,AQ467,AS459:AS465)</f>
        <v>1</v>
      </c>
    </row>
    <row r="468" spans="1:46" x14ac:dyDescent="0.3">
      <c r="H468" s="142" t="s">
        <v>35</v>
      </c>
      <c r="I468" s="142">
        <f>COUNTIF(J459:J465, "Tinggi")</f>
        <v>2</v>
      </c>
      <c r="N468" s="141" t="s">
        <v>30</v>
      </c>
      <c r="O468" s="146">
        <f>SUMIF(Q459:Q465,N468,O459:O465)</f>
        <v>3.9</v>
      </c>
      <c r="P468" s="141">
        <f>SUMIF(Q459:Q465,N468,P459:P465)</f>
        <v>0.1</v>
      </c>
      <c r="S468" s="141" t="s">
        <v>30</v>
      </c>
      <c r="T468" s="146">
        <f>SUMIF(V459:V465,S468,T459:T465)</f>
        <v>1.3228167373811319</v>
      </c>
      <c r="U468" s="141">
        <f>SUMIF(V459:V465,S468,U459:U465)</f>
        <v>2.6771832626188683</v>
      </c>
      <c r="Y468" s="141" t="s">
        <v>30</v>
      </c>
      <c r="Z468" s="146">
        <f>SUMIF(AB459:AB465,Y468,Z459:Z465)</f>
        <v>3</v>
      </c>
      <c r="AA468" s="141">
        <f>SUMIF(AB459:AB465,Y468,AA459:AA465)</f>
        <v>1</v>
      </c>
      <c r="AE468" s="141" t="s">
        <v>30</v>
      </c>
      <c r="AF468" s="146">
        <f>SUMIF(AH459:AH465,AE468,AF459:AF465)</f>
        <v>0</v>
      </c>
      <c r="AG468" s="141">
        <f>SUMIF(AH459:AH465,AE468,AG459:AG465)</f>
        <v>4</v>
      </c>
      <c r="AK468" s="141" t="s">
        <v>30</v>
      </c>
      <c r="AL468" s="146">
        <f>SUMIF(AN459:AN465,AK468,AL459:AL465)</f>
        <v>1</v>
      </c>
      <c r="AM468" s="141">
        <f>SUMIF(AN459:AN465,AK468,AM459:AM465)</f>
        <v>3</v>
      </c>
      <c r="AQ468" s="141" t="s">
        <v>30</v>
      </c>
      <c r="AR468" s="146">
        <f>SUMIF(AT459:AT465,AQ468,AR459:AR465)</f>
        <v>3</v>
      </c>
      <c r="AS468" s="141">
        <f>SUMIF(AT459:AT465,AQ468,AS459:AS465)</f>
        <v>1</v>
      </c>
    </row>
    <row r="469" spans="1:46" x14ac:dyDescent="0.3">
      <c r="I469">
        <v>7</v>
      </c>
      <c r="N469" s="141" t="s">
        <v>35</v>
      </c>
      <c r="O469" s="146">
        <f>SUMIF(Q459:Q465,N469,O459:O465)</f>
        <v>1.3</v>
      </c>
      <c r="P469" s="141">
        <f>SUMIF(Q459:Q465,N469,P459:P465)</f>
        <v>0.7</v>
      </c>
      <c r="S469" s="141" t="s">
        <v>35</v>
      </c>
      <c r="T469" s="146">
        <f>SUMIF(V459:V465,S469,T459:T465)</f>
        <v>0.26860441146155423</v>
      </c>
      <c r="U469" s="141">
        <f>SUMIF(V459:V465,S469,U459:U465)</f>
        <v>1.7313955885384458</v>
      </c>
      <c r="Y469" s="141" t="s">
        <v>35</v>
      </c>
      <c r="Z469" s="146">
        <f>SUMIF(AB459:AB465,Y469,Z459:Z465)</f>
        <v>0</v>
      </c>
      <c r="AA469" s="141">
        <f>SUMIF(AB459:AB465,Y469,AA459:AA465)</f>
        <v>2</v>
      </c>
      <c r="AE469" s="141" t="s">
        <v>35</v>
      </c>
      <c r="AF469" s="146">
        <f>SUMIF(AH459:AH465,AE469,AF459:AF465)</f>
        <v>1</v>
      </c>
      <c r="AG469" s="141">
        <f>SUMIF(AH459:AH465,AE469,AG459:AG465)</f>
        <v>1</v>
      </c>
      <c r="AK469" s="141" t="s">
        <v>35</v>
      </c>
      <c r="AL469" s="146">
        <f>SUMIF(AN459:AN465,AK469,AL459:AL465)</f>
        <v>0</v>
      </c>
      <c r="AM469" s="141">
        <f>SUMIF(AN459:AN465,AK469,AM459:AM465)</f>
        <v>2</v>
      </c>
      <c r="AQ469" s="141" t="s">
        <v>35</v>
      </c>
      <c r="AR469" s="146">
        <f>SUMIF(AT459:AT465,AQ469,AR459:AR465)</f>
        <v>0</v>
      </c>
      <c r="AS469" s="141">
        <f>SUMIF(AT459:AT465,AQ469,AS459:AS465)</f>
        <v>2</v>
      </c>
    </row>
    <row r="472" spans="1:46" x14ac:dyDescent="0.3">
      <c r="M472" s="219" t="s">
        <v>272</v>
      </c>
      <c r="N472" s="219"/>
      <c r="O472" s="165" t="s">
        <v>44</v>
      </c>
      <c r="P472" s="123">
        <f>-(O467/O466)*LOG((O467/O466),2)-(O468/O466)*LOG((O468/O466),2)-(O469/O466)*LOG((O469/O466),2)</f>
        <v>1.3178143132846896</v>
      </c>
      <c r="Q472" s="165" t="s">
        <v>258</v>
      </c>
      <c r="R472" s="123">
        <f>-(0)-(P468/P466)*LOG((P468/P466),2)-(P469/P466)*LOG((P469/P466),2)</f>
        <v>0.54356444319959651</v>
      </c>
      <c r="T472" s="232" t="s">
        <v>261</v>
      </c>
      <c r="U472" s="233"/>
      <c r="V472" s="234"/>
      <c r="W472" s="151">
        <f>-((1/7)*LOG((1/7),2))-((4/7)*LOG((4/7),2))-((2/7)*LOG((2/7),2))</f>
        <v>1.3787834934861758</v>
      </c>
    </row>
    <row r="473" spans="1:46" x14ac:dyDescent="0.3">
      <c r="M473" s="219" t="s">
        <v>273</v>
      </c>
      <c r="N473" s="219"/>
      <c r="O473" s="165" t="s">
        <v>44</v>
      </c>
      <c r="P473" s="123">
        <f>-(T467/T466)*LOG((T467/T466),2)-(T468/T466)*LOG((T468/T466),2)-(T469/T466)*LOG((T469/T466),2)</f>
        <v>0.88163073578408158</v>
      </c>
      <c r="Q473" s="165" t="s">
        <v>47</v>
      </c>
      <c r="R473" s="123">
        <f>-(U467/U466)*LOG((U467/U466),2)-(U468/U466)*LOG((U468/U466),2)-(U469/U466)*LOG((U469/U466),2)</f>
        <v>1.4651891237161223</v>
      </c>
      <c r="T473" s="229" t="s">
        <v>263</v>
      </c>
      <c r="U473" s="230"/>
      <c r="V473" s="231"/>
      <c r="W473" s="151">
        <f>(W472)-((O466/7)*P472)-((P466/7)*R472)</f>
        <v>0.14945487963978252</v>
      </c>
    </row>
    <row r="474" spans="1:46" x14ac:dyDescent="0.3">
      <c r="M474" s="219" t="s">
        <v>274</v>
      </c>
      <c r="N474" s="219"/>
      <c r="O474" s="165" t="s">
        <v>25</v>
      </c>
      <c r="P474" s="123">
        <f>-(Z467/Z466)*LOG((Z467/Z466),2)-(Z468/Z466)*LOG((Z468/Z466),2)-(0)</f>
        <v>0.81127812445913283</v>
      </c>
      <c r="Q474" s="165" t="s">
        <v>34</v>
      </c>
      <c r="R474" s="123">
        <f>-(0)-(AA468/AA466)*LOG((AA468/AA466),2)-(AA469/AA466)*LOG((AA469/AA466),2)</f>
        <v>0.91829583405448956</v>
      </c>
      <c r="T474" s="235" t="s">
        <v>67</v>
      </c>
      <c r="U474" s="236"/>
      <c r="V474" s="237"/>
      <c r="W474" s="152">
        <f>(W472)-((T466/7)*P473)-((U466/7)*R473)</f>
        <v>5.2187135273810803E-2</v>
      </c>
    </row>
    <row r="475" spans="1:46" x14ac:dyDescent="0.3">
      <c r="M475" s="219" t="s">
        <v>275</v>
      </c>
      <c r="N475" s="219"/>
      <c r="O475" s="165" t="s">
        <v>26</v>
      </c>
      <c r="P475" s="123">
        <f>-(0)-(0)-(AF469/AF466)*LOG((AF469/AF466),2)</f>
        <v>0</v>
      </c>
      <c r="Q475" s="165" t="s">
        <v>39</v>
      </c>
      <c r="R475" s="123">
        <f>-(AG467/AG466)*LOG((AG467/AG466),2)-(AG468/AG466)*LOG((AG468/AG466),2)-(AG469/AG466)*LOG((AG469/AG466),2)</f>
        <v>1.2516291673878228</v>
      </c>
      <c r="T475" s="229" t="s">
        <v>264</v>
      </c>
      <c r="U475" s="230"/>
      <c r="V475" s="231"/>
      <c r="W475" s="151">
        <f>(W472)-((Z466/7)*P474)-((AA466/7)*R474)</f>
        <v>0.5216406363433187</v>
      </c>
    </row>
    <row r="476" spans="1:46" x14ac:dyDescent="0.3">
      <c r="M476" s="219" t="s">
        <v>276</v>
      </c>
      <c r="N476" s="219"/>
      <c r="O476" s="149" t="s">
        <v>27</v>
      </c>
      <c r="P476" s="123">
        <f>-(0)-(AL468/AL466)*LOG((AL468/AL466),2)-(0)</f>
        <v>0</v>
      </c>
      <c r="Q476" s="149" t="s">
        <v>32</v>
      </c>
      <c r="R476" s="123">
        <f>-(AM467/AM466)*LOG((AM467/AM466),2)-(AM468/AM466)*LOG((AM468/AM466),2)-(AM469/AM466)*LOG((AM469/AM466),2)</f>
        <v>1.4591479170272446</v>
      </c>
      <c r="T476" s="229" t="s">
        <v>265</v>
      </c>
      <c r="U476" s="230"/>
      <c r="V476" s="231"/>
      <c r="W476" s="151">
        <f>(W472)-((AF466/7)*P475)-((AG466/7)*R475)</f>
        <v>0.30595849286804211</v>
      </c>
    </row>
    <row r="477" spans="1:46" x14ac:dyDescent="0.3">
      <c r="M477" s="219" t="s">
        <v>277</v>
      </c>
      <c r="N477" s="219"/>
      <c r="O477" s="149" t="s">
        <v>28</v>
      </c>
      <c r="P477" s="123">
        <f>-(0)-(AR468/AR466)*LOG((AR468/AR466),2)-(0)</f>
        <v>0</v>
      </c>
      <c r="Q477" s="149" t="s">
        <v>33</v>
      </c>
      <c r="R477" s="123">
        <f>-(AS467/AS466)*LOG((AS467/AS466),2)-(AS468/AS466)*LOG((AS468/AS466),2)-(AS469/AS466)*LOG((AS469/AS466),2)</f>
        <v>1.5</v>
      </c>
      <c r="T477" s="229" t="s">
        <v>266</v>
      </c>
      <c r="U477" s="230"/>
      <c r="V477" s="231"/>
      <c r="W477" s="151">
        <f>(W472)-((AL466/7)*P476)-((AM466/7)*R476)</f>
        <v>0.12808527889139487</v>
      </c>
    </row>
    <row r="478" spans="1:46" x14ac:dyDescent="0.3">
      <c r="A478" s="161" t="s">
        <v>283</v>
      </c>
      <c r="B478" s="153">
        <v>0.7</v>
      </c>
      <c r="C478" s="119"/>
      <c r="D478" s="119"/>
      <c r="T478" s="229" t="s">
        <v>267</v>
      </c>
      <c r="U478" s="230"/>
      <c r="V478" s="231"/>
      <c r="W478" s="151">
        <f>(W472)-((AR466/7)*P477)-((AS466/7)*R477)</f>
        <v>0.5216406363433187</v>
      </c>
    </row>
    <row r="479" spans="1:46" x14ac:dyDescent="0.3">
      <c r="A479" s="128" t="s">
        <v>98</v>
      </c>
      <c r="B479" s="119"/>
      <c r="C479" s="119"/>
      <c r="D479" s="128" t="s">
        <v>282</v>
      </c>
    </row>
    <row r="480" spans="1:46" x14ac:dyDescent="0.3">
      <c r="A480" s="90" t="s">
        <v>130</v>
      </c>
      <c r="B480" s="90" t="s">
        <v>36</v>
      </c>
      <c r="C480" s="90">
        <v>1</v>
      </c>
      <c r="D480" s="90">
        <f>((C480)/(C497))*(100)</f>
        <v>20</v>
      </c>
    </row>
    <row r="481" spans="1:41" x14ac:dyDescent="0.3">
      <c r="A481" s="119"/>
      <c r="B481" s="119" t="s">
        <v>30</v>
      </c>
      <c r="C481" s="90">
        <v>3</v>
      </c>
      <c r="D481" s="90">
        <f>((C481)/(C497))*(100)</f>
        <v>60</v>
      </c>
    </row>
    <row r="482" spans="1:41" x14ac:dyDescent="0.3">
      <c r="A482" s="119"/>
      <c r="B482" s="119" t="s">
        <v>35</v>
      </c>
      <c r="C482" s="90">
        <v>1</v>
      </c>
      <c r="D482" s="90">
        <f>((C482)/(C497))*(100)</f>
        <v>20</v>
      </c>
    </row>
    <row r="483" spans="1:41" x14ac:dyDescent="0.3">
      <c r="A483" s="128" t="s">
        <v>109</v>
      </c>
      <c r="B483" s="119"/>
      <c r="C483" s="119"/>
      <c r="D483" s="128" t="s">
        <v>282</v>
      </c>
    </row>
    <row r="484" spans="1:41" x14ac:dyDescent="0.3">
      <c r="A484" s="119" t="s">
        <v>130</v>
      </c>
      <c r="B484" s="119" t="s">
        <v>36</v>
      </c>
      <c r="C484" s="119">
        <v>1</v>
      </c>
      <c r="D484" s="119">
        <f>((C484)/(I499))*(100)</f>
        <v>14.285714285714285</v>
      </c>
    </row>
    <row r="485" spans="1:41" x14ac:dyDescent="0.3">
      <c r="A485" s="119"/>
      <c r="B485" s="90" t="s">
        <v>30</v>
      </c>
      <c r="C485" s="90">
        <v>4</v>
      </c>
      <c r="D485" s="90">
        <f>((C485)/(I499))*(100)</f>
        <v>57.142857142857139</v>
      </c>
    </row>
    <row r="486" spans="1:41" x14ac:dyDescent="0.3">
      <c r="A486" s="119"/>
      <c r="B486" s="119" t="s">
        <v>35</v>
      </c>
      <c r="C486" s="119">
        <v>2</v>
      </c>
      <c r="D486" s="119">
        <f>((C486)/(I499))*(100)</f>
        <v>28.571428571428569</v>
      </c>
    </row>
    <row r="488" spans="1:41" x14ac:dyDescent="0.3">
      <c r="A488" s="139" t="s">
        <v>77</v>
      </c>
      <c r="B488" s="139" t="s">
        <v>10</v>
      </c>
      <c r="C488" s="139" t="s">
        <v>44</v>
      </c>
      <c r="D488" s="139" t="s">
        <v>66</v>
      </c>
      <c r="G488" s="139" t="s">
        <v>77</v>
      </c>
      <c r="H488" s="139" t="s">
        <v>10</v>
      </c>
      <c r="I488" s="139" t="s">
        <v>47</v>
      </c>
      <c r="J488" s="139" t="s">
        <v>66</v>
      </c>
      <c r="M488" s="139" t="s">
        <v>77</v>
      </c>
      <c r="N488" s="139" t="s">
        <v>56</v>
      </c>
      <c r="O488" s="139" t="s">
        <v>44</v>
      </c>
      <c r="P488" s="139" t="s">
        <v>258</v>
      </c>
      <c r="Q488" s="139" t="s">
        <v>66</v>
      </c>
      <c r="S488" s="139" t="s">
        <v>11</v>
      </c>
      <c r="T488" s="139" t="s">
        <v>259</v>
      </c>
      <c r="U488" s="139" t="s">
        <v>25</v>
      </c>
      <c r="V488" s="139" t="s">
        <v>34</v>
      </c>
      <c r="W488" s="139" t="s">
        <v>66</v>
      </c>
      <c r="X488" s="119"/>
      <c r="Y488" s="139" t="s">
        <v>48</v>
      </c>
      <c r="Z488" s="139" t="s">
        <v>259</v>
      </c>
      <c r="AA488" s="139" t="s">
        <v>26</v>
      </c>
      <c r="AB488" s="139" t="s">
        <v>39</v>
      </c>
      <c r="AC488" s="139" t="s">
        <v>66</v>
      </c>
      <c r="AD488" s="119"/>
      <c r="AE488" s="139" t="s">
        <v>13</v>
      </c>
      <c r="AF488" s="139" t="s">
        <v>259</v>
      </c>
      <c r="AG488" s="166" t="s">
        <v>27</v>
      </c>
      <c r="AH488" s="166" t="s">
        <v>32</v>
      </c>
      <c r="AI488" s="139" t="s">
        <v>66</v>
      </c>
      <c r="AJ488" s="119"/>
      <c r="AK488" s="139" t="s">
        <v>52</v>
      </c>
      <c r="AL488" s="142" t="s">
        <v>259</v>
      </c>
      <c r="AM488" s="166" t="s">
        <v>28</v>
      </c>
      <c r="AN488" s="166" t="s">
        <v>33</v>
      </c>
      <c r="AO488" s="139" t="s">
        <v>66</v>
      </c>
    </row>
    <row r="489" spans="1:41" x14ac:dyDescent="0.3">
      <c r="A489" s="160">
        <v>1</v>
      </c>
      <c r="B489" s="4">
        <v>23.598931085099178</v>
      </c>
      <c r="C489" s="121">
        <v>0.37789654610009138</v>
      </c>
      <c r="D489" s="158" t="s">
        <v>30</v>
      </c>
      <c r="G489" s="160">
        <v>1</v>
      </c>
      <c r="H489" s="4">
        <v>23.598931085099178</v>
      </c>
      <c r="I489" s="121">
        <v>0.62210345389990862</v>
      </c>
      <c r="J489" s="158" t="s">
        <v>30</v>
      </c>
      <c r="M489" s="160">
        <v>1</v>
      </c>
      <c r="N489" s="158">
        <v>78</v>
      </c>
      <c r="O489" s="121">
        <v>1</v>
      </c>
      <c r="P489" s="121">
        <v>0</v>
      </c>
      <c r="Q489" s="158" t="s">
        <v>30</v>
      </c>
      <c r="S489" s="120" t="s">
        <v>25</v>
      </c>
      <c r="T489" s="121">
        <v>1</v>
      </c>
      <c r="U489" s="121">
        <v>1</v>
      </c>
      <c r="V489" s="121">
        <v>0</v>
      </c>
      <c r="W489" s="158" t="s">
        <v>30</v>
      </c>
      <c r="X489" s="119"/>
      <c r="Y489" s="158" t="s">
        <v>26</v>
      </c>
      <c r="Z489" s="121">
        <v>0</v>
      </c>
      <c r="AA489" s="121">
        <v>0</v>
      </c>
      <c r="AB489" s="121">
        <v>1</v>
      </c>
      <c r="AC489" s="158" t="s">
        <v>30</v>
      </c>
      <c r="AD489" s="119"/>
      <c r="AE489" s="158" t="s">
        <v>27</v>
      </c>
      <c r="AF489" s="121">
        <v>0</v>
      </c>
      <c r="AG489" s="121">
        <v>0</v>
      </c>
      <c r="AH489" s="121">
        <v>1</v>
      </c>
      <c r="AI489" s="158" t="s">
        <v>30</v>
      </c>
      <c r="AJ489" s="119"/>
      <c r="AK489" s="158" t="s">
        <v>28</v>
      </c>
      <c r="AL489" s="121">
        <v>0</v>
      </c>
      <c r="AM489" s="121">
        <v>0</v>
      </c>
      <c r="AN489" s="121">
        <v>1</v>
      </c>
      <c r="AO489" s="158" t="s">
        <v>30</v>
      </c>
    </row>
    <row r="490" spans="1:41" x14ac:dyDescent="0.3">
      <c r="A490" s="160">
        <v>31</v>
      </c>
      <c r="B490" s="4">
        <v>24.582560296846012</v>
      </c>
      <c r="C490" s="121">
        <v>0.26860441146155423</v>
      </c>
      <c r="D490" s="158" t="s">
        <v>35</v>
      </c>
      <c r="G490" s="160">
        <v>7</v>
      </c>
      <c r="H490" s="4">
        <v>27.695595003287313</v>
      </c>
      <c r="I490" s="121">
        <v>1</v>
      </c>
      <c r="J490" s="158" t="s">
        <v>35</v>
      </c>
      <c r="M490" s="160">
        <v>31</v>
      </c>
      <c r="N490" s="158">
        <v>68</v>
      </c>
      <c r="O490" s="121">
        <v>1</v>
      </c>
      <c r="P490" s="121">
        <v>0</v>
      </c>
      <c r="Q490" s="158" t="s">
        <v>35</v>
      </c>
      <c r="S490" s="120" t="s">
        <v>31</v>
      </c>
      <c r="T490" s="121">
        <v>0</v>
      </c>
      <c r="U490" s="121">
        <v>0</v>
      </c>
      <c r="V490" s="121">
        <v>1</v>
      </c>
      <c r="W490" s="158" t="s">
        <v>35</v>
      </c>
      <c r="X490" s="119"/>
      <c r="Y490" s="158" t="s">
        <v>39</v>
      </c>
      <c r="Z490" s="121">
        <v>1</v>
      </c>
      <c r="AA490" s="121">
        <v>1</v>
      </c>
      <c r="AB490" s="121">
        <v>0</v>
      </c>
      <c r="AC490" s="158" t="s">
        <v>35</v>
      </c>
      <c r="AD490" s="119"/>
      <c r="AE490" s="158" t="s">
        <v>27</v>
      </c>
      <c r="AF490" s="121">
        <v>0</v>
      </c>
      <c r="AG490" s="121">
        <v>0</v>
      </c>
      <c r="AH490" s="121">
        <v>1</v>
      </c>
      <c r="AI490" s="158" t="s">
        <v>35</v>
      </c>
      <c r="AJ490" s="119"/>
      <c r="AK490" s="158" t="s">
        <v>28</v>
      </c>
      <c r="AL490" s="121">
        <v>0</v>
      </c>
      <c r="AM490" s="121">
        <v>0</v>
      </c>
      <c r="AN490" s="121">
        <v>1</v>
      </c>
      <c r="AO490" s="158" t="s">
        <v>35</v>
      </c>
    </row>
    <row r="491" spans="1:41" x14ac:dyDescent="0.3">
      <c r="A491" s="160">
        <v>35</v>
      </c>
      <c r="B491" s="4">
        <v>20.730013886133701</v>
      </c>
      <c r="C491" s="121">
        <v>0.69666512376292211</v>
      </c>
      <c r="D491" s="158" t="s">
        <v>30</v>
      </c>
      <c r="G491" s="160">
        <v>13</v>
      </c>
      <c r="H491" s="4">
        <v>27.028166638556247</v>
      </c>
      <c r="I491" s="121">
        <v>1</v>
      </c>
      <c r="J491" s="158" t="s">
        <v>30</v>
      </c>
      <c r="M491" s="160">
        <v>35</v>
      </c>
      <c r="N491" s="158">
        <v>78</v>
      </c>
      <c r="O491" s="121">
        <v>1</v>
      </c>
      <c r="P491" s="121">
        <v>0</v>
      </c>
      <c r="Q491" s="158" t="s">
        <v>30</v>
      </c>
      <c r="S491" s="120" t="s">
        <v>31</v>
      </c>
      <c r="T491" s="121">
        <v>0</v>
      </c>
      <c r="U491" s="121">
        <v>0</v>
      </c>
      <c r="V491" s="121">
        <v>1</v>
      </c>
      <c r="W491" s="158" t="s">
        <v>30</v>
      </c>
      <c r="X491" s="119"/>
      <c r="Y491" s="158" t="s">
        <v>26</v>
      </c>
      <c r="Z491" s="121">
        <v>0</v>
      </c>
      <c r="AA491" s="121">
        <v>0</v>
      </c>
      <c r="AB491" s="121">
        <v>1</v>
      </c>
      <c r="AC491" s="158" t="s">
        <v>30</v>
      </c>
      <c r="AD491" s="119"/>
      <c r="AE491" s="158" t="s">
        <v>27</v>
      </c>
      <c r="AF491" s="121">
        <v>0</v>
      </c>
      <c r="AG491" s="121">
        <v>0</v>
      </c>
      <c r="AH491" s="121">
        <v>1</v>
      </c>
      <c r="AI491" s="158" t="s">
        <v>30</v>
      </c>
      <c r="AJ491" s="119"/>
      <c r="AK491" s="158" t="s">
        <v>33</v>
      </c>
      <c r="AL491" s="121">
        <v>1</v>
      </c>
      <c r="AM491" s="121">
        <v>1</v>
      </c>
      <c r="AN491" s="121">
        <v>0</v>
      </c>
      <c r="AO491" s="158" t="s">
        <v>30</v>
      </c>
    </row>
    <row r="492" spans="1:41" x14ac:dyDescent="0.3">
      <c r="A492" s="160">
        <v>36</v>
      </c>
      <c r="B492" s="4">
        <v>26.360544217687082</v>
      </c>
      <c r="C492" s="121">
        <v>7.1050642479213152E-2</v>
      </c>
      <c r="D492" s="158" t="s">
        <v>36</v>
      </c>
      <c r="G492" s="160">
        <v>31</v>
      </c>
      <c r="H492" s="4">
        <v>24.582560296846012</v>
      </c>
      <c r="I492" s="121">
        <v>0.73139558853844577</v>
      </c>
      <c r="J492" s="158" t="s">
        <v>35</v>
      </c>
      <c r="M492" s="160">
        <v>36</v>
      </c>
      <c r="N492" s="158">
        <v>88</v>
      </c>
      <c r="O492" s="121">
        <v>1</v>
      </c>
      <c r="P492" s="121">
        <v>0</v>
      </c>
      <c r="Q492" s="158" t="s">
        <v>36</v>
      </c>
      <c r="S492" s="158" t="s">
        <v>25</v>
      </c>
      <c r="T492" s="121">
        <v>1</v>
      </c>
      <c r="U492" s="121">
        <v>1</v>
      </c>
      <c r="V492" s="121">
        <v>0</v>
      </c>
      <c r="W492" s="158" t="s">
        <v>36</v>
      </c>
      <c r="X492" s="119"/>
      <c r="Y492" s="158" t="s">
        <v>26</v>
      </c>
      <c r="Z492" s="121">
        <v>0</v>
      </c>
      <c r="AA492" s="121">
        <v>0</v>
      </c>
      <c r="AB492" s="121">
        <v>1</v>
      </c>
      <c r="AC492" s="158" t="s">
        <v>36</v>
      </c>
      <c r="AD492" s="119"/>
      <c r="AE492" s="158" t="s">
        <v>27</v>
      </c>
      <c r="AF492" s="121">
        <v>0</v>
      </c>
      <c r="AG492" s="121">
        <v>0</v>
      </c>
      <c r="AH492" s="121">
        <v>1</v>
      </c>
      <c r="AI492" s="158" t="s">
        <v>36</v>
      </c>
      <c r="AJ492" s="119"/>
      <c r="AK492" s="158" t="s">
        <v>28</v>
      </c>
      <c r="AL492" s="121">
        <v>0</v>
      </c>
      <c r="AM492" s="121">
        <v>0</v>
      </c>
      <c r="AN492" s="121">
        <v>1</v>
      </c>
      <c r="AO492" s="158" t="s">
        <v>36</v>
      </c>
    </row>
    <row r="493" spans="1:41" x14ac:dyDescent="0.3">
      <c r="A493" s="160">
        <v>58</v>
      </c>
      <c r="B493" s="4">
        <v>24.765704392336936</v>
      </c>
      <c r="C493" s="121">
        <v>0.24825506751811824</v>
      </c>
      <c r="D493" s="158" t="s">
        <v>30</v>
      </c>
      <c r="G493" s="160">
        <v>35</v>
      </c>
      <c r="H493" s="4">
        <v>20.730013886133701</v>
      </c>
      <c r="I493" s="121">
        <v>0.30333487623707789</v>
      </c>
      <c r="J493" s="158" t="s">
        <v>30</v>
      </c>
      <c r="M493" s="160">
        <v>58</v>
      </c>
      <c r="N493" s="158">
        <v>91</v>
      </c>
      <c r="O493" s="121">
        <v>0.9</v>
      </c>
      <c r="P493" s="121">
        <v>0.1</v>
      </c>
      <c r="Q493" s="158" t="s">
        <v>30</v>
      </c>
      <c r="S493" s="158" t="s">
        <v>25</v>
      </c>
      <c r="T493" s="121">
        <v>1</v>
      </c>
      <c r="U493" s="121">
        <v>1</v>
      </c>
      <c r="V493" s="121">
        <v>0</v>
      </c>
      <c r="W493" s="158" t="s">
        <v>30</v>
      </c>
      <c r="X493" s="119"/>
      <c r="Y493" s="158" t="s">
        <v>26</v>
      </c>
      <c r="Z493" s="121">
        <v>0</v>
      </c>
      <c r="AA493" s="121">
        <v>0</v>
      </c>
      <c r="AB493" s="121">
        <v>1</v>
      </c>
      <c r="AC493" s="158" t="s">
        <v>30</v>
      </c>
      <c r="AD493" s="119"/>
      <c r="AE493" s="158" t="s">
        <v>27</v>
      </c>
      <c r="AF493" s="121">
        <v>0</v>
      </c>
      <c r="AG493" s="121">
        <v>0</v>
      </c>
      <c r="AH493" s="121">
        <v>1</v>
      </c>
      <c r="AI493" s="158" t="s">
        <v>30</v>
      </c>
      <c r="AJ493" s="119"/>
      <c r="AK493" s="158" t="s">
        <v>33</v>
      </c>
      <c r="AL493" s="121">
        <v>1</v>
      </c>
      <c r="AM493" s="121">
        <v>1</v>
      </c>
      <c r="AN493" s="121">
        <v>0</v>
      </c>
      <c r="AO493" s="158" t="s">
        <v>30</v>
      </c>
    </row>
    <row r="494" spans="1:41" x14ac:dyDescent="0.3">
      <c r="B494" s="142" t="s">
        <v>36</v>
      </c>
      <c r="C494" s="142">
        <f>COUNTIF(D489:D493, "Rendah")</f>
        <v>1</v>
      </c>
      <c r="G494" s="160">
        <v>36</v>
      </c>
      <c r="H494" s="4">
        <v>26.360544217687082</v>
      </c>
      <c r="I494" s="121">
        <v>0.92894935752078689</v>
      </c>
      <c r="J494" s="158" t="s">
        <v>36</v>
      </c>
      <c r="N494" s="121" t="s">
        <v>64</v>
      </c>
      <c r="O494" s="121">
        <f>SUM(O489:O493)</f>
        <v>4.9000000000000004</v>
      </c>
      <c r="P494" s="121">
        <f>SUM(P489:P493)</f>
        <v>0.1</v>
      </c>
      <c r="T494" s="121" t="s">
        <v>64</v>
      </c>
      <c r="U494" s="121">
        <f>SUM(U489:U493)</f>
        <v>3</v>
      </c>
      <c r="V494" s="121">
        <f>SUM(V489:V493)</f>
        <v>2</v>
      </c>
      <c r="Z494" s="121" t="s">
        <v>64</v>
      </c>
      <c r="AA494" s="121">
        <f>SUM(AA489:AA493)</f>
        <v>1</v>
      </c>
      <c r="AB494" s="121">
        <f>SUM(AB489:AB493)</f>
        <v>4</v>
      </c>
      <c r="AF494" s="121" t="s">
        <v>64</v>
      </c>
      <c r="AG494" s="121">
        <f>SUM(AG489:AG493)</f>
        <v>0</v>
      </c>
      <c r="AH494" s="121">
        <f>SUM(AH489:AH493)</f>
        <v>5</v>
      </c>
      <c r="AL494" s="121" t="s">
        <v>64</v>
      </c>
      <c r="AM494" s="121">
        <f>SUM(AM489:AM493)</f>
        <v>2</v>
      </c>
      <c r="AN494" s="121">
        <f>SUM(AN489:AN493)</f>
        <v>3</v>
      </c>
    </row>
    <row r="495" spans="1:41" x14ac:dyDescent="0.3">
      <c r="B495" s="142" t="s">
        <v>30</v>
      </c>
      <c r="C495" s="142">
        <f>COUNTIF(D489:D493, "Sedang")</f>
        <v>3</v>
      </c>
      <c r="G495" s="160">
        <v>58</v>
      </c>
      <c r="H495" s="4">
        <v>24.765704392336936</v>
      </c>
      <c r="I495" s="121">
        <v>0.75174493248188179</v>
      </c>
      <c r="J495" s="158" t="s">
        <v>30</v>
      </c>
      <c r="N495" s="141" t="s">
        <v>36</v>
      </c>
      <c r="O495" s="146">
        <f>SUMIF(Q489:Q493,N495,O489:O493)</f>
        <v>1</v>
      </c>
      <c r="P495" s="141">
        <f>SUMIF(Q489:Q493,N495,P489:P493)</f>
        <v>0</v>
      </c>
      <c r="T495" s="141" t="s">
        <v>36</v>
      </c>
      <c r="U495" s="146">
        <f>SUMIF(W489:W493,T495,U489:U493)</f>
        <v>1</v>
      </c>
      <c r="V495" s="141">
        <f>SUMIF(W489:W493,T495,V489:V493)</f>
        <v>0</v>
      </c>
      <c r="Z495" s="141" t="s">
        <v>36</v>
      </c>
      <c r="AA495" s="146">
        <f>SUMIF(AC489:AC493,Z495,AA489:AA493)</f>
        <v>0</v>
      </c>
      <c r="AB495" s="141">
        <f>SUMIF(AC489:AC493,Z495,AB489:AB493)</f>
        <v>1</v>
      </c>
      <c r="AF495" s="141" t="s">
        <v>36</v>
      </c>
      <c r="AG495" s="146">
        <f>SUMIF(AI489:AI493,AF495,AG489:AG493)</f>
        <v>0</v>
      </c>
      <c r="AH495" s="141">
        <f>SUMIF(AI489:AI493,AF495,AH489:AH493)</f>
        <v>1</v>
      </c>
      <c r="AL495" s="141" t="s">
        <v>36</v>
      </c>
      <c r="AM495" s="146">
        <f>SUMIF(AO489:AO493,AL495,AM489:AM493)</f>
        <v>0</v>
      </c>
      <c r="AN495" s="141">
        <f>SUMIF(AO489:AO493,AL495,AN489:AN493)</f>
        <v>1</v>
      </c>
    </row>
    <row r="496" spans="1:41" x14ac:dyDescent="0.3">
      <c r="B496" s="142" t="s">
        <v>35</v>
      </c>
      <c r="C496" s="142">
        <f>COUNTIF(D489:D493, "Tinggi")</f>
        <v>1</v>
      </c>
      <c r="H496" s="142" t="s">
        <v>36</v>
      </c>
      <c r="I496" s="142">
        <f>COUNTIF(J489:J495, "Rendah")</f>
        <v>1</v>
      </c>
      <c r="N496" s="141" t="s">
        <v>30</v>
      </c>
      <c r="O496" s="146">
        <f>SUMIF(Q489:Q493,N496,O489:O493)</f>
        <v>2.9</v>
      </c>
      <c r="P496" s="141">
        <f>SUMIF(Q489:Q493,N496,P489:P493)</f>
        <v>0.1</v>
      </c>
      <c r="T496" s="141" t="s">
        <v>30</v>
      </c>
      <c r="U496" s="146">
        <f>SUMIF(W489:W493,T496,U489:U493)</f>
        <v>2</v>
      </c>
      <c r="V496" s="141">
        <f>SUMIF(W489:W493,T496,V489:V493)</f>
        <v>1</v>
      </c>
      <c r="Z496" s="141" t="s">
        <v>30</v>
      </c>
      <c r="AA496" s="146">
        <f>SUMIF(AC489:AC493,Z496,AA489:AA493)</f>
        <v>0</v>
      </c>
      <c r="AB496" s="141">
        <f>SUMIF(AC489:AC493,Z496,AB489:AB493)</f>
        <v>3</v>
      </c>
      <c r="AF496" s="141" t="s">
        <v>30</v>
      </c>
      <c r="AG496" s="146">
        <f>SUMIF(AI489:AI493,AF496,AG489:AG493)</f>
        <v>0</v>
      </c>
      <c r="AH496" s="141">
        <f>SUMIF(AI489:AI493,AF496,AH489:AH493)</f>
        <v>3</v>
      </c>
      <c r="AL496" s="141" t="s">
        <v>30</v>
      </c>
      <c r="AM496" s="146">
        <f>SUMIF(AO489:AO493,AL496,AM489:AM493)</f>
        <v>2</v>
      </c>
      <c r="AN496" s="141">
        <f>SUMIF(AO489:AO493,AL496,AN489:AN493)</f>
        <v>1</v>
      </c>
    </row>
    <row r="497" spans="3:40" x14ac:dyDescent="0.3">
      <c r="C497">
        <v>5</v>
      </c>
      <c r="H497" s="142" t="s">
        <v>30</v>
      </c>
      <c r="I497" s="142">
        <f>COUNTIF(J489:J495, "Sedang")</f>
        <v>4</v>
      </c>
      <c r="N497" s="141" t="s">
        <v>35</v>
      </c>
      <c r="O497" s="146">
        <f>SUMIF(Q489:Q493,N497,O489:O493)</f>
        <v>1</v>
      </c>
      <c r="P497" s="141">
        <f>SUMIF(Q489:Q493,N497,P489:P493)</f>
        <v>0</v>
      </c>
      <c r="T497" s="141" t="s">
        <v>35</v>
      </c>
      <c r="U497" s="146">
        <f>SUMIF(W489:W493,T497,U489:U493)</f>
        <v>0</v>
      </c>
      <c r="V497" s="141">
        <f>SUMIF(W489:W493,T497,V489:V493)</f>
        <v>1</v>
      </c>
      <c r="Z497" s="141" t="s">
        <v>35</v>
      </c>
      <c r="AA497" s="146">
        <f>SUMIF(AC489:AC493,Z497,AA489:AA493)</f>
        <v>1</v>
      </c>
      <c r="AB497" s="141">
        <f>SUMIF(AC489:AC493,Z497,AB489:AB493)</f>
        <v>0</v>
      </c>
      <c r="AF497" s="141" t="s">
        <v>35</v>
      </c>
      <c r="AG497" s="146">
        <f>SUMIF(AI489:AI493,AF497,AG489:AG493)</f>
        <v>0</v>
      </c>
      <c r="AH497" s="141">
        <f>SUMIF(AI489:AI493,AF497,AH489:AH493)</f>
        <v>1</v>
      </c>
      <c r="AL497" s="141" t="s">
        <v>35</v>
      </c>
      <c r="AM497" s="146">
        <f>SUMIF(AO489:AO493,AL497,AM489:AM493)</f>
        <v>0</v>
      </c>
      <c r="AN497" s="141">
        <f>SUMIF(AO489:AO493,AL497,AN489:AN493)</f>
        <v>1</v>
      </c>
    </row>
    <row r="498" spans="3:40" x14ac:dyDescent="0.3">
      <c r="H498" s="142" t="s">
        <v>35</v>
      </c>
      <c r="I498" s="142">
        <f>COUNTIF(J489:J495, "Tinggi")</f>
        <v>2</v>
      </c>
    </row>
    <row r="499" spans="3:40" x14ac:dyDescent="0.3">
      <c r="I499">
        <v>7</v>
      </c>
    </row>
    <row r="500" spans="3:40" x14ac:dyDescent="0.3">
      <c r="M500" s="219" t="s">
        <v>272</v>
      </c>
      <c r="N500" s="219"/>
      <c r="O500" s="165" t="s">
        <v>44</v>
      </c>
      <c r="P500" s="123">
        <f>-(O495/O494)*LOG((O495/O494),2)-(O496/O494)*LOG((O496/O494),2)-(O497/O494)*LOG((O497/O494),2)</f>
        <v>1.3836892164326198</v>
      </c>
      <c r="Q500" s="165" t="s">
        <v>258</v>
      </c>
      <c r="R500" s="123">
        <f>-(0)-(P496/P494)*LOG((P496/P494),2)-(0)</f>
        <v>0</v>
      </c>
      <c r="T500" s="232" t="s">
        <v>261</v>
      </c>
      <c r="U500" s="233"/>
      <c r="V500" s="234"/>
      <c r="W500" s="151">
        <f>-((1/5)*LOG((1/5),2))-((3/5)*LOG((3/5),2))-((1/5)*LOG((1/5),2))</f>
        <v>1.3709505944546687</v>
      </c>
    </row>
    <row r="501" spans="3:40" x14ac:dyDescent="0.3">
      <c r="M501" s="219" t="s">
        <v>274</v>
      </c>
      <c r="N501" s="219"/>
      <c r="O501" s="165" t="s">
        <v>25</v>
      </c>
      <c r="P501" s="123">
        <f>-(U495/U494)*LOG((U495/U494),2)-(U496/U494)*LOG((U496/U494),2)-(0)</f>
        <v>0.91829583405448956</v>
      </c>
      <c r="Q501" s="165" t="s">
        <v>34</v>
      </c>
      <c r="R501" s="123">
        <f>-(0)-(V496/V494)*LOG((V496/V494),2)-(V497/V494)*LOG((V497/V494),2)</f>
        <v>1</v>
      </c>
      <c r="T501" s="229" t="s">
        <v>263</v>
      </c>
      <c r="U501" s="230"/>
      <c r="V501" s="231"/>
      <c r="W501" s="151">
        <f>(W500)-((O494/5)*P500)-((P494/5)*R500)</f>
        <v>1.4935162350701248E-2</v>
      </c>
    </row>
    <row r="502" spans="3:40" x14ac:dyDescent="0.3">
      <c r="M502" s="219" t="s">
        <v>275</v>
      </c>
      <c r="N502" s="219"/>
      <c r="O502" s="165" t="s">
        <v>26</v>
      </c>
      <c r="P502" s="123">
        <f>-(0)-(0)-(AA497/AA494)*LOG((AA497/AA494),2)</f>
        <v>0</v>
      </c>
      <c r="Q502" s="165" t="s">
        <v>39</v>
      </c>
      <c r="R502" s="123">
        <f>-(AB495/AB494)*LOG((AB495/AB494),2)-(AB496/AB494)*LOG((AB496/AB494),2)-(0)</f>
        <v>0.81127812445913283</v>
      </c>
      <c r="T502" s="229" t="s">
        <v>264</v>
      </c>
      <c r="U502" s="230"/>
      <c r="V502" s="231"/>
      <c r="W502" s="151">
        <f>(W500)-((U494/5)*P501)-((V494/5)*R501)</f>
        <v>0.41997309402197502</v>
      </c>
    </row>
    <row r="503" spans="3:40" x14ac:dyDescent="0.3">
      <c r="M503" s="219" t="s">
        <v>276</v>
      </c>
      <c r="N503" s="219"/>
      <c r="O503" s="149" t="s">
        <v>27</v>
      </c>
      <c r="P503" s="123">
        <f>-(0)-(0)-(0)</f>
        <v>0</v>
      </c>
      <c r="Q503" s="149" t="s">
        <v>32</v>
      </c>
      <c r="R503" s="123">
        <f>-(AH495/AH494)*LOG((AH495/AH494),2)-(AH496/AH494)*LOG((AH496/AH494),2)-(AH497/AH494)*LOG((AH497/AH494),2)</f>
        <v>1.3709505944546687</v>
      </c>
      <c r="T503" s="235" t="s">
        <v>265</v>
      </c>
      <c r="U503" s="236"/>
      <c r="V503" s="237"/>
      <c r="W503" s="152">
        <f>(W500)-((AA494/5)*P502)-((AB494/5)*R502)</f>
        <v>0.72192809488736243</v>
      </c>
    </row>
    <row r="504" spans="3:40" x14ac:dyDescent="0.3">
      <c r="M504" s="219" t="s">
        <v>277</v>
      </c>
      <c r="N504" s="219"/>
      <c r="O504" s="149" t="s">
        <v>28</v>
      </c>
      <c r="P504" s="123">
        <f>-(0)-(AM496/AM494)*LOG((AM496/AM494),2)-(0)</f>
        <v>0</v>
      </c>
      <c r="Q504" s="149" t="s">
        <v>33</v>
      </c>
      <c r="R504" s="123">
        <f>-(AN495/AN494)*LOG((AN495/AN494),2)-(AN496/AN494)*LOG((AN496/AN494),2)-(AN497/AN494)*LOG((AN497/AN494),2)</f>
        <v>1.5849625007211561</v>
      </c>
      <c r="T504" s="229" t="s">
        <v>266</v>
      </c>
      <c r="U504" s="230"/>
      <c r="V504" s="231"/>
      <c r="W504" s="151">
        <f>(W500)-((AG494/5)*P503)-((AH494/5)*R503)</f>
        <v>0</v>
      </c>
    </row>
    <row r="505" spans="3:40" x14ac:dyDescent="0.3">
      <c r="T505" s="229" t="s">
        <v>267</v>
      </c>
      <c r="U505" s="230"/>
      <c r="V505" s="231"/>
      <c r="W505" s="151">
        <f>(W500)-((AM494/5)*P504)-((AN494/5)*R504)</f>
        <v>0.41997309402197514</v>
      </c>
    </row>
    <row r="516" spans="1:11" x14ac:dyDescent="0.3">
      <c r="A516" s="139" t="s">
        <v>77</v>
      </c>
      <c r="B516" s="139" t="s">
        <v>48</v>
      </c>
      <c r="C516" s="139" t="s">
        <v>259</v>
      </c>
      <c r="D516" s="139" t="s">
        <v>26</v>
      </c>
      <c r="E516" s="139" t="s">
        <v>66</v>
      </c>
      <c r="G516" s="139" t="s">
        <v>77</v>
      </c>
      <c r="H516" s="139" t="s">
        <v>48</v>
      </c>
      <c r="I516" s="139" t="s">
        <v>259</v>
      </c>
      <c r="J516" s="139" t="s">
        <v>39</v>
      </c>
      <c r="K516" s="139" t="s">
        <v>66</v>
      </c>
    </row>
    <row r="517" spans="1:11" x14ac:dyDescent="0.3">
      <c r="A517" s="160">
        <v>31</v>
      </c>
      <c r="B517" s="158" t="s">
        <v>39</v>
      </c>
      <c r="C517" s="121">
        <v>1</v>
      </c>
      <c r="D517" s="121">
        <v>1</v>
      </c>
      <c r="E517" s="158" t="s">
        <v>35</v>
      </c>
      <c r="G517" s="160">
        <v>1</v>
      </c>
      <c r="H517" s="158" t="s">
        <v>26</v>
      </c>
      <c r="I517" s="121">
        <v>0</v>
      </c>
      <c r="J517" s="121">
        <v>1</v>
      </c>
      <c r="K517" s="158" t="s">
        <v>30</v>
      </c>
    </row>
    <row r="518" spans="1:11" x14ac:dyDescent="0.3">
      <c r="C518" s="142" t="s">
        <v>36</v>
      </c>
      <c r="D518" s="142">
        <f>COUNTIF(E513:E517, "Rendah")</f>
        <v>0</v>
      </c>
      <c r="G518" s="160">
        <v>35</v>
      </c>
      <c r="H518" s="158" t="s">
        <v>26</v>
      </c>
      <c r="I518" s="121">
        <v>0</v>
      </c>
      <c r="J518" s="121">
        <v>1</v>
      </c>
      <c r="K518" s="158" t="s">
        <v>30</v>
      </c>
    </row>
    <row r="519" spans="1:11" x14ac:dyDescent="0.3">
      <c r="C519" s="142" t="s">
        <v>30</v>
      </c>
      <c r="D519" s="142">
        <f>COUNTIF(E513:E517, "Sedang")</f>
        <v>0</v>
      </c>
      <c r="G519" s="160">
        <v>36</v>
      </c>
      <c r="H519" s="158" t="s">
        <v>26</v>
      </c>
      <c r="I519" s="121">
        <v>0</v>
      </c>
      <c r="J519" s="121">
        <v>1</v>
      </c>
      <c r="K519" s="158" t="s">
        <v>36</v>
      </c>
    </row>
    <row r="520" spans="1:11" x14ac:dyDescent="0.3">
      <c r="C520" s="142" t="s">
        <v>35</v>
      </c>
      <c r="D520" s="142">
        <f>COUNTIF(E513:E517, "Tinggi")</f>
        <v>1</v>
      </c>
      <c r="G520" s="160">
        <v>58</v>
      </c>
      <c r="H520" s="158" t="s">
        <v>26</v>
      </c>
      <c r="I520" s="121">
        <v>0</v>
      </c>
      <c r="J520" s="121">
        <v>1</v>
      </c>
      <c r="K520" s="158" t="s">
        <v>30</v>
      </c>
    </row>
    <row r="521" spans="1:11" x14ac:dyDescent="0.3">
      <c r="D521">
        <v>1</v>
      </c>
      <c r="I521" s="142" t="s">
        <v>36</v>
      </c>
      <c r="J521" s="142">
        <f>COUNTIF(K517:K520, "Rendah")</f>
        <v>1</v>
      </c>
    </row>
    <row r="522" spans="1:11" x14ac:dyDescent="0.3">
      <c r="I522" s="142" t="s">
        <v>30</v>
      </c>
      <c r="J522" s="142">
        <f>COUNTIF(K517:K520, "Sedang")</f>
        <v>3</v>
      </c>
    </row>
    <row r="523" spans="1:11" x14ac:dyDescent="0.3">
      <c r="I523" s="142" t="s">
        <v>35</v>
      </c>
      <c r="J523" s="142">
        <f>COUNTIF(K517:K520, "Tinggi")</f>
        <v>0</v>
      </c>
    </row>
    <row r="524" spans="1:11" x14ac:dyDescent="0.3">
      <c r="J524">
        <v>4</v>
      </c>
    </row>
    <row r="525" spans="1:11" x14ac:dyDescent="0.3">
      <c r="F525" s="161" t="s">
        <v>283</v>
      </c>
      <c r="G525" s="153">
        <v>0.7</v>
      </c>
      <c r="H525" s="119"/>
      <c r="I525" s="119"/>
    </row>
    <row r="526" spans="1:11" x14ac:dyDescent="0.3">
      <c r="F526" s="128" t="s">
        <v>98</v>
      </c>
      <c r="G526" s="119"/>
      <c r="H526" s="119"/>
      <c r="I526" s="128" t="s">
        <v>282</v>
      </c>
    </row>
    <row r="527" spans="1:11" x14ac:dyDescent="0.3">
      <c r="F527" s="90" t="s">
        <v>130</v>
      </c>
      <c r="G527" s="90" t="s">
        <v>36</v>
      </c>
      <c r="H527" s="90">
        <v>0</v>
      </c>
      <c r="I527" s="90">
        <v>0</v>
      </c>
    </row>
    <row r="528" spans="1:11" x14ac:dyDescent="0.3">
      <c r="F528" s="119"/>
      <c r="G528" s="119" t="s">
        <v>30</v>
      </c>
      <c r="H528" s="90">
        <v>0</v>
      </c>
      <c r="I528" s="90">
        <v>0</v>
      </c>
    </row>
    <row r="529" spans="6:9" x14ac:dyDescent="0.3">
      <c r="F529" s="119"/>
      <c r="G529" s="30" t="s">
        <v>35</v>
      </c>
      <c r="H529" s="30">
        <v>1</v>
      </c>
      <c r="I529" s="30">
        <v>100</v>
      </c>
    </row>
    <row r="530" spans="6:9" x14ac:dyDescent="0.3">
      <c r="F530" s="128" t="s">
        <v>109</v>
      </c>
      <c r="G530" s="119"/>
      <c r="H530" s="119"/>
      <c r="I530" s="128" t="s">
        <v>282</v>
      </c>
    </row>
    <row r="531" spans="6:9" x14ac:dyDescent="0.3">
      <c r="F531" s="119" t="s">
        <v>130</v>
      </c>
      <c r="G531" s="119" t="s">
        <v>36</v>
      </c>
      <c r="H531" s="119">
        <v>1</v>
      </c>
      <c r="I531" s="119">
        <f>((H531)/(J524))*(100)</f>
        <v>25</v>
      </c>
    </row>
    <row r="532" spans="6:9" x14ac:dyDescent="0.3">
      <c r="F532" s="119"/>
      <c r="G532" s="90" t="s">
        <v>30</v>
      </c>
      <c r="H532" s="90">
        <v>3</v>
      </c>
      <c r="I532" s="90">
        <f>((H532)/(J524))*(100)</f>
        <v>75</v>
      </c>
    </row>
    <row r="533" spans="6:9" x14ac:dyDescent="0.3">
      <c r="F533" s="119"/>
      <c r="G533" s="30" t="s">
        <v>35</v>
      </c>
      <c r="H533" s="30">
        <v>0</v>
      </c>
      <c r="I533" s="30">
        <v>0</v>
      </c>
    </row>
    <row r="550" spans="8:41" x14ac:dyDescent="0.3">
      <c r="H550" s="139" t="s">
        <v>77</v>
      </c>
      <c r="I550" s="139" t="s">
        <v>10</v>
      </c>
      <c r="J550" s="139" t="s">
        <v>47</v>
      </c>
      <c r="K550" s="139" t="s">
        <v>66</v>
      </c>
      <c r="M550" s="139" t="s">
        <v>77</v>
      </c>
      <c r="N550" s="139" t="s">
        <v>56</v>
      </c>
      <c r="O550" s="139" t="s">
        <v>44</v>
      </c>
      <c r="P550" s="139" t="s">
        <v>258</v>
      </c>
      <c r="Q550" s="139" t="s">
        <v>66</v>
      </c>
      <c r="S550" s="139" t="s">
        <v>11</v>
      </c>
      <c r="T550" s="139" t="s">
        <v>259</v>
      </c>
      <c r="U550" s="139" t="s">
        <v>25</v>
      </c>
      <c r="V550" s="139" t="s">
        <v>34</v>
      </c>
      <c r="W550" s="139" t="s">
        <v>66</v>
      </c>
      <c r="X550" s="119"/>
      <c r="Y550" s="139" t="s">
        <v>48</v>
      </c>
      <c r="Z550" s="139" t="s">
        <v>259</v>
      </c>
      <c r="AA550" s="139" t="s">
        <v>26</v>
      </c>
      <c r="AB550" s="139" t="s">
        <v>39</v>
      </c>
      <c r="AC550" s="139" t="s">
        <v>66</v>
      </c>
      <c r="AD550" s="119"/>
      <c r="AE550" s="139" t="s">
        <v>13</v>
      </c>
      <c r="AF550" s="139" t="s">
        <v>259</v>
      </c>
      <c r="AG550" s="166" t="s">
        <v>27</v>
      </c>
      <c r="AH550" s="166" t="s">
        <v>32</v>
      </c>
      <c r="AI550" s="139" t="s">
        <v>66</v>
      </c>
      <c r="AJ550" s="119"/>
      <c r="AK550" s="139" t="s">
        <v>52</v>
      </c>
      <c r="AL550" s="142" t="s">
        <v>259</v>
      </c>
      <c r="AM550" s="166" t="s">
        <v>28</v>
      </c>
      <c r="AN550" s="166" t="s">
        <v>33</v>
      </c>
      <c r="AO550" s="139" t="s">
        <v>66</v>
      </c>
    </row>
    <row r="551" spans="8:41" x14ac:dyDescent="0.3">
      <c r="H551" s="160">
        <v>1</v>
      </c>
      <c r="I551" s="4">
        <v>23.598931085099178</v>
      </c>
      <c r="J551" s="121">
        <v>0.62210345389990862</v>
      </c>
      <c r="K551" s="158" t="s">
        <v>30</v>
      </c>
      <c r="M551" s="160">
        <v>1</v>
      </c>
      <c r="N551" s="158">
        <v>78</v>
      </c>
      <c r="O551" s="121">
        <v>1</v>
      </c>
      <c r="P551" s="121">
        <v>0</v>
      </c>
      <c r="Q551" s="158" t="s">
        <v>30</v>
      </c>
      <c r="S551" s="120" t="s">
        <v>25</v>
      </c>
      <c r="T551" s="121">
        <v>1</v>
      </c>
      <c r="U551" s="121">
        <v>1</v>
      </c>
      <c r="V551" s="121">
        <v>0</v>
      </c>
      <c r="W551" s="158" t="s">
        <v>30</v>
      </c>
      <c r="X551" s="119"/>
      <c r="Y551" s="158" t="s">
        <v>26</v>
      </c>
      <c r="Z551" s="121">
        <v>0</v>
      </c>
      <c r="AA551" s="121">
        <v>0</v>
      </c>
      <c r="AB551" s="121">
        <v>1</v>
      </c>
      <c r="AC551" s="158" t="s">
        <v>30</v>
      </c>
      <c r="AD551" s="119"/>
      <c r="AE551" s="158" t="s">
        <v>27</v>
      </c>
      <c r="AF551" s="121">
        <v>0</v>
      </c>
      <c r="AG551" s="121">
        <v>0</v>
      </c>
      <c r="AH551" s="121">
        <v>1</v>
      </c>
      <c r="AI551" s="158" t="s">
        <v>30</v>
      </c>
      <c r="AJ551" s="119"/>
      <c r="AK551" s="158" t="s">
        <v>28</v>
      </c>
      <c r="AL551" s="121">
        <v>0</v>
      </c>
      <c r="AM551" s="121">
        <v>0</v>
      </c>
      <c r="AN551" s="121">
        <v>1</v>
      </c>
      <c r="AO551" s="158" t="s">
        <v>30</v>
      </c>
    </row>
    <row r="552" spans="8:41" x14ac:dyDescent="0.3">
      <c r="H552" s="160">
        <v>7</v>
      </c>
      <c r="I552" s="4">
        <v>27.695595003287313</v>
      </c>
      <c r="J552" s="121">
        <v>1</v>
      </c>
      <c r="K552" s="158" t="s">
        <v>35</v>
      </c>
      <c r="M552" s="160">
        <v>7</v>
      </c>
      <c r="N552" s="158">
        <v>97</v>
      </c>
      <c r="O552" s="121">
        <v>0.3</v>
      </c>
      <c r="P552" s="121">
        <v>0.7</v>
      </c>
      <c r="Q552" s="158" t="s">
        <v>35</v>
      </c>
      <c r="S552" s="120" t="s">
        <v>31</v>
      </c>
      <c r="T552" s="121">
        <v>0</v>
      </c>
      <c r="U552" s="121">
        <v>0</v>
      </c>
      <c r="V552" s="121">
        <v>1</v>
      </c>
      <c r="W552" s="158" t="s">
        <v>35</v>
      </c>
      <c r="X552" s="119"/>
      <c r="Y552" s="158" t="s">
        <v>26</v>
      </c>
      <c r="Z552" s="121">
        <v>0</v>
      </c>
      <c r="AA552" s="121">
        <v>0</v>
      </c>
      <c r="AB552" s="121">
        <v>1</v>
      </c>
      <c r="AC552" s="158" t="s">
        <v>35</v>
      </c>
      <c r="AD552" s="119"/>
      <c r="AE552" s="158" t="s">
        <v>27</v>
      </c>
      <c r="AF552" s="121">
        <v>0</v>
      </c>
      <c r="AG552" s="121">
        <v>0</v>
      </c>
      <c r="AH552" s="121">
        <v>1</v>
      </c>
      <c r="AI552" s="158" t="s">
        <v>35</v>
      </c>
      <c r="AJ552" s="119"/>
      <c r="AK552" s="158" t="s">
        <v>28</v>
      </c>
      <c r="AL552" s="121">
        <v>0</v>
      </c>
      <c r="AM552" s="121">
        <v>0</v>
      </c>
      <c r="AN552" s="121">
        <v>1</v>
      </c>
      <c r="AO552" s="158" t="s">
        <v>35</v>
      </c>
    </row>
    <row r="553" spans="8:41" x14ac:dyDescent="0.3">
      <c r="H553" s="160">
        <v>13</v>
      </c>
      <c r="I553" s="4">
        <v>27.028166638556247</v>
      </c>
      <c r="J553" s="121">
        <v>1</v>
      </c>
      <c r="K553" s="158" t="s">
        <v>30</v>
      </c>
      <c r="M553" s="160">
        <v>13</v>
      </c>
      <c r="N553" s="158">
        <v>85</v>
      </c>
      <c r="O553" s="121">
        <v>1</v>
      </c>
      <c r="P553" s="121">
        <v>0</v>
      </c>
      <c r="Q553" s="158" t="s">
        <v>30</v>
      </c>
      <c r="S553" s="120" t="s">
        <v>25</v>
      </c>
      <c r="T553" s="121">
        <v>1</v>
      </c>
      <c r="U553" s="121">
        <v>1</v>
      </c>
      <c r="V553" s="121">
        <v>0</v>
      </c>
      <c r="W553" s="158" t="s">
        <v>30</v>
      </c>
      <c r="X553" s="119"/>
      <c r="Y553" s="158" t="s">
        <v>26</v>
      </c>
      <c r="Z553" s="121">
        <v>0</v>
      </c>
      <c r="AA553" s="121">
        <v>0</v>
      </c>
      <c r="AB553" s="121">
        <v>1</v>
      </c>
      <c r="AC553" s="158" t="s">
        <v>30</v>
      </c>
      <c r="AD553" s="119"/>
      <c r="AE553" s="158" t="s">
        <v>32</v>
      </c>
      <c r="AF553" s="121">
        <v>1</v>
      </c>
      <c r="AG553" s="121">
        <v>1</v>
      </c>
      <c r="AH553" s="121">
        <v>0</v>
      </c>
      <c r="AI553" s="158" t="s">
        <v>30</v>
      </c>
      <c r="AJ553" s="119"/>
      <c r="AK553" s="158" t="s">
        <v>33</v>
      </c>
      <c r="AL553" s="121">
        <v>1</v>
      </c>
      <c r="AM553" s="121">
        <v>1</v>
      </c>
      <c r="AN553" s="121">
        <v>0</v>
      </c>
      <c r="AO553" s="158" t="s">
        <v>30</v>
      </c>
    </row>
    <row r="554" spans="8:41" x14ac:dyDescent="0.3">
      <c r="H554" s="160">
        <v>31</v>
      </c>
      <c r="I554" s="4">
        <v>24.582560296846012</v>
      </c>
      <c r="J554" s="121">
        <v>0.73139558853844577</v>
      </c>
      <c r="K554" s="158" t="s">
        <v>35</v>
      </c>
      <c r="M554" s="160">
        <v>31</v>
      </c>
      <c r="N554" s="158">
        <v>68</v>
      </c>
      <c r="O554" s="121">
        <v>1</v>
      </c>
      <c r="P554" s="121">
        <v>0</v>
      </c>
      <c r="Q554" s="158" t="s">
        <v>35</v>
      </c>
      <c r="S554" s="120" t="s">
        <v>31</v>
      </c>
      <c r="T554" s="121">
        <v>0</v>
      </c>
      <c r="U554" s="121">
        <v>0</v>
      </c>
      <c r="V554" s="121">
        <v>1</v>
      </c>
      <c r="W554" s="158" t="s">
        <v>35</v>
      </c>
      <c r="X554" s="119"/>
      <c r="Y554" s="158" t="s">
        <v>39</v>
      </c>
      <c r="Z554" s="121">
        <v>1</v>
      </c>
      <c r="AA554" s="121">
        <v>1</v>
      </c>
      <c r="AB554" s="121">
        <v>0</v>
      </c>
      <c r="AC554" s="158" t="s">
        <v>35</v>
      </c>
      <c r="AD554" s="119"/>
      <c r="AE554" s="158" t="s">
        <v>27</v>
      </c>
      <c r="AF554" s="121">
        <v>0</v>
      </c>
      <c r="AG554" s="121">
        <v>0</v>
      </c>
      <c r="AH554" s="121">
        <v>1</v>
      </c>
      <c r="AI554" s="158" t="s">
        <v>35</v>
      </c>
      <c r="AJ554" s="119"/>
      <c r="AK554" s="158" t="s">
        <v>28</v>
      </c>
      <c r="AL554" s="121">
        <v>0</v>
      </c>
      <c r="AM554" s="121">
        <v>0</v>
      </c>
      <c r="AN554" s="121">
        <v>1</v>
      </c>
      <c r="AO554" s="158" t="s">
        <v>35</v>
      </c>
    </row>
    <row r="555" spans="8:41" x14ac:dyDescent="0.3">
      <c r="H555" s="160">
        <v>35</v>
      </c>
      <c r="I555" s="4">
        <v>20.730013886133701</v>
      </c>
      <c r="J555" s="121">
        <v>0.30333487623707789</v>
      </c>
      <c r="K555" s="158" t="s">
        <v>30</v>
      </c>
      <c r="M555" s="160">
        <v>35</v>
      </c>
      <c r="N555" s="158">
        <v>78</v>
      </c>
      <c r="O555" s="121">
        <v>1</v>
      </c>
      <c r="P555" s="121">
        <v>0</v>
      </c>
      <c r="Q555" s="158" t="s">
        <v>30</v>
      </c>
      <c r="S555" s="120" t="s">
        <v>31</v>
      </c>
      <c r="T555" s="121">
        <v>0</v>
      </c>
      <c r="U555" s="121">
        <v>0</v>
      </c>
      <c r="V555" s="121">
        <v>1</v>
      </c>
      <c r="W555" s="158" t="s">
        <v>30</v>
      </c>
      <c r="X555" s="119"/>
      <c r="Y555" s="158" t="s">
        <v>26</v>
      </c>
      <c r="Z555" s="121">
        <v>0</v>
      </c>
      <c r="AA555" s="121">
        <v>0</v>
      </c>
      <c r="AB555" s="121">
        <v>1</v>
      </c>
      <c r="AC555" s="158" t="s">
        <v>30</v>
      </c>
      <c r="AD555" s="119"/>
      <c r="AE555" s="158" t="s">
        <v>27</v>
      </c>
      <c r="AF555" s="121">
        <v>0</v>
      </c>
      <c r="AG555" s="121">
        <v>0</v>
      </c>
      <c r="AH555" s="121">
        <v>1</v>
      </c>
      <c r="AI555" s="158" t="s">
        <v>30</v>
      </c>
      <c r="AJ555" s="119"/>
      <c r="AK555" s="158" t="s">
        <v>33</v>
      </c>
      <c r="AL555" s="121">
        <v>1</v>
      </c>
      <c r="AM555" s="121">
        <v>1</v>
      </c>
      <c r="AN555" s="121">
        <v>0</v>
      </c>
      <c r="AO555" s="158" t="s">
        <v>30</v>
      </c>
    </row>
    <row r="556" spans="8:41" x14ac:dyDescent="0.3">
      <c r="H556" s="160">
        <v>36</v>
      </c>
      <c r="I556" s="4">
        <v>26.360544217687082</v>
      </c>
      <c r="J556" s="121">
        <v>0.92894935752078689</v>
      </c>
      <c r="K556" s="158" t="s">
        <v>36</v>
      </c>
      <c r="M556" s="160">
        <v>36</v>
      </c>
      <c r="N556" s="158">
        <v>88</v>
      </c>
      <c r="O556" s="121">
        <v>1</v>
      </c>
      <c r="P556" s="121">
        <v>0</v>
      </c>
      <c r="Q556" s="158" t="s">
        <v>36</v>
      </c>
      <c r="S556" s="158" t="s">
        <v>25</v>
      </c>
      <c r="T556" s="121">
        <v>1</v>
      </c>
      <c r="U556" s="121">
        <v>1</v>
      </c>
      <c r="V556" s="121">
        <v>0</v>
      </c>
      <c r="W556" s="158" t="s">
        <v>36</v>
      </c>
      <c r="X556" s="119"/>
      <c r="Y556" s="158" t="s">
        <v>26</v>
      </c>
      <c r="Z556" s="121">
        <v>0</v>
      </c>
      <c r="AA556" s="121">
        <v>0</v>
      </c>
      <c r="AB556" s="121">
        <v>1</v>
      </c>
      <c r="AC556" s="158" t="s">
        <v>36</v>
      </c>
      <c r="AD556" s="119"/>
      <c r="AE556" s="158" t="s">
        <v>27</v>
      </c>
      <c r="AF556" s="121">
        <v>0</v>
      </c>
      <c r="AG556" s="121">
        <v>0</v>
      </c>
      <c r="AH556" s="121">
        <v>1</v>
      </c>
      <c r="AI556" s="158" t="s">
        <v>36</v>
      </c>
      <c r="AJ556" s="119"/>
      <c r="AK556" s="158" t="s">
        <v>28</v>
      </c>
      <c r="AL556" s="121">
        <v>0</v>
      </c>
      <c r="AM556" s="121">
        <v>0</v>
      </c>
      <c r="AN556" s="121">
        <v>1</v>
      </c>
      <c r="AO556" s="158" t="s">
        <v>36</v>
      </c>
    </row>
    <row r="557" spans="8:41" x14ac:dyDescent="0.3">
      <c r="H557" s="160">
        <v>58</v>
      </c>
      <c r="I557" s="4">
        <v>24.765704392336936</v>
      </c>
      <c r="J557" s="121">
        <v>0.75174493248188179</v>
      </c>
      <c r="K557" s="158" t="s">
        <v>30</v>
      </c>
      <c r="M557" s="160">
        <v>58</v>
      </c>
      <c r="N557" s="158">
        <v>91</v>
      </c>
      <c r="O557" s="121">
        <v>0.9</v>
      </c>
      <c r="P557" s="121">
        <v>0.1</v>
      </c>
      <c r="Q557" s="158" t="s">
        <v>30</v>
      </c>
      <c r="S557" s="158" t="s">
        <v>25</v>
      </c>
      <c r="T557" s="121">
        <v>1</v>
      </c>
      <c r="U557" s="121">
        <v>1</v>
      </c>
      <c r="V557" s="121">
        <v>0</v>
      </c>
      <c r="W557" s="158" t="s">
        <v>30</v>
      </c>
      <c r="X557" s="119"/>
      <c r="Y557" s="158" t="s">
        <v>26</v>
      </c>
      <c r="Z557" s="121">
        <v>0</v>
      </c>
      <c r="AA557" s="121">
        <v>0</v>
      </c>
      <c r="AB557" s="121">
        <v>1</v>
      </c>
      <c r="AC557" s="158" t="s">
        <v>30</v>
      </c>
      <c r="AD557" s="119"/>
      <c r="AE557" s="158" t="s">
        <v>27</v>
      </c>
      <c r="AF557" s="121">
        <v>0</v>
      </c>
      <c r="AG557" s="121">
        <v>0</v>
      </c>
      <c r="AH557" s="121">
        <v>1</v>
      </c>
      <c r="AI557" s="158" t="s">
        <v>30</v>
      </c>
      <c r="AJ557" s="119"/>
      <c r="AK557" s="158" t="s">
        <v>33</v>
      </c>
      <c r="AL557" s="121">
        <v>1</v>
      </c>
      <c r="AM557" s="121">
        <v>1</v>
      </c>
      <c r="AN557" s="121">
        <v>0</v>
      </c>
      <c r="AO557" s="158" t="s">
        <v>30</v>
      </c>
    </row>
    <row r="558" spans="8:41" x14ac:dyDescent="0.3">
      <c r="H558" s="119"/>
      <c r="I558" s="142" t="s">
        <v>36</v>
      </c>
      <c r="J558" s="142">
        <f>COUNTIF(K551:K557, "Rendah")</f>
        <v>1</v>
      </c>
      <c r="K558" s="119"/>
      <c r="N558" s="121" t="s">
        <v>64</v>
      </c>
      <c r="O558" s="121">
        <f>SUM(O551:O557)</f>
        <v>6.2</v>
      </c>
      <c r="P558" s="121">
        <f>SUM(P550:P557)</f>
        <v>0.79999999999999993</v>
      </c>
      <c r="T558" s="121" t="s">
        <v>64</v>
      </c>
      <c r="U558" s="121">
        <f>SUM(U551:U557)</f>
        <v>4</v>
      </c>
      <c r="V558" s="121">
        <f>SUM(V550:V557)</f>
        <v>3</v>
      </c>
      <c r="Z558" s="121" t="s">
        <v>64</v>
      </c>
      <c r="AA558" s="121">
        <f>SUM(AA551:AA557)</f>
        <v>1</v>
      </c>
      <c r="AB558" s="121">
        <f>SUM(AB550:AB557)</f>
        <v>6</v>
      </c>
      <c r="AF558" s="121" t="s">
        <v>64</v>
      </c>
      <c r="AG558" s="121">
        <f>SUM(AG551:AG557)</f>
        <v>1</v>
      </c>
      <c r="AH558" s="121">
        <f>SUM(AH550:AH557)</f>
        <v>6</v>
      </c>
      <c r="AL558" s="121" t="s">
        <v>64</v>
      </c>
      <c r="AM558" s="121">
        <f>SUM(AM551:AM557)</f>
        <v>3</v>
      </c>
      <c r="AN558" s="121">
        <f>SUM(AN550:AN557)</f>
        <v>4</v>
      </c>
    </row>
    <row r="559" spans="8:41" x14ac:dyDescent="0.3">
      <c r="H559" s="119"/>
      <c r="I559" s="142" t="s">
        <v>30</v>
      </c>
      <c r="J559" s="142">
        <f>COUNTIF(K551:K557, "Sedang")</f>
        <v>4</v>
      </c>
      <c r="K559" s="119"/>
      <c r="N559" s="141" t="s">
        <v>36</v>
      </c>
      <c r="O559" s="146">
        <f>SUMIF(Q551:Q557,N559,O551:O557)</f>
        <v>1</v>
      </c>
      <c r="P559" s="141">
        <f>SUMIF(Q551:Q557,N559,P551:P557)</f>
        <v>0</v>
      </c>
      <c r="T559" s="141" t="s">
        <v>36</v>
      </c>
      <c r="U559" s="146">
        <f>SUMIF(W551:W557,T559,U551:U557)</f>
        <v>1</v>
      </c>
      <c r="V559" s="141">
        <f>SUMIF(W551:W557,T559,V551:V557)</f>
        <v>0</v>
      </c>
      <c r="Z559" s="141" t="s">
        <v>36</v>
      </c>
      <c r="AA559" s="146">
        <f>SUMIF(AC551:AC557,Z559,AA551:AA557)</f>
        <v>0</v>
      </c>
      <c r="AB559" s="141">
        <f>SUMIF(AC551:AC557,Z559,AB551:AB557)</f>
        <v>1</v>
      </c>
      <c r="AF559" s="141" t="s">
        <v>36</v>
      </c>
      <c r="AG559" s="146">
        <f>SUMIF(AI551:AI557,AF559,AG551:AG557)</f>
        <v>0</v>
      </c>
      <c r="AH559" s="141">
        <f>SUMIF(AI551:AI557,AF559,AH551:AH557)</f>
        <v>1</v>
      </c>
      <c r="AL559" s="141" t="s">
        <v>36</v>
      </c>
      <c r="AM559" s="146">
        <f>SUMIF(AO551:AO557,AL559,AM551:AM557)</f>
        <v>0</v>
      </c>
      <c r="AN559" s="141">
        <f>SUMIF(AO551:AO557,AL559,AN551:AN557)</f>
        <v>1</v>
      </c>
    </row>
    <row r="560" spans="8:41" x14ac:dyDescent="0.3">
      <c r="H560" s="119"/>
      <c r="I560" s="142" t="s">
        <v>35</v>
      </c>
      <c r="J560" s="142">
        <f>COUNTIF(K551:K557, "Tinggi")</f>
        <v>2</v>
      </c>
      <c r="K560" s="119"/>
      <c r="N560" s="141" t="s">
        <v>30</v>
      </c>
      <c r="O560" s="146">
        <f>SUMIF(Q551:Q557,N560,O551:O557)</f>
        <v>3.9</v>
      </c>
      <c r="P560" s="141">
        <f>SUMIF(Q551:Q557,N560,P551:P557)</f>
        <v>0.1</v>
      </c>
      <c r="T560" s="141" t="s">
        <v>30</v>
      </c>
      <c r="U560" s="146">
        <f>SUMIF(W551:W557,T560,U551:U557)</f>
        <v>3</v>
      </c>
      <c r="V560" s="141">
        <f>SUMIF(W551:W557,T560,V551:V557)</f>
        <v>1</v>
      </c>
      <c r="Z560" s="141" t="s">
        <v>30</v>
      </c>
      <c r="AA560" s="146">
        <f>SUMIF(AC551:AC557,Z560,AA551:AA557)</f>
        <v>0</v>
      </c>
      <c r="AB560" s="141">
        <f>SUMIF(AC551:AC557,Z560,AB551:AB557)</f>
        <v>4</v>
      </c>
      <c r="AF560" s="141" t="s">
        <v>30</v>
      </c>
      <c r="AG560" s="146">
        <f>SUMIF(AI551:AI557,AF560,AG551:AG557)</f>
        <v>1</v>
      </c>
      <c r="AH560" s="141">
        <f>SUMIF(AI551:AI557,AF560,AH551:AH557)</f>
        <v>3</v>
      </c>
      <c r="AL560" s="141" t="s">
        <v>30</v>
      </c>
      <c r="AM560" s="146">
        <f>SUMIF(AO551:AO557,AL560,AM551:AM557)</f>
        <v>3</v>
      </c>
      <c r="AN560" s="141">
        <f>SUMIF(AO551:AO557,AL560,AN551:AN557)</f>
        <v>1</v>
      </c>
    </row>
    <row r="561" spans="1:40" x14ac:dyDescent="0.3">
      <c r="H561" s="119"/>
      <c r="I561" s="119"/>
      <c r="J561" s="119">
        <v>7</v>
      </c>
      <c r="K561" s="119"/>
      <c r="N561" s="141" t="s">
        <v>35</v>
      </c>
      <c r="O561" s="146">
        <f>SUMIF(Q551:Q557,N561,O551:O557)</f>
        <v>1.3</v>
      </c>
      <c r="P561" s="141">
        <f>SUMIF(Q551:Q557,N561,P551:P557)</f>
        <v>0.7</v>
      </c>
      <c r="T561" s="141" t="s">
        <v>35</v>
      </c>
      <c r="U561" s="146">
        <f>SUMIF(W551:W557,T561,U551:U557)</f>
        <v>0</v>
      </c>
      <c r="V561" s="141">
        <f>SUMIF(W551:W557,T561,V551:V557)</f>
        <v>2</v>
      </c>
      <c r="Z561" s="141" t="s">
        <v>35</v>
      </c>
      <c r="AA561" s="146">
        <f>SUMIF(AC551:AC557,Z561,AA551:AA557)</f>
        <v>1</v>
      </c>
      <c r="AB561" s="141">
        <f>SUMIF(AC551:AC557,Z561,AB551:AB557)</f>
        <v>1</v>
      </c>
      <c r="AF561" s="141" t="s">
        <v>35</v>
      </c>
      <c r="AG561" s="146">
        <f>SUMIF(AI551:AI557,AF561,AG551:AG557)</f>
        <v>0</v>
      </c>
      <c r="AH561" s="141">
        <f>SUMIF(AI551:AI557,AF561,AH551:AH557)</f>
        <v>2</v>
      </c>
      <c r="AL561" s="141" t="s">
        <v>35</v>
      </c>
      <c r="AM561" s="146">
        <f>SUMIF(AO551:AO557,AL561,AM551:AM557)</f>
        <v>0</v>
      </c>
      <c r="AN561" s="141">
        <f>SUMIF(AO551:AO557,AL561,AN551:AN557)</f>
        <v>2</v>
      </c>
    </row>
    <row r="564" spans="1:40" x14ac:dyDescent="0.3">
      <c r="M564" s="219" t="s">
        <v>272</v>
      </c>
      <c r="N564" s="219"/>
      <c r="O564" s="165" t="s">
        <v>44</v>
      </c>
      <c r="P564" s="123">
        <f>-(O559/O558)*LOG((O559/O558),2)-(O560/O558)*LOG((O560/O558),2)-(O561/O558)*LOG((O561/O558),2)</f>
        <v>1.3178143132846896</v>
      </c>
      <c r="Q564" s="165" t="s">
        <v>258</v>
      </c>
      <c r="R564" s="123">
        <f>-(0)-(P560/P558)*LOG((P560/P558),2)-(P561/P558)*LOG((P561/P558),2)</f>
        <v>0.54356444319959651</v>
      </c>
      <c r="T564" s="232" t="s">
        <v>261</v>
      </c>
      <c r="U564" s="233"/>
      <c r="V564" s="234"/>
      <c r="W564" s="151">
        <f>-((1/7)*LOG((1/7),2))-((4/7)*LOG((4/7),2))-((2/7)*LOG((2/7),2))</f>
        <v>1.3787834934861758</v>
      </c>
    </row>
    <row r="565" spans="1:40" x14ac:dyDescent="0.3">
      <c r="M565" s="219" t="s">
        <v>274</v>
      </c>
      <c r="N565" s="219"/>
      <c r="O565" s="165" t="s">
        <v>25</v>
      </c>
      <c r="P565" s="123">
        <f>-(U559/U558)*LOG((U559/U558),2)-(U560/U558)*LOG((U560/U558),2)-(0)</f>
        <v>0.81127812445913283</v>
      </c>
      <c r="Q565" s="165" t="s">
        <v>34</v>
      </c>
      <c r="R565" s="123">
        <f>-(0)-(V560/V558)*LOG((V560/V558),2)-(V561/V558)*LOG((V561/V558),2)</f>
        <v>0.91829583405448956</v>
      </c>
      <c r="T565" s="229" t="s">
        <v>263</v>
      </c>
      <c r="U565" s="230"/>
      <c r="V565" s="231"/>
      <c r="W565" s="151">
        <f>(W564)-((O558/7)*P564)-((P558/7)*R564)</f>
        <v>0.14945487963978252</v>
      </c>
    </row>
    <row r="566" spans="1:40" x14ac:dyDescent="0.3">
      <c r="M566" s="219" t="s">
        <v>275</v>
      </c>
      <c r="N566" s="219"/>
      <c r="O566" s="165" t="s">
        <v>26</v>
      </c>
      <c r="P566" s="123">
        <f>-(0)-(0)-(AA561/AA558)*LOG((AA561/AA558),2)</f>
        <v>0</v>
      </c>
      <c r="Q566" s="165" t="s">
        <v>39</v>
      </c>
      <c r="R566" s="123">
        <f>-(AB559/AB558)*LOG((AB559/AB558),2)-(AB560/AB558)*LOG((AB560/AB558),2)-(AB561/AB558)*LOG((AB561/AB558),2)</f>
        <v>1.2516291673878228</v>
      </c>
      <c r="T566" s="235" t="s">
        <v>264</v>
      </c>
      <c r="U566" s="236"/>
      <c r="V566" s="237"/>
      <c r="W566" s="152">
        <f>(W564)-((U558/7)*P565)-((V558/7)*R565)</f>
        <v>0.5216406363433187</v>
      </c>
    </row>
    <row r="567" spans="1:40" x14ac:dyDescent="0.3">
      <c r="M567" s="219" t="s">
        <v>276</v>
      </c>
      <c r="N567" s="219"/>
      <c r="O567" s="149" t="s">
        <v>27</v>
      </c>
      <c r="P567" s="123">
        <f>-(0)-(AG560/AG558)*LOG((AG560/AG558),2)-(0)</f>
        <v>0</v>
      </c>
      <c r="Q567" s="149" t="s">
        <v>32</v>
      </c>
      <c r="R567" s="123">
        <f>-(AH559/AH558)*LOG((AH559/AH558),2)-(AH560/AH558)*LOG((AH560/AH558),2)-(AH561/AH558)*LOG((AH561/AH558),2)</f>
        <v>1.4591479170272446</v>
      </c>
      <c r="T567" s="229" t="s">
        <v>265</v>
      </c>
      <c r="U567" s="230"/>
      <c r="V567" s="231"/>
      <c r="W567" s="151">
        <f>(W564)-((AA558/7)*P566)-((AB558/7)*R566)</f>
        <v>0.30595849286804211</v>
      </c>
    </row>
    <row r="568" spans="1:40" x14ac:dyDescent="0.3">
      <c r="M568" s="219" t="s">
        <v>277</v>
      </c>
      <c r="N568" s="219"/>
      <c r="O568" s="149" t="s">
        <v>28</v>
      </c>
      <c r="P568" s="123">
        <f>-(0)-(AM560/AM558)*LOG((AM560/AM558),2)-(0)</f>
        <v>0</v>
      </c>
      <c r="Q568" s="149" t="s">
        <v>33</v>
      </c>
      <c r="R568" s="123">
        <f>-(AN559/AN558)*LOG((AN559/AN558),2)-(AN560/AN558)*LOG((AN560/AN558),2)-(AN561/AN558)*LOG((AN561/AN558),2)</f>
        <v>1.5</v>
      </c>
      <c r="T568" s="229" t="s">
        <v>266</v>
      </c>
      <c r="U568" s="230"/>
      <c r="V568" s="231"/>
      <c r="W568" s="151">
        <f>(W564)-((AG558/7)*P567)-((AH558/7)*R567)</f>
        <v>0.12808527889139487</v>
      </c>
    </row>
    <row r="569" spans="1:40" x14ac:dyDescent="0.3">
      <c r="T569" s="229" t="s">
        <v>267</v>
      </c>
      <c r="U569" s="230"/>
      <c r="V569" s="231"/>
      <c r="W569" s="151">
        <f>(W564)-((AM558/7)*P568)-((AN558/7)*R568)</f>
        <v>0.5216406363433187</v>
      </c>
    </row>
    <row r="576" spans="1:40" x14ac:dyDescent="0.3">
      <c r="A576" s="139" t="s">
        <v>77</v>
      </c>
      <c r="B576" s="139" t="s">
        <v>11</v>
      </c>
      <c r="C576" s="139" t="s">
        <v>259</v>
      </c>
      <c r="D576" s="139" t="s">
        <v>25</v>
      </c>
      <c r="E576" s="139" t="s">
        <v>66</v>
      </c>
      <c r="G576" s="139" t="s">
        <v>77</v>
      </c>
      <c r="H576" s="139" t="s">
        <v>11</v>
      </c>
      <c r="I576" s="139" t="s">
        <v>259</v>
      </c>
      <c r="J576" s="139" t="s">
        <v>34</v>
      </c>
      <c r="K576" s="139" t="s">
        <v>66</v>
      </c>
      <c r="M576" s="139" t="s">
        <v>77</v>
      </c>
      <c r="N576" s="139" t="s">
        <v>56</v>
      </c>
      <c r="O576" s="139" t="s">
        <v>44</v>
      </c>
      <c r="P576" s="139" t="s">
        <v>258</v>
      </c>
      <c r="Q576" s="139" t="s">
        <v>66</v>
      </c>
      <c r="S576" s="139" t="s">
        <v>48</v>
      </c>
      <c r="T576" s="139" t="s">
        <v>259</v>
      </c>
      <c r="U576" s="139" t="s">
        <v>26</v>
      </c>
      <c r="V576" s="139" t="s">
        <v>39</v>
      </c>
      <c r="W576" s="139" t="s">
        <v>66</v>
      </c>
      <c r="X576" s="119"/>
      <c r="Y576" s="139" t="s">
        <v>13</v>
      </c>
      <c r="Z576" s="139" t="s">
        <v>259</v>
      </c>
      <c r="AA576" s="166" t="s">
        <v>27</v>
      </c>
      <c r="AB576" s="166" t="s">
        <v>32</v>
      </c>
      <c r="AC576" s="139" t="s">
        <v>66</v>
      </c>
      <c r="AD576" s="119"/>
      <c r="AE576" s="139" t="s">
        <v>52</v>
      </c>
      <c r="AF576" s="142" t="s">
        <v>259</v>
      </c>
      <c r="AG576" s="166" t="s">
        <v>28</v>
      </c>
      <c r="AH576" s="166" t="s">
        <v>33</v>
      </c>
      <c r="AI576" s="139" t="s">
        <v>66</v>
      </c>
    </row>
    <row r="577" spans="1:35" x14ac:dyDescent="0.3">
      <c r="A577" s="160">
        <v>1</v>
      </c>
      <c r="B577" s="120" t="s">
        <v>25</v>
      </c>
      <c r="C577" s="121">
        <v>1</v>
      </c>
      <c r="D577" s="121">
        <v>1</v>
      </c>
      <c r="E577" s="158" t="s">
        <v>30</v>
      </c>
      <c r="G577" s="160">
        <v>7</v>
      </c>
      <c r="H577" s="120" t="s">
        <v>31</v>
      </c>
      <c r="I577" s="121">
        <v>0</v>
      </c>
      <c r="J577" s="121">
        <v>1</v>
      </c>
      <c r="K577" s="158" t="s">
        <v>35</v>
      </c>
      <c r="M577" s="160">
        <v>7</v>
      </c>
      <c r="N577" s="158">
        <v>97</v>
      </c>
      <c r="O577" s="121">
        <v>0.3</v>
      </c>
      <c r="P577" s="121">
        <v>0.7</v>
      </c>
      <c r="Q577" s="158" t="s">
        <v>35</v>
      </c>
      <c r="S577" s="158" t="s">
        <v>26</v>
      </c>
      <c r="T577" s="121">
        <v>0</v>
      </c>
      <c r="U577" s="121">
        <v>0</v>
      </c>
      <c r="V577" s="121">
        <v>1</v>
      </c>
      <c r="W577" s="158" t="s">
        <v>35</v>
      </c>
      <c r="X577" s="119"/>
      <c r="Y577" s="158" t="s">
        <v>27</v>
      </c>
      <c r="Z577" s="121">
        <v>0</v>
      </c>
      <c r="AA577" s="121">
        <v>0</v>
      </c>
      <c r="AB577" s="121">
        <v>1</v>
      </c>
      <c r="AC577" s="158" t="s">
        <v>35</v>
      </c>
      <c r="AD577" s="119"/>
      <c r="AE577" s="158" t="s">
        <v>28</v>
      </c>
      <c r="AF577" s="121">
        <v>0</v>
      </c>
      <c r="AG577" s="121">
        <v>0</v>
      </c>
      <c r="AH577" s="121">
        <v>1</v>
      </c>
      <c r="AI577" s="158" t="s">
        <v>35</v>
      </c>
    </row>
    <row r="578" spans="1:35" x14ac:dyDescent="0.3">
      <c r="A578" s="160">
        <v>13</v>
      </c>
      <c r="B578" s="120" t="s">
        <v>25</v>
      </c>
      <c r="C578" s="121">
        <v>1</v>
      </c>
      <c r="D578" s="121">
        <v>1</v>
      </c>
      <c r="E578" s="158" t="s">
        <v>30</v>
      </c>
      <c r="G578" s="160">
        <v>31</v>
      </c>
      <c r="H578" s="120" t="s">
        <v>31</v>
      </c>
      <c r="I578" s="121">
        <v>0</v>
      </c>
      <c r="J578" s="121">
        <v>1</v>
      </c>
      <c r="K578" s="158" t="s">
        <v>35</v>
      </c>
      <c r="M578" s="160">
        <v>31</v>
      </c>
      <c r="N578" s="158">
        <v>68</v>
      </c>
      <c r="O578" s="121">
        <v>1</v>
      </c>
      <c r="P578" s="121">
        <v>0</v>
      </c>
      <c r="Q578" s="158" t="s">
        <v>35</v>
      </c>
      <c r="S578" s="158" t="s">
        <v>39</v>
      </c>
      <c r="T578" s="121">
        <v>1</v>
      </c>
      <c r="U578" s="121">
        <v>1</v>
      </c>
      <c r="V578" s="121">
        <v>0</v>
      </c>
      <c r="W578" s="158" t="s">
        <v>35</v>
      </c>
      <c r="X578" s="119"/>
      <c r="Y578" s="158" t="s">
        <v>27</v>
      </c>
      <c r="Z578" s="121">
        <v>0</v>
      </c>
      <c r="AA578" s="121">
        <v>0</v>
      </c>
      <c r="AB578" s="121">
        <v>1</v>
      </c>
      <c r="AC578" s="158" t="s">
        <v>35</v>
      </c>
      <c r="AD578" s="119"/>
      <c r="AE578" s="158" t="s">
        <v>28</v>
      </c>
      <c r="AF578" s="121">
        <v>0</v>
      </c>
      <c r="AG578" s="121">
        <v>0</v>
      </c>
      <c r="AH578" s="121">
        <v>1</v>
      </c>
      <c r="AI578" s="158" t="s">
        <v>35</v>
      </c>
    </row>
    <row r="579" spans="1:35" x14ac:dyDescent="0.3">
      <c r="A579" s="160">
        <v>36</v>
      </c>
      <c r="B579" s="158" t="s">
        <v>25</v>
      </c>
      <c r="C579" s="121">
        <v>1</v>
      </c>
      <c r="D579" s="121">
        <v>1</v>
      </c>
      <c r="E579" s="158" t="s">
        <v>36</v>
      </c>
      <c r="G579" s="160">
        <v>35</v>
      </c>
      <c r="H579" s="120" t="s">
        <v>31</v>
      </c>
      <c r="I579" s="121">
        <v>0</v>
      </c>
      <c r="J579" s="121">
        <v>1</v>
      </c>
      <c r="K579" s="158" t="s">
        <v>30</v>
      </c>
      <c r="M579" s="160">
        <v>35</v>
      </c>
      <c r="N579" s="158">
        <v>78</v>
      </c>
      <c r="O579" s="121">
        <v>1</v>
      </c>
      <c r="P579" s="121">
        <v>0</v>
      </c>
      <c r="Q579" s="158" t="s">
        <v>30</v>
      </c>
      <c r="S579" s="158" t="s">
        <v>26</v>
      </c>
      <c r="T579" s="121">
        <v>0</v>
      </c>
      <c r="U579" s="121">
        <v>0</v>
      </c>
      <c r="V579" s="121">
        <v>1</v>
      </c>
      <c r="W579" s="158" t="s">
        <v>30</v>
      </c>
      <c r="X579" s="119"/>
      <c r="Y579" s="158" t="s">
        <v>27</v>
      </c>
      <c r="Z579" s="121">
        <v>0</v>
      </c>
      <c r="AA579" s="121">
        <v>0</v>
      </c>
      <c r="AB579" s="121">
        <v>1</v>
      </c>
      <c r="AC579" s="158" t="s">
        <v>30</v>
      </c>
      <c r="AD579" s="119"/>
      <c r="AE579" s="158" t="s">
        <v>33</v>
      </c>
      <c r="AF579" s="121">
        <v>1</v>
      </c>
      <c r="AG579" s="121">
        <v>1</v>
      </c>
      <c r="AH579" s="121">
        <v>0</v>
      </c>
      <c r="AI579" s="158" t="s">
        <v>30</v>
      </c>
    </row>
    <row r="580" spans="1:35" x14ac:dyDescent="0.3">
      <c r="A580" s="160">
        <v>58</v>
      </c>
      <c r="B580" s="158" t="s">
        <v>25</v>
      </c>
      <c r="C580" s="121">
        <v>1</v>
      </c>
      <c r="D580" s="121">
        <v>1</v>
      </c>
      <c r="E580" s="158" t="s">
        <v>30</v>
      </c>
      <c r="I580" s="142" t="s">
        <v>36</v>
      </c>
      <c r="J580" s="142">
        <f>COUNTIF(K577:K579, "Rendah")</f>
        <v>0</v>
      </c>
      <c r="N580" s="121" t="s">
        <v>64</v>
      </c>
      <c r="O580" s="121">
        <f>SUM(O577:O579)</f>
        <v>2.2999999999999998</v>
      </c>
      <c r="P580" s="121">
        <f>SUM(P577:P579)</f>
        <v>0.7</v>
      </c>
      <c r="T580" s="121" t="s">
        <v>64</v>
      </c>
      <c r="U580" s="121">
        <f>SUM(U577:U579)</f>
        <v>1</v>
      </c>
      <c r="V580" s="121">
        <f>SUM(V577:V579)</f>
        <v>2</v>
      </c>
      <c r="Z580" s="121" t="s">
        <v>64</v>
      </c>
      <c r="AA580" s="121">
        <f>SUM(AA577:AA579)</f>
        <v>0</v>
      </c>
      <c r="AB580" s="121">
        <f>SUM(AB577:AB579)</f>
        <v>3</v>
      </c>
      <c r="AF580" s="121" t="s">
        <v>64</v>
      </c>
      <c r="AG580" s="121">
        <f>SUM(AG577:AG579)</f>
        <v>1</v>
      </c>
      <c r="AH580" s="121">
        <f>SUM(AH577:AH579)</f>
        <v>2</v>
      </c>
    </row>
    <row r="581" spans="1:35" x14ac:dyDescent="0.3">
      <c r="C581" s="142" t="s">
        <v>36</v>
      </c>
      <c r="D581" s="142">
        <f>COUNTIF(E577:E580, "Rendah")</f>
        <v>1</v>
      </c>
      <c r="I581" s="142" t="s">
        <v>30</v>
      </c>
      <c r="J581" s="142">
        <f>COUNTIF(K577:K579, "Sedang")</f>
        <v>1</v>
      </c>
      <c r="N581" s="141" t="s">
        <v>36</v>
      </c>
      <c r="O581" s="146">
        <f>SUMIF(Q577:Q579,N581,O577:O579)</f>
        <v>0</v>
      </c>
      <c r="P581" s="141">
        <f>SUMIF(Q577:Q579,N581,P577:P579)</f>
        <v>0</v>
      </c>
      <c r="T581" s="141" t="s">
        <v>36</v>
      </c>
      <c r="U581" s="146">
        <f>SUMIF(W577:W579,T581,U577:U579)</f>
        <v>0</v>
      </c>
      <c r="V581" s="141">
        <f>SUMIF(W577:W579,T581,V577:V579)</f>
        <v>0</v>
      </c>
      <c r="Z581" s="141" t="s">
        <v>36</v>
      </c>
      <c r="AA581" s="146">
        <f>SUMIF(AC577:AC579,Z581,AA577:AA579)</f>
        <v>0</v>
      </c>
      <c r="AB581" s="141">
        <f>SUMIF(AC577:AC579,Z581,AB577:AB579)</f>
        <v>0</v>
      </c>
      <c r="AF581" s="141" t="s">
        <v>36</v>
      </c>
      <c r="AG581" s="146">
        <f>SUMIF(AI577:AI579,AF581,AG577:AG579)</f>
        <v>0</v>
      </c>
      <c r="AH581" s="141">
        <f>SUMIF(AI577:AI579,AF581,AH577:AH579)</f>
        <v>0</v>
      </c>
    </row>
    <row r="582" spans="1:35" x14ac:dyDescent="0.3">
      <c r="C582" s="142" t="s">
        <v>30</v>
      </c>
      <c r="D582" s="142">
        <f>COUNTIF(E577:E580, "Sedang")</f>
        <v>3</v>
      </c>
      <c r="I582" s="142" t="s">
        <v>35</v>
      </c>
      <c r="J582" s="142">
        <f>COUNTIF(K577:K579, "Tinggi")</f>
        <v>2</v>
      </c>
      <c r="N582" s="141" t="s">
        <v>30</v>
      </c>
      <c r="O582" s="146">
        <f>SUMIF(Q577:Q579,N582,O577:O579)</f>
        <v>1</v>
      </c>
      <c r="P582" s="141">
        <f>SUMIF(Q577:Q579,N582,P577:P579)</f>
        <v>0</v>
      </c>
      <c r="T582" s="141" t="s">
        <v>30</v>
      </c>
      <c r="U582" s="146">
        <f>SUMIF(W577:W579,T582,U577:U579)</f>
        <v>0</v>
      </c>
      <c r="V582" s="141">
        <f>SUMIF(W577:W579,T582,V577:V579)</f>
        <v>1</v>
      </c>
      <c r="Z582" s="141" t="s">
        <v>30</v>
      </c>
      <c r="AA582" s="146">
        <f>SUMIF(AC577:AC579,Z582,AA577:AA579)</f>
        <v>0</v>
      </c>
      <c r="AB582" s="141">
        <f>SUMIF(AC577:AC579,Z582,AB577:AB579)</f>
        <v>1</v>
      </c>
      <c r="AF582" s="141" t="s">
        <v>30</v>
      </c>
      <c r="AG582" s="146">
        <f>SUMIF(AI577:AI579,AF582,AG577:AG579)</f>
        <v>1</v>
      </c>
      <c r="AH582" s="141">
        <f>SUMIF(AI577:AI579,AF582,AH577:AH579)</f>
        <v>0</v>
      </c>
    </row>
    <row r="583" spans="1:35" x14ac:dyDescent="0.3">
      <c r="C583" s="142" t="s">
        <v>35</v>
      </c>
      <c r="D583" s="142">
        <f>COUNTIF(E577:E580, "Tinggi")</f>
        <v>0</v>
      </c>
      <c r="J583">
        <v>3</v>
      </c>
      <c r="N583" s="141" t="s">
        <v>35</v>
      </c>
      <c r="O583" s="146">
        <f>SUMIF(Q573:Q579,N583,O573:O579)</f>
        <v>1.3</v>
      </c>
      <c r="P583" s="141">
        <f>SUMIF(Q577:Q579,N583,P577:P579)</f>
        <v>0.7</v>
      </c>
      <c r="T583" s="141" t="s">
        <v>35</v>
      </c>
      <c r="U583" s="146">
        <f>SUMIF(W573:W579,T583,U573:U579)</f>
        <v>1</v>
      </c>
      <c r="V583" s="141">
        <f>SUMIF(W577:W579,T583,V577:V579)</f>
        <v>1</v>
      </c>
      <c r="Z583" s="141" t="s">
        <v>35</v>
      </c>
      <c r="AA583" s="146">
        <f>SUMIF(AC573:AC579,Z583,AA573:AA579)</f>
        <v>0</v>
      </c>
      <c r="AB583" s="141">
        <f>SUMIF(AC577:AC579,Z583,AB577:AB579)</f>
        <v>2</v>
      </c>
      <c r="AF583" s="141" t="s">
        <v>35</v>
      </c>
      <c r="AG583" s="146">
        <f>SUMIF(AI573:AI579,AF583,AG573:AG579)</f>
        <v>0</v>
      </c>
      <c r="AH583" s="141">
        <f>SUMIF(AI577:AI579,AF583,AH577:AH579)</f>
        <v>2</v>
      </c>
    </row>
    <row r="584" spans="1:35" x14ac:dyDescent="0.3">
      <c r="D584">
        <v>4</v>
      </c>
      <c r="F584" s="161" t="s">
        <v>283</v>
      </c>
      <c r="G584" s="153">
        <v>0.7</v>
      </c>
      <c r="H584" s="119"/>
      <c r="I584" s="119"/>
    </row>
    <row r="585" spans="1:35" x14ac:dyDescent="0.3">
      <c r="F585" s="128" t="s">
        <v>289</v>
      </c>
      <c r="G585" s="119"/>
      <c r="H585" s="119"/>
      <c r="I585" s="128" t="s">
        <v>282</v>
      </c>
    </row>
    <row r="586" spans="1:35" x14ac:dyDescent="0.3">
      <c r="F586" s="90" t="s">
        <v>130</v>
      </c>
      <c r="G586" s="90" t="s">
        <v>36</v>
      </c>
      <c r="H586" s="90">
        <v>1</v>
      </c>
      <c r="I586" s="90">
        <f>((H586)/(D584))*(100)</f>
        <v>25</v>
      </c>
      <c r="M586" s="219" t="s">
        <v>272</v>
      </c>
      <c r="N586" s="219"/>
      <c r="O586" s="165" t="s">
        <v>44</v>
      </c>
      <c r="P586" s="123">
        <f>-(0)-(O582/O580)*LOG((O582/O580),2)-(O583/O580)*LOG((O583/O580),2)</f>
        <v>0.98769250889580318</v>
      </c>
      <c r="Q586" s="165" t="s">
        <v>258</v>
      </c>
      <c r="R586" s="123">
        <f>-(0)-(0)-(P583/P580)*LOG((P583/P580),2)</f>
        <v>0</v>
      </c>
      <c r="T586" s="232" t="s">
        <v>261</v>
      </c>
      <c r="U586" s="233"/>
      <c r="V586" s="234"/>
      <c r="W586" s="151">
        <f>-(0)-((1/3)*LOG((1/3),2))-((2/3)*LOG((2/3),2))</f>
        <v>0.91829583405448956</v>
      </c>
    </row>
    <row r="587" spans="1:35" x14ac:dyDescent="0.3">
      <c r="F587" s="119"/>
      <c r="G587" s="30" t="s">
        <v>30</v>
      </c>
      <c r="H587" s="30">
        <v>3</v>
      </c>
      <c r="I587" s="30">
        <f>((H587)/(D584))*(100)</f>
        <v>75</v>
      </c>
      <c r="M587" s="219" t="s">
        <v>275</v>
      </c>
      <c r="N587" s="219"/>
      <c r="O587" s="165" t="s">
        <v>26</v>
      </c>
      <c r="P587" s="123">
        <f>-(0)-(0)-(U583/U580)*LOG((U583/U580),2)</f>
        <v>0</v>
      </c>
      <c r="Q587" s="165" t="s">
        <v>39</v>
      </c>
      <c r="R587" s="123">
        <f>-(0)-(V582/V580)*LOG((V582/V580),2)-(V583/V580)*LOG((V583/V580),2)</f>
        <v>1</v>
      </c>
      <c r="T587" s="229" t="s">
        <v>263</v>
      </c>
      <c r="U587" s="230"/>
      <c r="V587" s="231"/>
      <c r="W587" s="151">
        <f>(W586)-((O580/3)*P586)-((P580/3)*R586)</f>
        <v>0.16106491056770722</v>
      </c>
    </row>
    <row r="588" spans="1:35" x14ac:dyDescent="0.3">
      <c r="F588" s="119"/>
      <c r="G588" s="90" t="s">
        <v>35</v>
      </c>
      <c r="H588" s="90">
        <v>0</v>
      </c>
      <c r="I588" s="90">
        <v>0</v>
      </c>
      <c r="M588" s="219" t="s">
        <v>276</v>
      </c>
      <c r="N588" s="219"/>
      <c r="O588" s="149" t="s">
        <v>27</v>
      </c>
      <c r="P588" s="123">
        <f>-(0)-(0)-(0)</f>
        <v>0</v>
      </c>
      <c r="Q588" s="149" t="s">
        <v>32</v>
      </c>
      <c r="R588" s="123">
        <f>-(0)-(AB582/AB580)*LOG((AB582/AB580),2)-(AB583/AB580)*LOG((AB583/AB580),2)</f>
        <v>0.91829583405448956</v>
      </c>
      <c r="T588" s="229" t="s">
        <v>265</v>
      </c>
      <c r="U588" s="230"/>
      <c r="V588" s="231"/>
      <c r="W588" s="151">
        <f>(W586)-((U580/3)*P587)-((V580/3)*R587)</f>
        <v>0.25162916738782293</v>
      </c>
    </row>
    <row r="589" spans="1:35" x14ac:dyDescent="0.3">
      <c r="F589" s="128" t="s">
        <v>286</v>
      </c>
      <c r="G589" s="119"/>
      <c r="H589" s="119"/>
      <c r="I589" s="128" t="s">
        <v>282</v>
      </c>
      <c r="M589" s="219" t="s">
        <v>277</v>
      </c>
      <c r="N589" s="219"/>
      <c r="O589" s="149" t="s">
        <v>28</v>
      </c>
      <c r="P589" s="123">
        <f>-(0)-(AG582/AG580)*LOG((AG582/AG580),2)-(0)</f>
        <v>0</v>
      </c>
      <c r="Q589" s="149" t="s">
        <v>33</v>
      </c>
      <c r="R589" s="123">
        <f>-(0)-(0)-(AH583/AH580)*LOG((AH583/AH580),2)</f>
        <v>0</v>
      </c>
      <c r="T589" s="229" t="s">
        <v>266</v>
      </c>
      <c r="U589" s="230"/>
      <c r="V589" s="231"/>
      <c r="W589" s="151">
        <f>(W586)-((AA580/3)*P588)-((AB580/3)*R588)</f>
        <v>0</v>
      </c>
    </row>
    <row r="590" spans="1:35" x14ac:dyDescent="0.3">
      <c r="F590" s="119" t="s">
        <v>130</v>
      </c>
      <c r="G590" s="119" t="s">
        <v>36</v>
      </c>
      <c r="H590" s="119">
        <v>0</v>
      </c>
      <c r="I590" s="119">
        <f>((H590)/(J583))*(100)</f>
        <v>0</v>
      </c>
      <c r="T590" s="235" t="s">
        <v>267</v>
      </c>
      <c r="U590" s="236"/>
      <c r="V590" s="237"/>
      <c r="W590" s="152">
        <f>(W586)-((AG580/3)*P589)-((AH580/3)*R589)</f>
        <v>0.91829583405448956</v>
      </c>
    </row>
    <row r="591" spans="1:35" x14ac:dyDescent="0.3">
      <c r="F591" s="119"/>
      <c r="G591" s="90" t="s">
        <v>30</v>
      </c>
      <c r="H591" s="90">
        <v>1</v>
      </c>
      <c r="I591" s="90">
        <f>((H591)/(J583))*(100)</f>
        <v>33.333333333333329</v>
      </c>
    </row>
    <row r="592" spans="1:35" x14ac:dyDescent="0.3">
      <c r="F592" s="119"/>
      <c r="G592" s="90" t="s">
        <v>35</v>
      </c>
      <c r="H592" s="90">
        <v>2</v>
      </c>
      <c r="I592" s="90">
        <f>((H592)/(J583))*(100)</f>
        <v>66.666666666666657</v>
      </c>
    </row>
    <row r="602" spans="1:11" x14ac:dyDescent="0.3">
      <c r="A602" s="139" t="s">
        <v>77</v>
      </c>
      <c r="B602" s="139" t="s">
        <v>52</v>
      </c>
      <c r="C602" s="142" t="s">
        <v>259</v>
      </c>
      <c r="D602" s="166" t="s">
        <v>28</v>
      </c>
      <c r="E602" s="139" t="s">
        <v>66</v>
      </c>
      <c r="G602" s="139" t="s">
        <v>77</v>
      </c>
      <c r="H602" s="139" t="s">
        <v>52</v>
      </c>
      <c r="I602" s="142" t="s">
        <v>259</v>
      </c>
      <c r="J602" s="166" t="s">
        <v>33</v>
      </c>
      <c r="K602" s="139" t="s">
        <v>66</v>
      </c>
    </row>
    <row r="603" spans="1:11" x14ac:dyDescent="0.3">
      <c r="A603" s="160">
        <v>35</v>
      </c>
      <c r="B603" s="158" t="s">
        <v>33</v>
      </c>
      <c r="C603" s="121">
        <v>1</v>
      </c>
      <c r="D603" s="121">
        <v>1</v>
      </c>
      <c r="E603" s="158" t="s">
        <v>30</v>
      </c>
      <c r="G603" s="160">
        <v>7</v>
      </c>
      <c r="H603" s="158" t="s">
        <v>28</v>
      </c>
      <c r="I603" s="121">
        <v>0</v>
      </c>
      <c r="J603" s="121">
        <v>1</v>
      </c>
      <c r="K603" s="158" t="s">
        <v>35</v>
      </c>
    </row>
    <row r="604" spans="1:11" x14ac:dyDescent="0.3">
      <c r="C604" s="142" t="s">
        <v>36</v>
      </c>
      <c r="D604" s="142">
        <f>COUNTIF(E603:E603, "Rendah")</f>
        <v>0</v>
      </c>
      <c r="G604" s="160">
        <v>31</v>
      </c>
      <c r="H604" s="158" t="s">
        <v>28</v>
      </c>
      <c r="I604" s="121">
        <v>0</v>
      </c>
      <c r="J604" s="121">
        <v>1</v>
      </c>
      <c r="K604" s="158" t="s">
        <v>35</v>
      </c>
    </row>
    <row r="605" spans="1:11" x14ac:dyDescent="0.3">
      <c r="C605" s="142" t="s">
        <v>30</v>
      </c>
      <c r="D605" s="142">
        <f>COUNTIF(E603:E603, "Sedang")</f>
        <v>1</v>
      </c>
      <c r="I605" s="142" t="s">
        <v>36</v>
      </c>
      <c r="J605" s="142">
        <f>COUNTIF(K603:K604, "Rendah")</f>
        <v>0</v>
      </c>
    </row>
    <row r="606" spans="1:11" x14ac:dyDescent="0.3">
      <c r="C606" s="142" t="s">
        <v>35</v>
      </c>
      <c r="D606" s="142">
        <f>COUNTIF(E603:E603, "Tinggi")</f>
        <v>0</v>
      </c>
      <c r="I606" s="142" t="s">
        <v>30</v>
      </c>
      <c r="J606" s="142">
        <f>COUNTIF(K603:K604, "Sedang")</f>
        <v>0</v>
      </c>
    </row>
    <row r="607" spans="1:11" x14ac:dyDescent="0.3">
      <c r="I607" s="142" t="s">
        <v>35</v>
      </c>
      <c r="J607" s="142">
        <f>COUNTIF(K603:K604, "Tinggi")</f>
        <v>2</v>
      </c>
    </row>
    <row r="609" spans="6:9" x14ac:dyDescent="0.3">
      <c r="F609" s="161" t="s">
        <v>283</v>
      </c>
      <c r="G609" s="153">
        <v>0.7</v>
      </c>
      <c r="H609" s="119"/>
      <c r="I609" s="119"/>
    </row>
    <row r="610" spans="6:9" x14ac:dyDescent="0.3">
      <c r="F610" s="128" t="s">
        <v>284</v>
      </c>
      <c r="G610" s="119"/>
      <c r="H610" s="119"/>
      <c r="I610" s="128" t="s">
        <v>282</v>
      </c>
    </row>
    <row r="611" spans="6:9" x14ac:dyDescent="0.3">
      <c r="F611" s="90" t="s">
        <v>130</v>
      </c>
      <c r="G611" s="90" t="s">
        <v>36</v>
      </c>
      <c r="H611" s="90">
        <v>0</v>
      </c>
      <c r="I611" s="90">
        <v>0</v>
      </c>
    </row>
    <row r="612" spans="6:9" x14ac:dyDescent="0.3">
      <c r="F612" s="119"/>
      <c r="G612" s="30" t="s">
        <v>30</v>
      </c>
      <c r="H612" s="30">
        <v>1</v>
      </c>
      <c r="I612" s="30">
        <v>100</v>
      </c>
    </row>
    <row r="613" spans="6:9" x14ac:dyDescent="0.3">
      <c r="F613" s="119"/>
      <c r="G613" s="90" t="s">
        <v>35</v>
      </c>
      <c r="H613" s="90">
        <v>0</v>
      </c>
      <c r="I613" s="90">
        <v>0</v>
      </c>
    </row>
    <row r="614" spans="6:9" x14ac:dyDescent="0.3">
      <c r="F614" s="128" t="s">
        <v>285</v>
      </c>
      <c r="G614" s="119"/>
      <c r="H614" s="119"/>
      <c r="I614" s="128" t="s">
        <v>282</v>
      </c>
    </row>
    <row r="615" spans="6:9" x14ac:dyDescent="0.3">
      <c r="F615" s="119" t="s">
        <v>130</v>
      </c>
      <c r="G615" s="119" t="s">
        <v>36</v>
      </c>
      <c r="H615" s="119">
        <v>0</v>
      </c>
      <c r="I615" s="119">
        <v>0</v>
      </c>
    </row>
    <row r="616" spans="6:9" x14ac:dyDescent="0.3">
      <c r="F616" s="119"/>
      <c r="G616" s="90" t="s">
        <v>30</v>
      </c>
      <c r="H616" s="90">
        <v>0</v>
      </c>
      <c r="I616" s="90">
        <v>0</v>
      </c>
    </row>
    <row r="617" spans="6:9" x14ac:dyDescent="0.3">
      <c r="F617" s="119"/>
      <c r="G617" s="30" t="s">
        <v>35</v>
      </c>
      <c r="H617" s="30">
        <v>2</v>
      </c>
      <c r="I617" s="30">
        <v>100</v>
      </c>
    </row>
    <row r="633" spans="7:52" x14ac:dyDescent="0.3">
      <c r="G633" s="139" t="s">
        <v>77</v>
      </c>
      <c r="H633" s="139" t="s">
        <v>15</v>
      </c>
      <c r="I633" s="139" t="s">
        <v>259</v>
      </c>
      <c r="J633" s="139" t="s">
        <v>34</v>
      </c>
      <c r="K633" s="139" t="s">
        <v>66</v>
      </c>
      <c r="M633" s="139" t="s">
        <v>77</v>
      </c>
      <c r="N633" s="139" t="s">
        <v>4</v>
      </c>
      <c r="O633" s="139" t="s">
        <v>55</v>
      </c>
      <c r="P633" s="139" t="s">
        <v>43</v>
      </c>
      <c r="Q633" s="139" t="s">
        <v>66</v>
      </c>
      <c r="R633" s="119"/>
      <c r="S633" s="139" t="s">
        <v>77</v>
      </c>
      <c r="T633" s="139" t="s">
        <v>56</v>
      </c>
      <c r="U633" s="139" t="s">
        <v>44</v>
      </c>
      <c r="V633" s="139" t="s">
        <v>258</v>
      </c>
      <c r="W633" s="139" t="s">
        <v>66</v>
      </c>
      <c r="X633" s="119"/>
      <c r="Y633" s="139" t="s">
        <v>10</v>
      </c>
      <c r="Z633" s="139" t="s">
        <v>44</v>
      </c>
      <c r="AA633" s="139" t="s">
        <v>47</v>
      </c>
      <c r="AB633" s="139" t="s">
        <v>66</v>
      </c>
      <c r="AC633" s="119"/>
      <c r="AD633" s="139" t="s">
        <v>11</v>
      </c>
      <c r="AE633" s="139" t="s">
        <v>259</v>
      </c>
      <c r="AF633" s="139" t="s">
        <v>25</v>
      </c>
      <c r="AG633" s="139" t="s">
        <v>34</v>
      </c>
      <c r="AH633" s="139" t="s">
        <v>66</v>
      </c>
      <c r="AI633" s="119"/>
      <c r="AJ633" s="139" t="s">
        <v>48</v>
      </c>
      <c r="AK633" s="139" t="s">
        <v>259</v>
      </c>
      <c r="AL633" s="139" t="s">
        <v>26</v>
      </c>
      <c r="AM633" s="139" t="s">
        <v>39</v>
      </c>
      <c r="AN633" s="139" t="s">
        <v>66</v>
      </c>
      <c r="AP633" s="139" t="s">
        <v>13</v>
      </c>
      <c r="AQ633" s="139" t="s">
        <v>259</v>
      </c>
      <c r="AR633" s="166" t="s">
        <v>27</v>
      </c>
      <c r="AS633" s="166" t="s">
        <v>32</v>
      </c>
      <c r="AT633" s="139" t="s">
        <v>66</v>
      </c>
      <c r="AU633" s="119"/>
      <c r="AV633" s="139" t="s">
        <v>52</v>
      </c>
      <c r="AW633" s="142" t="s">
        <v>259</v>
      </c>
      <c r="AX633" s="166" t="s">
        <v>28</v>
      </c>
      <c r="AY633" s="166" t="s">
        <v>33</v>
      </c>
      <c r="AZ633" s="139" t="s">
        <v>66</v>
      </c>
    </row>
    <row r="634" spans="7:52" x14ac:dyDescent="0.3">
      <c r="G634" s="160">
        <v>17</v>
      </c>
      <c r="H634" s="158" t="s">
        <v>31</v>
      </c>
      <c r="I634" s="121">
        <v>0</v>
      </c>
      <c r="J634" s="121">
        <v>1</v>
      </c>
      <c r="K634" s="158" t="s">
        <v>30</v>
      </c>
      <c r="M634" s="160">
        <v>17</v>
      </c>
      <c r="N634" s="158">
        <v>69</v>
      </c>
      <c r="O634" s="121">
        <v>0</v>
      </c>
      <c r="P634" s="121">
        <v>1</v>
      </c>
      <c r="Q634" s="158" t="s">
        <v>30</v>
      </c>
      <c r="R634" s="119"/>
      <c r="S634" s="160">
        <v>17</v>
      </c>
      <c r="T634" s="158">
        <v>81</v>
      </c>
      <c r="U634" s="121">
        <v>1</v>
      </c>
      <c r="V634" s="121">
        <v>0</v>
      </c>
      <c r="W634" s="158" t="s">
        <v>30</v>
      </c>
      <c r="X634" s="119"/>
      <c r="Y634" s="4">
        <v>19.421700090977414</v>
      </c>
      <c r="Z634" s="121">
        <v>0.84203332322473179</v>
      </c>
      <c r="AA634" s="121">
        <v>0.15796667677526818</v>
      </c>
      <c r="AB634" s="158" t="s">
        <v>30</v>
      </c>
      <c r="AC634" s="119"/>
      <c r="AD634" s="120" t="s">
        <v>31</v>
      </c>
      <c r="AE634" s="121">
        <v>0</v>
      </c>
      <c r="AF634" s="121">
        <v>0</v>
      </c>
      <c r="AG634" s="121">
        <v>1</v>
      </c>
      <c r="AH634" s="158" t="s">
        <v>30</v>
      </c>
      <c r="AI634" s="119"/>
      <c r="AJ634" s="158" t="s">
        <v>39</v>
      </c>
      <c r="AK634" s="121">
        <v>1</v>
      </c>
      <c r="AL634" s="121">
        <v>1</v>
      </c>
      <c r="AM634" s="121">
        <v>0</v>
      </c>
      <c r="AN634" s="158" t="s">
        <v>30</v>
      </c>
      <c r="AP634" s="158" t="s">
        <v>32</v>
      </c>
      <c r="AQ634" s="121">
        <v>1</v>
      </c>
      <c r="AR634" s="121">
        <v>1</v>
      </c>
      <c r="AS634" s="121">
        <v>0</v>
      </c>
      <c r="AT634" s="158" t="s">
        <v>30</v>
      </c>
      <c r="AU634" s="119"/>
      <c r="AV634" s="158" t="s">
        <v>28</v>
      </c>
      <c r="AW634" s="121">
        <v>0</v>
      </c>
      <c r="AX634" s="121">
        <v>0</v>
      </c>
      <c r="AY634" s="121">
        <v>1</v>
      </c>
      <c r="AZ634" s="158" t="s">
        <v>30</v>
      </c>
    </row>
    <row r="635" spans="7:52" x14ac:dyDescent="0.3">
      <c r="G635" s="160">
        <v>27</v>
      </c>
      <c r="H635" s="158" t="s">
        <v>31</v>
      </c>
      <c r="I635" s="121">
        <v>0</v>
      </c>
      <c r="J635" s="121">
        <v>1</v>
      </c>
      <c r="K635" s="158" t="s">
        <v>35</v>
      </c>
      <c r="M635" s="160">
        <v>27</v>
      </c>
      <c r="N635" s="158">
        <v>50</v>
      </c>
      <c r="O635" s="121">
        <v>0</v>
      </c>
      <c r="P635" s="121">
        <v>1</v>
      </c>
      <c r="Q635" s="158" t="s">
        <v>35</v>
      </c>
      <c r="R635" s="119"/>
      <c r="S635" s="160">
        <v>27</v>
      </c>
      <c r="T635" s="158">
        <v>97</v>
      </c>
      <c r="U635" s="121">
        <v>0.3</v>
      </c>
      <c r="V635" s="121">
        <v>0.7</v>
      </c>
      <c r="W635" s="158" t="s">
        <v>35</v>
      </c>
      <c r="X635" s="119"/>
      <c r="Y635" s="4">
        <v>28</v>
      </c>
      <c r="Z635" s="121">
        <v>0</v>
      </c>
      <c r="AA635" s="121">
        <v>1</v>
      </c>
      <c r="AB635" s="158" t="s">
        <v>35</v>
      </c>
      <c r="AC635" s="119"/>
      <c r="AD635" s="120" t="s">
        <v>31</v>
      </c>
      <c r="AE635" s="121">
        <v>0</v>
      </c>
      <c r="AF635" s="121">
        <v>0</v>
      </c>
      <c r="AG635" s="121">
        <v>1</v>
      </c>
      <c r="AH635" s="158" t="s">
        <v>35</v>
      </c>
      <c r="AI635" s="119"/>
      <c r="AJ635" s="158" t="s">
        <v>26</v>
      </c>
      <c r="AK635" s="121">
        <v>0</v>
      </c>
      <c r="AL635" s="121">
        <v>0</v>
      </c>
      <c r="AM635" s="121">
        <v>1</v>
      </c>
      <c r="AN635" s="158" t="s">
        <v>35</v>
      </c>
      <c r="AP635" s="158" t="s">
        <v>32</v>
      </c>
      <c r="AQ635" s="121">
        <v>1</v>
      </c>
      <c r="AR635" s="121">
        <v>1</v>
      </c>
      <c r="AS635" s="121">
        <v>0</v>
      </c>
      <c r="AT635" s="158" t="s">
        <v>35</v>
      </c>
      <c r="AU635" s="119"/>
      <c r="AV635" s="158" t="s">
        <v>33</v>
      </c>
      <c r="AW635" s="121">
        <v>1</v>
      </c>
      <c r="AX635" s="121">
        <v>1</v>
      </c>
      <c r="AY635" s="121">
        <v>0</v>
      </c>
      <c r="AZ635" s="158" t="s">
        <v>35</v>
      </c>
    </row>
    <row r="636" spans="7:52" x14ac:dyDescent="0.3">
      <c r="G636" s="160">
        <v>38</v>
      </c>
      <c r="H636" s="158" t="s">
        <v>31</v>
      </c>
      <c r="I636" s="121">
        <v>0</v>
      </c>
      <c r="J636" s="121">
        <v>1</v>
      </c>
      <c r="K636" s="158" t="s">
        <v>30</v>
      </c>
      <c r="M636" s="160">
        <v>38</v>
      </c>
      <c r="N636" s="158">
        <v>31</v>
      </c>
      <c r="O636" s="121">
        <v>0.75</v>
      </c>
      <c r="P636" s="121">
        <v>0.25</v>
      </c>
      <c r="Q636" s="158" t="s">
        <v>30</v>
      </c>
      <c r="R636" s="119"/>
      <c r="S636" s="160">
        <v>38</v>
      </c>
      <c r="T636" s="158">
        <v>89</v>
      </c>
      <c r="U636" s="121">
        <v>1</v>
      </c>
      <c r="V636" s="121">
        <v>0</v>
      </c>
      <c r="W636" s="158" t="s">
        <v>30</v>
      </c>
      <c r="X636" s="119"/>
      <c r="Y636" s="4">
        <v>31.301350186727948</v>
      </c>
      <c r="Z636" s="121">
        <v>0</v>
      </c>
      <c r="AA636" s="121">
        <v>1</v>
      </c>
      <c r="AB636" s="158" t="s">
        <v>30</v>
      </c>
      <c r="AC636" s="119"/>
      <c r="AD636" s="158" t="s">
        <v>31</v>
      </c>
      <c r="AE636" s="121">
        <v>0</v>
      </c>
      <c r="AF636" s="121">
        <v>0</v>
      </c>
      <c r="AG636" s="121">
        <v>1</v>
      </c>
      <c r="AH636" s="158" t="s">
        <v>30</v>
      </c>
      <c r="AI636" s="119"/>
      <c r="AJ636" s="158" t="s">
        <v>39</v>
      </c>
      <c r="AK636" s="121">
        <v>1</v>
      </c>
      <c r="AL636" s="121">
        <v>1</v>
      </c>
      <c r="AM636" s="121">
        <v>0</v>
      </c>
      <c r="AN636" s="158" t="s">
        <v>30</v>
      </c>
      <c r="AP636" s="158" t="s">
        <v>32</v>
      </c>
      <c r="AQ636" s="121">
        <v>1</v>
      </c>
      <c r="AR636" s="121">
        <v>1</v>
      </c>
      <c r="AS636" s="121">
        <v>0</v>
      </c>
      <c r="AT636" s="158" t="s">
        <v>30</v>
      </c>
      <c r="AU636" s="119"/>
      <c r="AV636" s="158" t="s">
        <v>28</v>
      </c>
      <c r="AW636" s="121">
        <v>0</v>
      </c>
      <c r="AX636" s="121">
        <v>0</v>
      </c>
      <c r="AY636" s="121">
        <v>1</v>
      </c>
      <c r="AZ636" s="158" t="s">
        <v>30</v>
      </c>
    </row>
    <row r="637" spans="7:52" x14ac:dyDescent="0.3">
      <c r="G637" s="160">
        <v>40</v>
      </c>
      <c r="H637" s="158" t="s">
        <v>31</v>
      </c>
      <c r="I637" s="121">
        <v>0</v>
      </c>
      <c r="J637" s="121">
        <v>1</v>
      </c>
      <c r="K637" s="158" t="s">
        <v>30</v>
      </c>
      <c r="M637" s="160">
        <v>40</v>
      </c>
      <c r="N637" s="158">
        <v>41</v>
      </c>
      <c r="O637" s="121">
        <v>0.25</v>
      </c>
      <c r="P637" s="121">
        <v>0.75</v>
      </c>
      <c r="Q637" s="158" t="s">
        <v>30</v>
      </c>
      <c r="R637" s="119"/>
      <c r="S637" s="160">
        <v>40</v>
      </c>
      <c r="T637" s="158">
        <v>97</v>
      </c>
      <c r="U637" s="121">
        <v>0.3</v>
      </c>
      <c r="V637" s="121">
        <v>0.7</v>
      </c>
      <c r="W637" s="158" t="s">
        <v>30</v>
      </c>
      <c r="X637" s="119"/>
      <c r="Y637" s="4">
        <v>26.888888888888889</v>
      </c>
      <c r="Z637" s="121">
        <v>1.2345679012345635E-2</v>
      </c>
      <c r="AA637" s="121">
        <v>0.98765432098765438</v>
      </c>
      <c r="AB637" s="158" t="s">
        <v>30</v>
      </c>
      <c r="AC637" s="119"/>
      <c r="AD637" s="158" t="s">
        <v>31</v>
      </c>
      <c r="AE637" s="121">
        <v>0</v>
      </c>
      <c r="AF637" s="121">
        <v>0</v>
      </c>
      <c r="AG637" s="121">
        <v>1</v>
      </c>
      <c r="AH637" s="158" t="s">
        <v>30</v>
      </c>
      <c r="AI637" s="119"/>
      <c r="AJ637" s="158" t="s">
        <v>26</v>
      </c>
      <c r="AK637" s="121">
        <v>0</v>
      </c>
      <c r="AL637" s="121">
        <v>0</v>
      </c>
      <c r="AM637" s="121">
        <v>1</v>
      </c>
      <c r="AN637" s="158" t="s">
        <v>30</v>
      </c>
      <c r="AP637" s="158" t="s">
        <v>32</v>
      </c>
      <c r="AQ637" s="121">
        <v>1</v>
      </c>
      <c r="AR637" s="121">
        <v>1</v>
      </c>
      <c r="AS637" s="121">
        <v>0</v>
      </c>
      <c r="AT637" s="158" t="s">
        <v>30</v>
      </c>
      <c r="AU637" s="119"/>
      <c r="AV637" s="158" t="s">
        <v>28</v>
      </c>
      <c r="AW637" s="121">
        <v>0</v>
      </c>
      <c r="AX637" s="121">
        <v>0</v>
      </c>
      <c r="AY637" s="121">
        <v>1</v>
      </c>
      <c r="AZ637" s="158" t="s">
        <v>30</v>
      </c>
    </row>
    <row r="638" spans="7:52" x14ac:dyDescent="0.3">
      <c r="G638" s="160">
        <v>54</v>
      </c>
      <c r="H638" s="158" t="s">
        <v>31</v>
      </c>
      <c r="I638" s="121">
        <v>0</v>
      </c>
      <c r="J638" s="121">
        <v>1</v>
      </c>
      <c r="K638" s="158" t="s">
        <v>30</v>
      </c>
      <c r="M638" s="160">
        <v>54</v>
      </c>
      <c r="N638" s="158">
        <v>80</v>
      </c>
      <c r="O638" s="121">
        <v>0</v>
      </c>
      <c r="P638" s="121">
        <v>1</v>
      </c>
      <c r="Q638" s="158" t="s">
        <v>30</v>
      </c>
      <c r="R638" s="119"/>
      <c r="S638" s="160">
        <v>54</v>
      </c>
      <c r="T638" s="158">
        <v>78</v>
      </c>
      <c r="U638" s="121">
        <v>1</v>
      </c>
      <c r="V638" s="121">
        <v>0</v>
      </c>
      <c r="W638" s="158" t="s">
        <v>30</v>
      </c>
      <c r="X638" s="119"/>
      <c r="Y638" s="4">
        <v>20.894901144640997</v>
      </c>
      <c r="Z638" s="121">
        <v>0.67834431726211142</v>
      </c>
      <c r="AA638" s="121">
        <v>0.32165568273788853</v>
      </c>
      <c r="AB638" s="158" t="s">
        <v>30</v>
      </c>
      <c r="AC638" s="119"/>
      <c r="AD638" s="158" t="s">
        <v>31</v>
      </c>
      <c r="AE638" s="121">
        <v>0</v>
      </c>
      <c r="AF638" s="121">
        <v>0</v>
      </c>
      <c r="AG638" s="121">
        <v>1</v>
      </c>
      <c r="AH638" s="158" t="s">
        <v>30</v>
      </c>
      <c r="AI638" s="119"/>
      <c r="AJ638" s="158" t="s">
        <v>26</v>
      </c>
      <c r="AK638" s="121">
        <v>0</v>
      </c>
      <c r="AL638" s="121">
        <v>0</v>
      </c>
      <c r="AM638" s="121">
        <v>1</v>
      </c>
      <c r="AN638" s="158" t="s">
        <v>30</v>
      </c>
      <c r="AP638" s="158" t="s">
        <v>27</v>
      </c>
      <c r="AQ638" s="121">
        <v>0</v>
      </c>
      <c r="AR638" s="121">
        <v>0</v>
      </c>
      <c r="AS638" s="121">
        <v>1</v>
      </c>
      <c r="AT638" s="158" t="s">
        <v>30</v>
      </c>
      <c r="AU638" s="119"/>
      <c r="AV638" s="158" t="s">
        <v>28</v>
      </c>
      <c r="AW638" s="121">
        <v>0</v>
      </c>
      <c r="AX638" s="121">
        <v>0</v>
      </c>
      <c r="AY638" s="121">
        <v>1</v>
      </c>
      <c r="AZ638" s="158" t="s">
        <v>30</v>
      </c>
    </row>
    <row r="639" spans="7:52" x14ac:dyDescent="0.3">
      <c r="G639" s="160">
        <v>56</v>
      </c>
      <c r="H639" s="158" t="s">
        <v>31</v>
      </c>
      <c r="I639" s="121">
        <v>0</v>
      </c>
      <c r="J639" s="121">
        <v>1</v>
      </c>
      <c r="K639" s="158" t="s">
        <v>35</v>
      </c>
      <c r="M639" s="160">
        <v>56</v>
      </c>
      <c r="N639" s="158">
        <v>51</v>
      </c>
      <c r="O639" s="121">
        <v>0</v>
      </c>
      <c r="P639" s="121">
        <v>1</v>
      </c>
      <c r="Q639" s="158" t="s">
        <v>35</v>
      </c>
      <c r="R639" s="119"/>
      <c r="S639" s="160">
        <v>56</v>
      </c>
      <c r="T639" s="158">
        <v>85</v>
      </c>
      <c r="U639" s="121">
        <v>1</v>
      </c>
      <c r="V639" s="121">
        <v>0</v>
      </c>
      <c r="W639" s="158" t="s">
        <v>35</v>
      </c>
      <c r="X639" s="119"/>
      <c r="Y639" s="4">
        <v>22.812933941678239</v>
      </c>
      <c r="Z639" s="121">
        <v>0.46522956203575128</v>
      </c>
      <c r="AA639" s="121">
        <v>0.53477043796424872</v>
      </c>
      <c r="AB639" s="158" t="s">
        <v>35</v>
      </c>
      <c r="AC639" s="119"/>
      <c r="AD639" s="158" t="s">
        <v>31</v>
      </c>
      <c r="AE639" s="121">
        <v>0</v>
      </c>
      <c r="AF639" s="121">
        <v>0</v>
      </c>
      <c r="AG639" s="121">
        <v>1</v>
      </c>
      <c r="AH639" s="158" t="s">
        <v>35</v>
      </c>
      <c r="AI639" s="119"/>
      <c r="AJ639" s="158" t="s">
        <v>39</v>
      </c>
      <c r="AK639" s="121">
        <v>1</v>
      </c>
      <c r="AL639" s="121">
        <v>1</v>
      </c>
      <c r="AM639" s="121">
        <v>0</v>
      </c>
      <c r="AN639" s="158" t="s">
        <v>35</v>
      </c>
      <c r="AP639" s="158" t="s">
        <v>27</v>
      </c>
      <c r="AQ639" s="121">
        <v>0</v>
      </c>
      <c r="AR639" s="121">
        <v>0</v>
      </c>
      <c r="AS639" s="121">
        <v>1</v>
      </c>
      <c r="AT639" s="158" t="s">
        <v>35</v>
      </c>
      <c r="AU639" s="119"/>
      <c r="AV639" s="158" t="s">
        <v>33</v>
      </c>
      <c r="AW639" s="121">
        <v>1</v>
      </c>
      <c r="AX639" s="121">
        <v>1</v>
      </c>
      <c r="AY639" s="121">
        <v>0</v>
      </c>
      <c r="AZ639" s="158" t="s">
        <v>35</v>
      </c>
    </row>
    <row r="640" spans="7:52" x14ac:dyDescent="0.3">
      <c r="G640" s="119"/>
      <c r="H640" s="119"/>
      <c r="I640" s="142" t="s">
        <v>36</v>
      </c>
      <c r="J640" s="142">
        <f>COUNTIF(K634:K639, "Rendah")</f>
        <v>0</v>
      </c>
      <c r="K640" s="119"/>
      <c r="N640" s="121" t="s">
        <v>64</v>
      </c>
      <c r="O640" s="121">
        <f>SUM(O634:O639)</f>
        <v>1</v>
      </c>
      <c r="P640" s="121">
        <f>SUM(P634:P639)</f>
        <v>5</v>
      </c>
      <c r="T640" s="121" t="s">
        <v>64</v>
      </c>
      <c r="U640" s="121">
        <f>SUM(U634:U639)</f>
        <v>4.5999999999999996</v>
      </c>
      <c r="V640" s="121">
        <f>SUM(V634:V639)</f>
        <v>1.4</v>
      </c>
      <c r="Y640" s="121" t="s">
        <v>64</v>
      </c>
      <c r="Z640" s="121">
        <f>SUM(Z634:Z639)</f>
        <v>1.9979528815349399</v>
      </c>
      <c r="AA640" s="121">
        <f>SUM(AA634:AA639)</f>
        <v>4.0020471184650592</v>
      </c>
      <c r="AE640" s="121" t="s">
        <v>64</v>
      </c>
      <c r="AF640" s="121">
        <f>SUM(AF634:AF639)</f>
        <v>0</v>
      </c>
      <c r="AG640" s="121">
        <f>SUM(AG634:AG639)</f>
        <v>6</v>
      </c>
      <c r="AK640" s="121" t="s">
        <v>64</v>
      </c>
      <c r="AL640" s="121">
        <f>SUM(AL634:AL639)</f>
        <v>3</v>
      </c>
      <c r="AM640" s="121">
        <f>SUM(AM634:AM639)</f>
        <v>3</v>
      </c>
      <c r="AQ640" s="121" t="s">
        <v>64</v>
      </c>
      <c r="AR640" s="121">
        <f>SUM(AR634:AR639)</f>
        <v>4</v>
      </c>
      <c r="AS640" s="121">
        <f>SUM(AS634:AS639)</f>
        <v>2</v>
      </c>
      <c r="AW640" s="121" t="s">
        <v>64</v>
      </c>
      <c r="AX640" s="121">
        <f>SUM(AX634:AX639)</f>
        <v>2</v>
      </c>
      <c r="AY640" s="121">
        <f>SUM(AY634:AY639)</f>
        <v>4</v>
      </c>
    </row>
    <row r="641" spans="1:51" x14ac:dyDescent="0.3">
      <c r="G641" s="119"/>
      <c r="H641" s="119"/>
      <c r="I641" s="142" t="s">
        <v>30</v>
      </c>
      <c r="J641" s="142">
        <f>COUNTIF(K634:K639, "Sedang")</f>
        <v>4</v>
      </c>
      <c r="K641" s="119"/>
      <c r="N641" s="141" t="s">
        <v>36</v>
      </c>
      <c r="O641" s="146">
        <f>SUMIF(Q634:Q639,N641,O634:O639)</f>
        <v>0</v>
      </c>
      <c r="P641" s="141">
        <f>SUMIF(Q634:Q639,N641,P634:P639)</f>
        <v>0</v>
      </c>
      <c r="T641" s="141" t="s">
        <v>36</v>
      </c>
      <c r="U641" s="146">
        <f>SUMIF(W634:W639,T641,U634:U639)</f>
        <v>0</v>
      </c>
      <c r="V641" s="141">
        <f>SUMIF(W634:W639,T641,V634:V639)</f>
        <v>0</v>
      </c>
      <c r="Y641" s="141" t="s">
        <v>36</v>
      </c>
      <c r="Z641" s="146">
        <f>SUMIF(AB634:AB639,Y641,Z634:Z639)</f>
        <v>0</v>
      </c>
      <c r="AA641" s="141">
        <f>SUMIF(AB634:AB639,Y641,AA634:AA639)</f>
        <v>0</v>
      </c>
      <c r="AE641" s="141" t="s">
        <v>36</v>
      </c>
      <c r="AF641" s="146">
        <f>SUMIF(AH634:AH639,AE641,AF634:AF639)</f>
        <v>0</v>
      </c>
      <c r="AG641" s="141">
        <f>SUMIF(AH634:AH639,AE641,AG634:AG639)</f>
        <v>0</v>
      </c>
      <c r="AK641" s="141" t="s">
        <v>36</v>
      </c>
      <c r="AL641" s="146">
        <f>SUMIF(AN634:AN639,AK641,AL634:AL639)</f>
        <v>0</v>
      </c>
      <c r="AM641" s="141">
        <f>SUMIF(AN634:AN639,AK641,AM634:AM639)</f>
        <v>0</v>
      </c>
      <c r="AQ641" s="141" t="s">
        <v>36</v>
      </c>
      <c r="AR641" s="146">
        <f>SUMIF(AT634:AT639,AQ641,AR634:AR639)</f>
        <v>0</v>
      </c>
      <c r="AS641" s="141">
        <f>SUMIF(AT634:AT639,AQ641,AS634:AS639)</f>
        <v>0</v>
      </c>
      <c r="AW641" s="141" t="s">
        <v>36</v>
      </c>
      <c r="AX641" s="146">
        <f>SUMIF(AZ634:AZ639,AW641,AX634:AX639)</f>
        <v>0</v>
      </c>
      <c r="AY641" s="141">
        <f>SUMIF(AZ634:AZ639,AW641,AY634:AY639)</f>
        <v>0</v>
      </c>
    </row>
    <row r="642" spans="1:51" x14ac:dyDescent="0.3">
      <c r="G642" s="119"/>
      <c r="H642" s="119"/>
      <c r="I642" s="142" t="s">
        <v>35</v>
      </c>
      <c r="J642" s="142">
        <f>COUNTIF(K634:K639, "Tinggi")</f>
        <v>2</v>
      </c>
      <c r="K642" s="119"/>
      <c r="N642" s="141" t="s">
        <v>30</v>
      </c>
      <c r="O642" s="146">
        <f>SUMIF(Q634:Q639,N642,O634:O639)</f>
        <v>1</v>
      </c>
      <c r="P642" s="141">
        <f>SUMIF(Q634:Q639,N642,P634:P639)</f>
        <v>3</v>
      </c>
      <c r="T642" s="141" t="s">
        <v>30</v>
      </c>
      <c r="U642" s="146">
        <f>SUMIF(W634:W639,T642,U634:U639)</f>
        <v>3.3</v>
      </c>
      <c r="V642" s="141">
        <f>SUMIF(W634:W639,T642,V634:V639)</f>
        <v>0.7</v>
      </c>
      <c r="Y642" s="141" t="s">
        <v>30</v>
      </c>
      <c r="Z642" s="146">
        <f>SUMIF(AB634:AB639,Y642,Z634:Z639)</f>
        <v>1.5327233194991887</v>
      </c>
      <c r="AA642" s="141">
        <f>SUMIF(AB634:AB639,Y642,AA634:AA639)</f>
        <v>2.4672766805008113</v>
      </c>
      <c r="AE642" s="141" t="s">
        <v>30</v>
      </c>
      <c r="AF642" s="146">
        <f>SUMIF(AH634:AH639,AE642,AF634:AF639)</f>
        <v>0</v>
      </c>
      <c r="AG642" s="141">
        <f>SUMIF(AH634:AH639,AE642,AG634:AG639)</f>
        <v>4</v>
      </c>
      <c r="AK642" s="141" t="s">
        <v>30</v>
      </c>
      <c r="AL642" s="146">
        <f>SUMIF(AN634:AN639,AK642,AL634:AL639)</f>
        <v>2</v>
      </c>
      <c r="AM642" s="141">
        <f>SUMIF(AN634:AN639,AK642,AM634:AM639)</f>
        <v>2</v>
      </c>
      <c r="AQ642" s="141" t="s">
        <v>30</v>
      </c>
      <c r="AR642" s="146">
        <f>SUMIF(AT634:AT639,AQ642,AR634:AR639)</f>
        <v>3</v>
      </c>
      <c r="AS642" s="141">
        <f>SUMIF(AT634:AT639,AQ642,AS634:AS639)</f>
        <v>1</v>
      </c>
      <c r="AW642" s="141" t="s">
        <v>30</v>
      </c>
      <c r="AX642" s="146">
        <f>SUMIF(AZ634:AZ639,AW642,AX634:AX639)</f>
        <v>0</v>
      </c>
      <c r="AY642" s="141">
        <f>SUMIF(AZ634:AZ639,AW642,AY634:AY639)</f>
        <v>4</v>
      </c>
    </row>
    <row r="643" spans="1:51" x14ac:dyDescent="0.3">
      <c r="G643" s="119"/>
      <c r="H643" s="119"/>
      <c r="I643" s="119"/>
      <c r="J643" s="119">
        <v>6</v>
      </c>
      <c r="K643" s="119"/>
      <c r="N643" s="141" t="s">
        <v>35</v>
      </c>
      <c r="O643" s="146">
        <f>SUMIF(Q634:Q639,N643,O634:O639)</f>
        <v>0</v>
      </c>
      <c r="P643" s="141">
        <f>SUMIF(Q634:Q639,N643,P634:P639)</f>
        <v>2</v>
      </c>
      <c r="T643" s="141" t="s">
        <v>35</v>
      </c>
      <c r="U643" s="146">
        <f>SUMIF(W634:W639,T643,U634:U639)</f>
        <v>1.3</v>
      </c>
      <c r="V643" s="141">
        <f>SUMIF(W634:W639,T643,V634:V639)</f>
        <v>0.7</v>
      </c>
      <c r="Y643" s="141" t="s">
        <v>35</v>
      </c>
      <c r="Z643" s="146">
        <f>SUMIF(AB634:AB639,Y643,Z634:Z639)</f>
        <v>0.46522956203575128</v>
      </c>
      <c r="AA643" s="141">
        <f>SUMIF(AB634:AB639,Y643,AA634:AA639)</f>
        <v>1.5347704379642488</v>
      </c>
      <c r="AE643" s="141" t="s">
        <v>35</v>
      </c>
      <c r="AF643" s="146">
        <f>SUMIF(AH634:AH639,AE643,AF634:AF639)</f>
        <v>0</v>
      </c>
      <c r="AG643" s="141">
        <f>SUMIF(AH634:AH639,AE643,AG634:AG639)</f>
        <v>2</v>
      </c>
      <c r="AK643" s="141" t="s">
        <v>35</v>
      </c>
      <c r="AL643" s="146">
        <f>SUMIF(AN634:AN639,AK643,AL634:AL639)</f>
        <v>1</v>
      </c>
      <c r="AM643" s="141">
        <f>SUMIF(AN634:AN639,AK643,AM634:AM639)</f>
        <v>1</v>
      </c>
      <c r="AQ643" s="141" t="s">
        <v>35</v>
      </c>
      <c r="AR643" s="146">
        <f>SUMIF(AT634:AT639,AQ643,AR634:AR639)</f>
        <v>1</v>
      </c>
      <c r="AS643" s="141">
        <f>SUMIF(AT634:AT639,AQ643,AS634:AS639)</f>
        <v>1</v>
      </c>
      <c r="AW643" s="141" t="s">
        <v>35</v>
      </c>
      <c r="AX643" s="146">
        <f>SUMIF(AZ634:AZ639,AW643,AX634:AX639)</f>
        <v>2</v>
      </c>
      <c r="AY643" s="141">
        <f>SUMIF(AZ634:AZ639,AW643,AY634:AY639)</f>
        <v>0</v>
      </c>
    </row>
    <row r="646" spans="1:51" x14ac:dyDescent="0.3">
      <c r="M646" s="219" t="s">
        <v>270</v>
      </c>
      <c r="N646" s="219"/>
      <c r="O646" s="165" t="s">
        <v>55</v>
      </c>
      <c r="P646" s="123">
        <f>-(0)-(O642/O640)*LOG((O642/O640),2)-(0)</f>
        <v>0</v>
      </c>
      <c r="Q646" s="165" t="s">
        <v>43</v>
      </c>
      <c r="R646" s="123">
        <f>-(0)-(P642/P640)*LOG((P642/P640),2)-(P643/P640)*LOG((P643/P640),2)</f>
        <v>0.97095059445466858</v>
      </c>
      <c r="S646" s="145"/>
      <c r="T646" s="123"/>
      <c r="U646" s="119"/>
      <c r="V646" s="232" t="s">
        <v>261</v>
      </c>
      <c r="W646" s="233"/>
      <c r="X646" s="234"/>
      <c r="Y646" s="151">
        <f>-(0)-((4/6)*LOG((4/6),2))-((2/6)*LOG((2/6),2))</f>
        <v>0.91829583405448956</v>
      </c>
    </row>
    <row r="647" spans="1:51" x14ac:dyDescent="0.3">
      <c r="M647" s="219" t="s">
        <v>272</v>
      </c>
      <c r="N647" s="219"/>
      <c r="O647" s="165" t="s">
        <v>44</v>
      </c>
      <c r="P647" s="123">
        <f>-(0)-(U642/U640)*LOG((U642/U640),2)-(U643/U640)*LOG((U643/U640),2)</f>
        <v>0.85898103704259643</v>
      </c>
      <c r="Q647" s="165" t="s">
        <v>258</v>
      </c>
      <c r="R647" s="123">
        <f>-(0)-(V642/V640)*LOG((V642/V640),2)-(V643/V640)*LOG((V643/V640),2)</f>
        <v>1</v>
      </c>
      <c r="S647" s="165"/>
      <c r="T647" s="123"/>
      <c r="U647" s="119"/>
      <c r="V647" s="229" t="s">
        <v>65</v>
      </c>
      <c r="W647" s="230"/>
      <c r="X647" s="231"/>
      <c r="Y647" s="228">
        <f>(Y646)-((O640/6)*P646)-((P640/6)*R646)</f>
        <v>0.109170338675599</v>
      </c>
    </row>
    <row r="648" spans="1:51" x14ac:dyDescent="0.3">
      <c r="M648" s="219" t="s">
        <v>273</v>
      </c>
      <c r="N648" s="219"/>
      <c r="O648" s="165" t="s">
        <v>44</v>
      </c>
      <c r="P648" s="123">
        <f>-(0)-(Z642/Z640)*LOG((Z642/Z640),2)-(Z643/Z640)*LOG((Z643/Z640),2)</f>
        <v>0.78295187161743041</v>
      </c>
      <c r="Q648" s="165" t="s">
        <v>47</v>
      </c>
      <c r="R648" s="123">
        <f>-(0)-(AA642/AA640)*LOG((AA642/AA640),2)-(AA643/AA640)*LOG((AA643/AA640),2)</f>
        <v>0.96047399676644707</v>
      </c>
      <c r="S648" s="165"/>
      <c r="T648" s="123"/>
      <c r="U648" s="119"/>
      <c r="V648" s="229" t="s">
        <v>263</v>
      </c>
      <c r="W648" s="230"/>
      <c r="X648" s="231"/>
      <c r="Y648" s="151">
        <f>(Y646)-((U640/6)*P647)-((V640/6)*R647)</f>
        <v>2.6410372321832382E-2</v>
      </c>
    </row>
    <row r="649" spans="1:51" x14ac:dyDescent="0.3">
      <c r="M649" s="219" t="s">
        <v>274</v>
      </c>
      <c r="N649" s="219"/>
      <c r="O649" s="165" t="s">
        <v>25</v>
      </c>
      <c r="P649" s="123">
        <f>-(0)-(0)-(0)</f>
        <v>0</v>
      </c>
      <c r="Q649" s="165" t="s">
        <v>34</v>
      </c>
      <c r="R649" s="123">
        <f>-(0)-(AG642/AG640)*LOG((AG642/AG640),2)-(AG643/AG640)*LOG((AG643/AG640),2)</f>
        <v>0.91829583405448956</v>
      </c>
      <c r="S649" s="165"/>
      <c r="T649" s="123"/>
      <c r="U649" s="119"/>
      <c r="V649" s="229" t="s">
        <v>67</v>
      </c>
      <c r="W649" s="230"/>
      <c r="X649" s="231"/>
      <c r="Y649" s="151">
        <f>(Y646)-((Z640/6)*P648)-((AA640/6)*R648)</f>
        <v>1.693531086765665E-2</v>
      </c>
    </row>
    <row r="650" spans="1:51" x14ac:dyDescent="0.3">
      <c r="M650" s="219" t="s">
        <v>275</v>
      </c>
      <c r="N650" s="219"/>
      <c r="O650" s="165" t="s">
        <v>26</v>
      </c>
      <c r="P650" s="123">
        <f>-(0)-(AL642/AL640)*LOG((AL642/AL640),2)-(AL643/AL640)*LOG((AL643/AL640),2)</f>
        <v>0.91829583405448956</v>
      </c>
      <c r="Q650" s="165" t="s">
        <v>39</v>
      </c>
      <c r="R650" s="123">
        <f>-(0)-(AM642/AM640)*LOG((AM642/AM640),2)-(AM643/AM640)*LOG((AM643/AM640),2)</f>
        <v>0.91829583405448956</v>
      </c>
      <c r="S650" s="165"/>
      <c r="T650" s="123"/>
      <c r="U650" s="119"/>
      <c r="V650" s="229" t="s">
        <v>264</v>
      </c>
      <c r="W650" s="230"/>
      <c r="X650" s="231"/>
      <c r="Y650" s="151">
        <f>(Y646)-((AF640/6)*P649)-((AG640/6)*R649)</f>
        <v>0</v>
      </c>
    </row>
    <row r="651" spans="1:51" x14ac:dyDescent="0.3">
      <c r="M651" s="219" t="s">
        <v>276</v>
      </c>
      <c r="N651" s="219"/>
      <c r="O651" s="149" t="s">
        <v>27</v>
      </c>
      <c r="P651" s="123">
        <f>-(0)-(AR642/AR640)*LOG((AR642/AR640),2)-(AR643/AR640)*LOG((AR643/AR640),2)</f>
        <v>0.81127812445913283</v>
      </c>
      <c r="Q651" s="149" t="s">
        <v>32</v>
      </c>
      <c r="R651" s="123">
        <f>-(0)-(AS642/AS640)*LOG((AS642/AS640),2)-(AS643/AS640)*LOG((AS643/AS640),2)</f>
        <v>1</v>
      </c>
      <c r="S651" s="165"/>
      <c r="T651" s="123"/>
      <c r="U651" s="119"/>
      <c r="V651" s="229" t="s">
        <v>265</v>
      </c>
      <c r="W651" s="230"/>
      <c r="X651" s="231"/>
      <c r="Y651" s="151">
        <f>(Y646)-((AL640/6)*P650)-((AM640/6)*R650)</f>
        <v>0</v>
      </c>
    </row>
    <row r="652" spans="1:51" x14ac:dyDescent="0.3">
      <c r="M652" s="219" t="s">
        <v>277</v>
      </c>
      <c r="N652" s="219"/>
      <c r="O652" s="149" t="s">
        <v>28</v>
      </c>
      <c r="P652" s="123">
        <f>-(0)-(0)-(AX643/AX640)*LOG((AX643/AX640),2)</f>
        <v>0</v>
      </c>
      <c r="Q652" s="149" t="s">
        <v>33</v>
      </c>
      <c r="R652" s="123">
        <f>-(0)-(AY642/AY640)*LOG((AY642/AY640),2)-(0)</f>
        <v>0</v>
      </c>
      <c r="S652" s="165"/>
      <c r="T652" s="123"/>
      <c r="U652" s="119"/>
      <c r="V652" s="229" t="s">
        <v>266</v>
      </c>
      <c r="W652" s="230"/>
      <c r="X652" s="231"/>
      <c r="Y652" s="228">
        <f>(Y646)-((AR640/6)*P651)-((AS640/6)*R651)</f>
        <v>4.4110417748401021E-2</v>
      </c>
    </row>
    <row r="653" spans="1:51" x14ac:dyDescent="0.3">
      <c r="M653" s="119"/>
      <c r="N653" s="119"/>
      <c r="O653" s="119"/>
      <c r="P653" s="119"/>
      <c r="Q653" s="119"/>
      <c r="R653" s="119"/>
      <c r="S653" s="119"/>
      <c r="T653" s="119"/>
      <c r="U653" s="119"/>
      <c r="V653" s="235" t="s">
        <v>267</v>
      </c>
      <c r="W653" s="236"/>
      <c r="X653" s="237"/>
      <c r="Y653" s="152">
        <f>(Y646)-((AX640/6)*P652)-((AY640/6)*R652)</f>
        <v>0.91829583405448956</v>
      </c>
    </row>
    <row r="656" spans="1:51" x14ac:dyDescent="0.3">
      <c r="A656" s="139" t="s">
        <v>77</v>
      </c>
      <c r="B656" s="139" t="s">
        <v>52</v>
      </c>
      <c r="C656" s="142" t="s">
        <v>259</v>
      </c>
      <c r="D656" s="166" t="s">
        <v>28</v>
      </c>
      <c r="E656" s="139" t="s">
        <v>66</v>
      </c>
      <c r="G656" s="139" t="s">
        <v>77</v>
      </c>
      <c r="H656" s="139" t="s">
        <v>52</v>
      </c>
      <c r="I656" s="142" t="s">
        <v>259</v>
      </c>
      <c r="J656" s="166" t="s">
        <v>33</v>
      </c>
      <c r="K656" s="139" t="s">
        <v>66</v>
      </c>
    </row>
    <row r="657" spans="1:11" x14ac:dyDescent="0.3">
      <c r="A657" s="160">
        <v>27</v>
      </c>
      <c r="B657" s="158" t="s">
        <v>33</v>
      </c>
      <c r="C657" s="121">
        <v>1</v>
      </c>
      <c r="D657" s="121">
        <v>1</v>
      </c>
      <c r="E657" s="158" t="s">
        <v>35</v>
      </c>
      <c r="G657" s="160">
        <v>17</v>
      </c>
      <c r="H657" s="158" t="s">
        <v>28</v>
      </c>
      <c r="I657" s="121">
        <v>0</v>
      </c>
      <c r="J657" s="121">
        <v>1</v>
      </c>
      <c r="K657" s="158" t="s">
        <v>30</v>
      </c>
    </row>
    <row r="658" spans="1:11" x14ac:dyDescent="0.3">
      <c r="A658" s="160">
        <v>56</v>
      </c>
      <c r="B658" s="158" t="s">
        <v>33</v>
      </c>
      <c r="C658" s="121">
        <v>1</v>
      </c>
      <c r="D658" s="121">
        <v>1</v>
      </c>
      <c r="E658" s="158" t="s">
        <v>35</v>
      </c>
      <c r="G658" s="160">
        <v>38</v>
      </c>
      <c r="H658" s="158" t="s">
        <v>28</v>
      </c>
      <c r="I658" s="121">
        <v>0</v>
      </c>
      <c r="J658" s="121">
        <v>1</v>
      </c>
      <c r="K658" s="158" t="s">
        <v>30</v>
      </c>
    </row>
    <row r="659" spans="1:11" x14ac:dyDescent="0.3">
      <c r="C659" s="142" t="s">
        <v>36</v>
      </c>
      <c r="D659" s="142">
        <f>COUNTIF(E657:E658, "Rendah")</f>
        <v>0</v>
      </c>
      <c r="G659" s="160">
        <v>40</v>
      </c>
      <c r="H659" s="158" t="s">
        <v>28</v>
      </c>
      <c r="I659" s="121">
        <v>0</v>
      </c>
      <c r="J659" s="121">
        <v>1</v>
      </c>
      <c r="K659" s="158" t="s">
        <v>30</v>
      </c>
    </row>
    <row r="660" spans="1:11" x14ac:dyDescent="0.3">
      <c r="C660" s="142" t="s">
        <v>30</v>
      </c>
      <c r="D660" s="142">
        <f>COUNTIF(E657:E658, "Sedang")</f>
        <v>0</v>
      </c>
      <c r="G660" s="160">
        <v>54</v>
      </c>
      <c r="H660" s="158" t="s">
        <v>28</v>
      </c>
      <c r="I660" s="121">
        <v>0</v>
      </c>
      <c r="J660" s="121">
        <v>1</v>
      </c>
      <c r="K660" s="158" t="s">
        <v>30</v>
      </c>
    </row>
    <row r="661" spans="1:11" x14ac:dyDescent="0.3">
      <c r="C661" s="142" t="s">
        <v>35</v>
      </c>
      <c r="D661" s="142">
        <f>COUNTIF(E657:E658, "Tinggi")</f>
        <v>2</v>
      </c>
      <c r="I661" s="142" t="s">
        <v>36</v>
      </c>
      <c r="J661" s="142">
        <f>COUNTIF(K657:K660, "Rendah")</f>
        <v>0</v>
      </c>
    </row>
    <row r="662" spans="1:11" x14ac:dyDescent="0.3">
      <c r="D662">
        <v>2</v>
      </c>
      <c r="I662" s="142" t="s">
        <v>30</v>
      </c>
      <c r="J662" s="142">
        <f>COUNTIF(K657:K660, "Sedang")</f>
        <v>4</v>
      </c>
    </row>
    <row r="663" spans="1:11" x14ac:dyDescent="0.3">
      <c r="I663" s="142" t="s">
        <v>35</v>
      </c>
      <c r="J663" s="142">
        <f>COUNTIF(K657:K660, "Tinggi")</f>
        <v>0</v>
      </c>
    </row>
    <row r="664" spans="1:11" x14ac:dyDescent="0.3">
      <c r="J664">
        <v>4</v>
      </c>
    </row>
    <row r="666" spans="1:11" x14ac:dyDescent="0.3">
      <c r="F666" s="161" t="s">
        <v>283</v>
      </c>
      <c r="G666" s="153">
        <v>0.7</v>
      </c>
      <c r="H666" s="119"/>
      <c r="I666" s="119"/>
    </row>
    <row r="667" spans="1:11" x14ac:dyDescent="0.3">
      <c r="F667" s="128" t="s">
        <v>284</v>
      </c>
      <c r="G667" s="119"/>
      <c r="H667" s="119"/>
      <c r="I667" s="128" t="s">
        <v>282</v>
      </c>
    </row>
    <row r="668" spans="1:11" x14ac:dyDescent="0.3">
      <c r="F668" s="90" t="s">
        <v>130</v>
      </c>
      <c r="G668" s="90" t="s">
        <v>36</v>
      </c>
      <c r="H668" s="90">
        <v>0</v>
      </c>
      <c r="I668" s="90">
        <v>0</v>
      </c>
    </row>
    <row r="669" spans="1:11" x14ac:dyDescent="0.3">
      <c r="F669" s="119"/>
      <c r="G669" s="90" t="s">
        <v>30</v>
      </c>
      <c r="H669" s="90">
        <v>0</v>
      </c>
      <c r="I669" s="90">
        <v>0</v>
      </c>
    </row>
    <row r="670" spans="1:11" x14ac:dyDescent="0.3">
      <c r="F670" s="119"/>
      <c r="G670" s="30" t="s">
        <v>35</v>
      </c>
      <c r="H670" s="30">
        <v>2</v>
      </c>
      <c r="I670" s="30">
        <v>100</v>
      </c>
    </row>
    <row r="671" spans="1:11" x14ac:dyDescent="0.3">
      <c r="F671" s="128" t="s">
        <v>285</v>
      </c>
      <c r="G671" s="119"/>
      <c r="H671" s="119"/>
      <c r="I671" s="128" t="s">
        <v>282</v>
      </c>
    </row>
    <row r="672" spans="1:11" x14ac:dyDescent="0.3">
      <c r="F672" s="119" t="s">
        <v>130</v>
      </c>
      <c r="G672" s="119" t="s">
        <v>36</v>
      </c>
      <c r="H672" s="119">
        <v>0</v>
      </c>
      <c r="I672" s="119">
        <v>0</v>
      </c>
    </row>
    <row r="673" spans="6:9" x14ac:dyDescent="0.3">
      <c r="F673" s="119"/>
      <c r="G673" s="30" t="s">
        <v>30</v>
      </c>
      <c r="H673" s="30">
        <v>4</v>
      </c>
      <c r="I673" s="30">
        <v>100</v>
      </c>
    </row>
    <row r="674" spans="6:9" x14ac:dyDescent="0.3">
      <c r="F674" s="119"/>
      <c r="G674" s="90" t="s">
        <v>35</v>
      </c>
      <c r="H674" s="90">
        <v>0</v>
      </c>
      <c r="I674" s="90">
        <v>0</v>
      </c>
    </row>
  </sheetData>
  <mergeCells count="218">
    <mergeCell ref="M651:N651"/>
    <mergeCell ref="V651:X651"/>
    <mergeCell ref="M652:N652"/>
    <mergeCell ref="V652:X652"/>
    <mergeCell ref="V653:X653"/>
    <mergeCell ref="M648:N648"/>
    <mergeCell ref="V648:X648"/>
    <mergeCell ref="M649:N649"/>
    <mergeCell ref="V649:X649"/>
    <mergeCell ref="M650:N650"/>
    <mergeCell ref="V650:X650"/>
    <mergeCell ref="T589:V589"/>
    <mergeCell ref="T590:V590"/>
    <mergeCell ref="M646:N646"/>
    <mergeCell ref="V646:X646"/>
    <mergeCell ref="M647:N647"/>
    <mergeCell ref="V647:X647"/>
    <mergeCell ref="M589:N589"/>
    <mergeCell ref="T586:V586"/>
    <mergeCell ref="T587:V587"/>
    <mergeCell ref="T588:V588"/>
    <mergeCell ref="T569:V569"/>
    <mergeCell ref="M586:N586"/>
    <mergeCell ref="M587:N587"/>
    <mergeCell ref="M588:N588"/>
    <mergeCell ref="M568:N568"/>
    <mergeCell ref="T564:V564"/>
    <mergeCell ref="T565:V565"/>
    <mergeCell ref="T566:V566"/>
    <mergeCell ref="T567:V567"/>
    <mergeCell ref="T568:V568"/>
    <mergeCell ref="T505:V505"/>
    <mergeCell ref="M564:N564"/>
    <mergeCell ref="M565:N565"/>
    <mergeCell ref="M566:N566"/>
    <mergeCell ref="M567:N567"/>
    <mergeCell ref="M504:N504"/>
    <mergeCell ref="T500:V500"/>
    <mergeCell ref="T501:V501"/>
    <mergeCell ref="T502:V502"/>
    <mergeCell ref="T503:V503"/>
    <mergeCell ref="T504:V504"/>
    <mergeCell ref="M500:N500"/>
    <mergeCell ref="M501:N501"/>
    <mergeCell ref="M502:N502"/>
    <mergeCell ref="M503:N503"/>
    <mergeCell ref="M476:N476"/>
    <mergeCell ref="M477:N477"/>
    <mergeCell ref="T473:V473"/>
    <mergeCell ref="T474:V474"/>
    <mergeCell ref="T475:V475"/>
    <mergeCell ref="T476:V476"/>
    <mergeCell ref="T477:V477"/>
    <mergeCell ref="T478:V478"/>
    <mergeCell ref="V456:X456"/>
    <mergeCell ref="M472:N472"/>
    <mergeCell ref="M473:N473"/>
    <mergeCell ref="M474:N474"/>
    <mergeCell ref="M475:N475"/>
    <mergeCell ref="T472:V472"/>
    <mergeCell ref="M452:N452"/>
    <mergeCell ref="M453:N453"/>
    <mergeCell ref="M454:N454"/>
    <mergeCell ref="M455:N455"/>
    <mergeCell ref="V449:X449"/>
    <mergeCell ref="V450:X450"/>
    <mergeCell ref="V451:X451"/>
    <mergeCell ref="V452:X452"/>
    <mergeCell ref="V453:X453"/>
    <mergeCell ref="V454:X454"/>
    <mergeCell ref="V455:X455"/>
    <mergeCell ref="V419:X419"/>
    <mergeCell ref="V420:X420"/>
    <mergeCell ref="M449:N449"/>
    <mergeCell ref="M450:N450"/>
    <mergeCell ref="M451:N451"/>
    <mergeCell ref="M416:N416"/>
    <mergeCell ref="M417:N417"/>
    <mergeCell ref="M418:N418"/>
    <mergeCell ref="V412:X412"/>
    <mergeCell ref="V413:X413"/>
    <mergeCell ref="V414:X414"/>
    <mergeCell ref="V415:X415"/>
    <mergeCell ref="V416:X416"/>
    <mergeCell ref="V417:X417"/>
    <mergeCell ref="V418:X418"/>
    <mergeCell ref="V354:X354"/>
    <mergeCell ref="M412:N412"/>
    <mergeCell ref="M413:N413"/>
    <mergeCell ref="M414:N414"/>
    <mergeCell ref="M415:N415"/>
    <mergeCell ref="M350:N350"/>
    <mergeCell ref="M351:N351"/>
    <mergeCell ref="M352:N352"/>
    <mergeCell ref="M353:N353"/>
    <mergeCell ref="V350:X350"/>
    <mergeCell ref="V351:X351"/>
    <mergeCell ref="V352:X352"/>
    <mergeCell ref="V353:X353"/>
    <mergeCell ref="V348:X348"/>
    <mergeCell ref="V349:X349"/>
    <mergeCell ref="M333:N333"/>
    <mergeCell ref="M334:N334"/>
    <mergeCell ref="V334:X334"/>
    <mergeCell ref="V335:X335"/>
    <mergeCell ref="M348:N348"/>
    <mergeCell ref="M349:N349"/>
    <mergeCell ref="V333:X333"/>
    <mergeCell ref="M332:N332"/>
    <mergeCell ref="V328:X328"/>
    <mergeCell ref="V329:X329"/>
    <mergeCell ref="V330:X330"/>
    <mergeCell ref="V331:X331"/>
    <mergeCell ref="V332:X332"/>
    <mergeCell ref="M328:N328"/>
    <mergeCell ref="M329:N329"/>
    <mergeCell ref="M330:N330"/>
    <mergeCell ref="M331:N331"/>
    <mergeCell ref="V309:X309"/>
    <mergeCell ref="V310:X310"/>
    <mergeCell ref="V311:X311"/>
    <mergeCell ref="V312:X312"/>
    <mergeCell ref="V304:X304"/>
    <mergeCell ref="V305:X305"/>
    <mergeCell ref="V306:X306"/>
    <mergeCell ref="V307:X307"/>
    <mergeCell ref="V308:X308"/>
    <mergeCell ref="M309:N309"/>
    <mergeCell ref="M310:N310"/>
    <mergeCell ref="M304:N304"/>
    <mergeCell ref="M305:N305"/>
    <mergeCell ref="M306:N306"/>
    <mergeCell ref="M307:N307"/>
    <mergeCell ref="M308:N308"/>
    <mergeCell ref="S257:U257"/>
    <mergeCell ref="S258:U258"/>
    <mergeCell ref="S259:U259"/>
    <mergeCell ref="S260:U260"/>
    <mergeCell ref="S261:U261"/>
    <mergeCell ref="S252:U252"/>
    <mergeCell ref="S253:U253"/>
    <mergeCell ref="S254:U254"/>
    <mergeCell ref="S255:U255"/>
    <mergeCell ref="S256:U256"/>
    <mergeCell ref="J255:K255"/>
    <mergeCell ref="J256:K256"/>
    <mergeCell ref="J257:K257"/>
    <mergeCell ref="J258:K258"/>
    <mergeCell ref="J252:K252"/>
    <mergeCell ref="J253:K253"/>
    <mergeCell ref="J254:K254"/>
    <mergeCell ref="O145:P145"/>
    <mergeCell ref="O123:Q123"/>
    <mergeCell ref="O124:Q124"/>
    <mergeCell ref="O125:Q125"/>
    <mergeCell ref="O126:Q126"/>
    <mergeCell ref="O127:Q127"/>
    <mergeCell ref="O128:Q128"/>
    <mergeCell ref="O129:Q129"/>
    <mergeCell ref="O130:Q130"/>
    <mergeCell ref="O131:Q131"/>
    <mergeCell ref="O132:Q132"/>
    <mergeCell ref="O140:P140"/>
    <mergeCell ref="O141:P141"/>
    <mergeCell ref="O142:P142"/>
    <mergeCell ref="O143:P143"/>
    <mergeCell ref="O144:P144"/>
    <mergeCell ref="O139:P139"/>
    <mergeCell ref="F90:G90"/>
    <mergeCell ref="F91:G91"/>
    <mergeCell ref="F92:G92"/>
    <mergeCell ref="F93:G93"/>
    <mergeCell ref="F85:G85"/>
    <mergeCell ref="F86:G86"/>
    <mergeCell ref="F87:G87"/>
    <mergeCell ref="F88:G88"/>
    <mergeCell ref="F89:G89"/>
    <mergeCell ref="A90:C90"/>
    <mergeCell ref="A91:C91"/>
    <mergeCell ref="A92:C92"/>
    <mergeCell ref="A93:C93"/>
    <mergeCell ref="A85:C85"/>
    <mergeCell ref="A86:C86"/>
    <mergeCell ref="A87:C87"/>
    <mergeCell ref="A88:C88"/>
    <mergeCell ref="A89:C89"/>
    <mergeCell ref="G1:G2"/>
    <mergeCell ref="A83:C83"/>
    <mergeCell ref="A84:C84"/>
    <mergeCell ref="F84:G84"/>
    <mergeCell ref="A1:A2"/>
    <mergeCell ref="B1:B2"/>
    <mergeCell ref="C1:C2"/>
    <mergeCell ref="D1:E1"/>
    <mergeCell ref="F1:F2"/>
    <mergeCell ref="O1:O2"/>
    <mergeCell ref="P1:P2"/>
    <mergeCell ref="H1:H2"/>
    <mergeCell ref="J1:J2"/>
    <mergeCell ref="K1:K2"/>
    <mergeCell ref="L1:L2"/>
    <mergeCell ref="M1:M2"/>
    <mergeCell ref="N1:N2"/>
    <mergeCell ref="M171:N171"/>
    <mergeCell ref="M175:O175"/>
    <mergeCell ref="M176:O176"/>
    <mergeCell ref="M177:O177"/>
    <mergeCell ref="M166:N166"/>
    <mergeCell ref="M167:N167"/>
    <mergeCell ref="M168:N168"/>
    <mergeCell ref="M169:N169"/>
    <mergeCell ref="M170:N170"/>
    <mergeCell ref="M182:O182"/>
    <mergeCell ref="M183:O183"/>
    <mergeCell ref="M178:O178"/>
    <mergeCell ref="M179:O179"/>
    <mergeCell ref="M180:O180"/>
    <mergeCell ref="M181:O18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8" sqref="B18"/>
    </sheetView>
  </sheetViews>
  <sheetFormatPr defaultRowHeight="14.4" x14ac:dyDescent="0.3"/>
  <cols>
    <col min="2" max="2" width="77.5546875" bestFit="1" customWidth="1"/>
  </cols>
  <sheetData>
    <row r="1" spans="1:3" ht="15" thickBot="1" x14ac:dyDescent="0.35">
      <c r="A1" t="s">
        <v>292</v>
      </c>
    </row>
    <row r="2" spans="1:3" ht="15" thickBot="1" x14ac:dyDescent="0.35">
      <c r="A2" s="253" t="s">
        <v>293</v>
      </c>
      <c r="B2" s="254" t="s">
        <v>292</v>
      </c>
      <c r="C2" s="253" t="s">
        <v>294</v>
      </c>
    </row>
    <row r="3" spans="1:3" x14ac:dyDescent="0.3">
      <c r="A3" s="251">
        <v>1</v>
      </c>
      <c r="B3" s="245" t="s">
        <v>295</v>
      </c>
      <c r="C3" s="252" t="s">
        <v>36</v>
      </c>
    </row>
    <row r="4" spans="1:3" x14ac:dyDescent="0.3">
      <c r="A4" s="246">
        <v>2</v>
      </c>
      <c r="B4" s="160" t="s">
        <v>296</v>
      </c>
      <c r="C4" s="247" t="s">
        <v>30</v>
      </c>
    </row>
    <row r="5" spans="1:3" x14ac:dyDescent="0.3">
      <c r="A5" s="246">
        <v>3</v>
      </c>
      <c r="B5" s="160" t="s">
        <v>297</v>
      </c>
      <c r="C5" s="247" t="s">
        <v>30</v>
      </c>
    </row>
    <row r="6" spans="1:3" x14ac:dyDescent="0.3">
      <c r="A6" s="246">
        <v>4</v>
      </c>
      <c r="B6" s="163" t="s">
        <v>298</v>
      </c>
      <c r="C6" s="247" t="s">
        <v>36</v>
      </c>
    </row>
    <row r="7" spans="1:3" x14ac:dyDescent="0.3">
      <c r="A7" s="248">
        <v>5</v>
      </c>
      <c r="B7" s="163" t="s">
        <v>299</v>
      </c>
      <c r="C7" s="249" t="s">
        <v>30</v>
      </c>
    </row>
    <row r="8" spans="1:3" x14ac:dyDescent="0.3">
      <c r="A8" s="248"/>
      <c r="B8" s="132" t="s">
        <v>300</v>
      </c>
      <c r="C8" s="249"/>
    </row>
    <row r="9" spans="1:3" x14ac:dyDescent="0.3">
      <c r="A9" s="250">
        <v>6</v>
      </c>
      <c r="B9" s="163" t="s">
        <v>299</v>
      </c>
      <c r="C9" s="249" t="s">
        <v>30</v>
      </c>
    </row>
    <row r="10" spans="1:3" x14ac:dyDescent="0.3">
      <c r="A10" s="255"/>
      <c r="B10" s="132" t="s">
        <v>301</v>
      </c>
      <c r="C10" s="256"/>
    </row>
    <row r="11" spans="1:3" x14ac:dyDescent="0.3">
      <c r="A11" s="243">
        <v>7</v>
      </c>
      <c r="B11" s="257" t="s">
        <v>299</v>
      </c>
      <c r="C11" s="258" t="s">
        <v>30</v>
      </c>
    </row>
    <row r="12" spans="1:3" x14ac:dyDescent="0.3">
      <c r="A12" s="259"/>
      <c r="B12" s="244" t="s">
        <v>302</v>
      </c>
      <c r="C12" s="260"/>
    </row>
  </sheetData>
  <mergeCells count="6">
    <mergeCell ref="A7:A8"/>
    <mergeCell ref="C7:C8"/>
    <mergeCell ref="C9:C10"/>
    <mergeCell ref="A9:A10"/>
    <mergeCell ref="A11:A12"/>
    <mergeCell ref="C11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Sheet1</vt:lpstr>
      <vt:lpstr>Genetic Algorithm</vt:lpstr>
      <vt:lpstr>P1</vt:lpstr>
      <vt:lpstr>P2</vt:lpstr>
      <vt:lpstr>P3</vt:lpstr>
      <vt:lpstr>Data Latih</vt:lpstr>
      <vt:lpstr>Data Latih 2</vt:lpstr>
      <vt:lpstr>Rules</vt:lpstr>
      <vt:lpstr>Perancangan Antarmuka</vt:lpstr>
      <vt:lpstr>Flowchart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Mochamad Rafli Andriansyah</dc:creator>
  <cp:lastModifiedBy>Mochamad Rafli Andriansyah</cp:lastModifiedBy>
  <dcterms:created xsi:type="dcterms:W3CDTF">2017-04-26T14:16:13Z</dcterms:created>
  <dcterms:modified xsi:type="dcterms:W3CDTF">2018-01-13T10:11:05Z</dcterms:modified>
</cp:coreProperties>
</file>