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\Work\Douglas\9) 2022 Winter\BUSN 2429\Min\Lectures\Week 15\"/>
    </mc:Choice>
  </mc:AlternateContent>
  <xr:revisionPtr revIDLastSave="0" documentId="13_ncr:1_{B0B38EDD-1C53-4BD3-9002-DB6E58BC8749}" xr6:coauthVersionLast="36" xr6:coauthVersionMax="36" xr10:uidLastSave="{00000000-0000-0000-0000-000000000000}"/>
  <bookViews>
    <workbookView xWindow="0" yWindow="0" windowWidth="19200" windowHeight="8390" xr2:uid="{1E3EE976-416D-48BB-935A-2EABE00217DF}"/>
  </bookViews>
  <sheets>
    <sheet name="Ch14 Calc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"BKW9J9SQPVKBZ1NJSH3JWAYZ"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AH34" i="1" s="1"/>
  <c r="E32" i="1"/>
  <c r="G26" i="1" s="1"/>
  <c r="D32" i="1"/>
  <c r="AF34" i="1" s="1"/>
  <c r="Z36" i="1" s="1"/>
  <c r="C32" i="1"/>
  <c r="B32" i="1"/>
  <c r="F29" i="1"/>
  <c r="I29" i="1" s="1"/>
  <c r="I28" i="1"/>
  <c r="G28" i="1"/>
  <c r="S28" i="1" s="1"/>
  <c r="F28" i="1"/>
  <c r="H28" i="1" s="1"/>
  <c r="AE27" i="1"/>
  <c r="G27" i="1"/>
  <c r="R27" i="1" s="1"/>
  <c r="G25" i="1"/>
  <c r="R25" i="1" s="1"/>
  <c r="AE24" i="1"/>
  <c r="Z24" i="1"/>
  <c r="L50" i="1" s="1"/>
  <c r="F24" i="1"/>
  <c r="I24" i="1" s="1"/>
  <c r="F12" i="1"/>
  <c r="C12" i="1"/>
  <c r="B12" i="1"/>
  <c r="AD34" i="1" s="1"/>
  <c r="A12" i="1"/>
  <c r="F14" i="1" s="1"/>
  <c r="H14" i="1" s="1"/>
  <c r="C9" i="1"/>
  <c r="B9" i="1"/>
  <c r="F7" i="1"/>
  <c r="E7" i="1"/>
  <c r="D7" i="1"/>
  <c r="F6" i="1"/>
  <c r="E6" i="1"/>
  <c r="D6" i="1"/>
  <c r="F5" i="1"/>
  <c r="E5" i="1"/>
  <c r="D5" i="1"/>
  <c r="F4" i="1"/>
  <c r="E4" i="1"/>
  <c r="D4" i="1"/>
  <c r="G3" i="1"/>
  <c r="F3" i="1"/>
  <c r="E3" i="1"/>
  <c r="E12" i="1" s="1"/>
  <c r="D3" i="1"/>
  <c r="D12" i="1" s="1"/>
  <c r="AE34" i="1" l="1"/>
  <c r="S26" i="1"/>
  <c r="R26" i="1"/>
  <c r="C14" i="1"/>
  <c r="G24" i="1"/>
  <c r="AF24" i="1"/>
  <c r="G29" i="1"/>
  <c r="H24" i="1"/>
  <c r="F26" i="1"/>
  <c r="H29" i="1"/>
  <c r="A14" i="1"/>
  <c r="AA24" i="1"/>
  <c r="L55" i="1" s="1"/>
  <c r="L56" i="1" s="1"/>
  <c r="B14" i="1"/>
  <c r="AE30" i="1"/>
  <c r="AC34" i="1"/>
  <c r="AA36" i="1" s="1"/>
  <c r="S25" i="1"/>
  <c r="R28" i="1"/>
  <c r="S27" i="1"/>
  <c r="AB39" i="1"/>
  <c r="AC39" i="1" s="1"/>
  <c r="F25" i="1"/>
  <c r="F27" i="1"/>
  <c r="J24" i="1" l="1"/>
  <c r="H27" i="1"/>
  <c r="I27" i="1"/>
  <c r="D14" i="1"/>
  <c r="E14" i="1" s="1"/>
  <c r="G14" i="1" s="1"/>
  <c r="I14" i="1" s="1"/>
  <c r="R29" i="1"/>
  <c r="S29" i="1"/>
  <c r="AB36" i="1"/>
  <c r="AI34" i="1"/>
  <c r="AJ34" i="1" s="1"/>
  <c r="I26" i="1"/>
  <c r="H26" i="1"/>
  <c r="H25" i="1"/>
  <c r="H32" i="1" s="1"/>
  <c r="J32" i="1" s="1"/>
  <c r="I25" i="1"/>
  <c r="I32" i="1" s="1"/>
  <c r="AD39" i="1" s="1"/>
  <c r="AD43" i="1" s="1"/>
  <c r="AA30" i="1"/>
  <c r="S24" i="1"/>
  <c r="R24" i="1"/>
  <c r="M26" i="1" l="1"/>
  <c r="M28" i="1"/>
  <c r="M29" i="1"/>
  <c r="M24" i="1"/>
  <c r="L60" i="1"/>
  <c r="M27" i="1"/>
  <c r="M25" i="1"/>
  <c r="K32" i="1"/>
  <c r="L32" i="1" s="1"/>
  <c r="L35" i="1"/>
  <c r="L24" i="1"/>
  <c r="J35" i="1" s="1"/>
  <c r="S32" i="1"/>
  <c r="M56" i="1" s="1"/>
  <c r="N29" i="1" l="1"/>
  <c r="AA39" i="1"/>
  <c r="N24" i="1"/>
  <c r="N37" i="1"/>
  <c r="AA34" i="1" s="1"/>
  <c r="N27" i="1"/>
  <c r="N25" i="1"/>
  <c r="N26" i="1"/>
  <c r="L59" i="1"/>
  <c r="N28" i="1"/>
  <c r="P27" i="1" l="1"/>
  <c r="Q27" i="1" s="1"/>
  <c r="T27" i="1"/>
  <c r="U27" i="1" s="1"/>
  <c r="T24" i="1"/>
  <c r="U24" i="1" s="1"/>
  <c r="P24" i="1"/>
  <c r="Q24" i="1" s="1"/>
  <c r="T26" i="1"/>
  <c r="U26" i="1" s="1"/>
  <c r="P26" i="1"/>
  <c r="Q26" i="1" s="1"/>
  <c r="P25" i="1"/>
  <c r="Q25" i="1" s="1"/>
  <c r="T25" i="1"/>
  <c r="U25" i="1" s="1"/>
  <c r="T28" i="1"/>
  <c r="U28" i="1" s="1"/>
  <c r="P28" i="1"/>
  <c r="Q28" i="1" s="1"/>
  <c r="P29" i="1"/>
  <c r="Q29" i="1" s="1"/>
  <c r="T29" i="1"/>
  <c r="U29" i="1" s="1"/>
  <c r="Q32" i="1" l="1"/>
  <c r="U32" i="1"/>
  <c r="M55" i="1" l="1"/>
  <c r="AG24" i="1"/>
  <c r="V32" i="1"/>
  <c r="AJ24" i="1"/>
  <c r="W32" i="1"/>
  <c r="M54" i="1"/>
  <c r="L47" i="1" l="1"/>
  <c r="X32" i="1"/>
  <c r="L46" i="1" s="1"/>
  <c r="Z30" i="1"/>
  <c r="N54" i="1"/>
  <c r="AE43" i="1"/>
  <c r="AH24" i="1"/>
  <c r="AE39" i="1"/>
  <c r="N55" i="1"/>
  <c r="AB30" i="1" l="1"/>
  <c r="P54" i="1"/>
  <c r="AC30" i="1"/>
  <c r="AF30" i="1" s="1"/>
  <c r="AI24" i="1"/>
  <c r="L49" i="1"/>
  <c r="AF43" i="1"/>
  <c r="AB34" i="1"/>
  <c r="AC36" i="1" s="1"/>
  <c r="AF39" i="1"/>
  <c r="AE36" i="1" l="1"/>
  <c r="AD36" i="1"/>
  <c r="M60" i="1"/>
  <c r="Z27" i="1"/>
  <c r="N60" i="1" l="1"/>
  <c r="AC27" i="1"/>
  <c r="AD27" i="1" s="1"/>
  <c r="AA27" i="1"/>
  <c r="AB27" i="1" l="1"/>
  <c r="AG39" i="1"/>
  <c r="AH39" i="1" s="1"/>
  <c r="AG43" i="1"/>
  <c r="AH43" i="1" s="1"/>
  <c r="AG27" i="1"/>
  <c r="P60" i="1"/>
  <c r="Q54" i="1"/>
  <c r="AF27" i="1"/>
  <c r="AH27" i="1" l="1"/>
  <c r="AI27" i="1"/>
  <c r="AJ43" i="1"/>
  <c r="AI43" i="1"/>
  <c r="AJ39" i="1"/>
  <c r="AI39" i="1"/>
</calcChain>
</file>

<file path=xl/sharedStrings.xml><?xml version="1.0" encoding="utf-8"?>
<sst xmlns="http://schemas.openxmlformats.org/spreadsheetml/2006/main" count="224" uniqueCount="170">
  <si>
    <t>&lt;Correlation Analysis&gt;</t>
  </si>
  <si>
    <t>Week</t>
  </si>
  <si>
    <t>Number of TV Ads x</t>
  </si>
  <si>
    <t>Number of Cars Sold y</t>
  </si>
  <si>
    <t>xy</t>
  </si>
  <si>
    <r>
      <t>x</t>
    </r>
    <r>
      <rPr>
        <vertAlign val="superscript"/>
        <sz val="10"/>
        <color theme="1"/>
        <rFont val="Calibri"/>
        <family val="2"/>
        <scheme val="minor"/>
      </rPr>
      <t>2</t>
    </r>
  </si>
  <si>
    <r>
      <t>y</t>
    </r>
    <r>
      <rPr>
        <vertAlign val="superscript"/>
        <sz val="10"/>
        <color theme="1"/>
        <rFont val="Calibri"/>
        <family val="2"/>
        <scheme val="minor"/>
      </rPr>
      <t>2</t>
    </r>
  </si>
  <si>
    <t>r = CORREL(array1, array2)</t>
  </si>
  <si>
    <t>Sum</t>
  </si>
  <si>
    <t>Six-Number Summary for Correlation and Cimple Regression (SNSCSR)</t>
  </si>
  <si>
    <t>n</t>
  </si>
  <si>
    <t>Σx</t>
  </si>
  <si>
    <t>Σy</t>
  </si>
  <si>
    <t>Σxy</t>
  </si>
  <si>
    <r>
      <t>Σx</t>
    </r>
    <r>
      <rPr>
        <vertAlign val="superscript"/>
        <sz val="10"/>
        <color theme="1"/>
        <rFont val="Calibri"/>
        <family val="2"/>
      </rPr>
      <t>2</t>
    </r>
  </si>
  <si>
    <r>
      <t>Σy</t>
    </r>
    <r>
      <rPr>
        <vertAlign val="superscript"/>
        <sz val="10"/>
        <color theme="1"/>
        <rFont val="Calibri"/>
        <family val="2"/>
      </rPr>
      <t>2</t>
    </r>
  </si>
  <si>
    <r>
      <t xml:space="preserve">Level of Significance 
= 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(given)</t>
    </r>
  </si>
  <si>
    <t>nΣxy - (Σx)(Σy)</t>
  </si>
  <si>
    <r>
      <t>nΣx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- (Σx)</t>
    </r>
    <r>
      <rPr>
        <vertAlign val="superscript"/>
        <sz val="10"/>
        <color theme="1"/>
        <rFont val="Calibri"/>
        <family val="2"/>
      </rPr>
      <t>2</t>
    </r>
  </si>
  <si>
    <r>
      <t>nΣy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- (Σy)</t>
    </r>
    <r>
      <rPr>
        <vertAlign val="superscript"/>
        <sz val="10"/>
        <color theme="1"/>
        <rFont val="Calibri"/>
        <family val="2"/>
      </rPr>
      <t>2</t>
    </r>
  </si>
  <si>
    <r>
      <t>√[nΣx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- (Σx)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][nΣy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- (Σy)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]</t>
    </r>
  </si>
  <si>
    <t>Correlation Coefficient = r</t>
  </si>
  <si>
    <t>n-2 = degrees of freedom</t>
  </si>
  <si>
    <r>
      <t xml:space="preserve">t as </t>
    </r>
    <r>
      <rPr>
        <u/>
        <sz val="10"/>
        <color theme="1"/>
        <rFont val="Calibri"/>
        <family val="2"/>
        <scheme val="minor"/>
      </rPr>
      <t>test statistic</t>
    </r>
    <r>
      <rPr>
        <sz val="10"/>
        <color theme="1"/>
        <rFont val="Calibri"/>
        <family val="2"/>
        <scheme val="minor"/>
      </rPr>
      <t xml:space="preserve"> for r:
t = r / √(1-r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)/(n-2)</t>
    </r>
  </si>
  <si>
    <r>
      <t>t</t>
    </r>
    <r>
      <rPr>
        <vertAlign val="subscript"/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= T.INV
(1-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,degrees of freedom)</t>
    </r>
  </si>
  <si>
    <r>
      <t>Upper tail: 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
if t &gt; t</t>
    </r>
    <r>
      <rPr>
        <vertAlign val="subscript"/>
        <sz val="10"/>
        <color theme="1"/>
        <rFont val="Symbol"/>
        <family val="1"/>
        <charset val="2"/>
      </rPr>
      <t>a</t>
    </r>
  </si>
  <si>
    <t>&lt;Estimated simple linear regression equation&gt;</t>
  </si>
  <si>
    <t>&lt;Coefficient of Determination&gt;</t>
  </si>
  <si>
    <t>&lt;Testing for Significance&gt;</t>
  </si>
  <si>
    <t>x̄</t>
  </si>
  <si>
    <t>ȳ</t>
  </si>
  <si>
    <r>
      <t>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x̄</t>
    </r>
  </si>
  <si>
    <r>
      <t>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</t>
    </r>
  </si>
  <si>
    <r>
      <t>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x̄)(y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</t>
    </r>
  </si>
  <si>
    <r>
      <t>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x̄)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/>
    </r>
  </si>
  <si>
    <r>
      <t xml:space="preserve">Slope for estimated regression equation:
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</si>
  <si>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b</t>
    </r>
    <r>
      <rPr>
        <vertAlign val="subscript"/>
        <sz val="10"/>
        <color theme="1"/>
        <rFont val="Calibri"/>
        <family val="2"/>
      </rPr>
      <t>1</t>
    </r>
    <r>
      <rPr>
        <sz val="10"/>
        <color theme="1"/>
        <rFont val="Calibri"/>
        <family val="2"/>
      </rPr>
      <t>x̄</t>
    </r>
  </si>
  <si>
    <r>
      <t xml:space="preserve">y-intercept for estimated regression equation:
</t>
    </r>
    <r>
      <rPr>
        <b/>
        <sz val="10"/>
        <color theme="1"/>
        <rFont val="Calibri"/>
        <family val="2"/>
      </rPr>
      <t>b</t>
    </r>
    <r>
      <rPr>
        <b/>
        <vertAlign val="subscript"/>
        <sz val="10"/>
        <color theme="1"/>
        <rFont val="Calibri"/>
        <family val="2"/>
      </rPr>
      <t>0</t>
    </r>
  </si>
  <si>
    <r>
      <t>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</t>
    </r>
    <r>
      <rPr>
        <vertAlign val="subscript"/>
        <sz val="10"/>
        <color theme="1"/>
        <rFont val="Calibri"/>
        <family val="2"/>
        <scheme val="minor"/>
      </rPr>
      <t>i</t>
    </r>
  </si>
  <si>
    <r>
      <t xml:space="preserve">Estimated regression equation:
</t>
    </r>
    <r>
      <rPr>
        <b/>
        <sz val="10"/>
        <color theme="1"/>
        <rFont val="Calibri"/>
        <family val="2"/>
        <scheme val="minor"/>
      </rPr>
      <t>ŷ</t>
    </r>
    <r>
      <rPr>
        <b/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 xml:space="preserve"> =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+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, where
ŷ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 xml:space="preserve"> = predicted value of dependent variable for ith observation</t>
    </r>
  </si>
  <si>
    <r>
      <rPr>
        <b/>
        <sz val="10"/>
        <color theme="1"/>
        <rFont val="Calibri"/>
        <family val="2"/>
      </rPr>
      <t>Residuals:</t>
    </r>
    <r>
      <rPr>
        <sz val="10"/>
        <color theme="1"/>
        <rFont val="Calibri"/>
        <family val="2"/>
      </rPr>
      <t xml:space="preserve">
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ŷ</t>
    </r>
    <r>
      <rPr>
        <vertAlign val="subscript"/>
        <sz val="10"/>
        <color theme="1"/>
        <rFont val="Calibri"/>
        <family val="2"/>
      </rPr>
      <t>i</t>
    </r>
  </si>
  <si>
    <r>
      <t xml:space="preserve">Squared Error 
= </t>
    </r>
    <r>
      <rPr>
        <sz val="10"/>
        <color theme="1"/>
        <rFont val="Calibri"/>
        <family val="2"/>
      </rPr>
      <t>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ŷ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)</t>
    </r>
    <r>
      <rPr>
        <vertAlign val="superscript"/>
        <sz val="10"/>
        <color theme="1"/>
        <rFont val="Calibri"/>
        <family val="2"/>
      </rPr>
      <t>2</t>
    </r>
  </si>
  <si>
    <r>
      <t xml:space="preserve">
Squared Deviation
= 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/>
    </r>
  </si>
  <si>
    <r>
      <t>(ŷ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</t>
    </r>
  </si>
  <si>
    <r>
      <t xml:space="preserve">Squares due to regression 
= </t>
    </r>
    <r>
      <rPr>
        <sz val="10"/>
        <color theme="1"/>
        <rFont val="Calibri"/>
        <family val="2"/>
      </rPr>
      <t>(ŷ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</t>
    </r>
    <r>
      <rPr>
        <vertAlign val="superscript"/>
        <sz val="10"/>
        <color theme="1"/>
        <rFont val="Calibri"/>
        <family val="2"/>
      </rPr>
      <t>2</t>
    </r>
  </si>
  <si>
    <t>SST = 
SSR + SSE</t>
  </si>
  <si>
    <r>
      <t>Coefficient of determination:
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SSR/SST</t>
    </r>
  </si>
  <si>
    <r>
      <t>Sample correlation coefficient:
r</t>
    </r>
    <r>
      <rPr>
        <vertAlign val="subscript"/>
        <sz val="10"/>
        <color theme="1"/>
        <rFont val="Calibri"/>
        <family val="2"/>
        <scheme val="minor"/>
      </rPr>
      <t>xy</t>
    </r>
    <r>
      <rPr>
        <sz val="10"/>
        <color theme="1"/>
        <rFont val="Calibri"/>
        <family val="2"/>
        <scheme val="minor"/>
      </rPr>
      <t xml:space="preserve"> = 
(sign of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</rPr>
      <t>√r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/>
    </r>
  </si>
  <si>
    <r>
      <rPr>
        <b/>
        <sz val="10"/>
        <color theme="1"/>
        <rFont val="Calibri"/>
        <family val="2"/>
        <scheme val="minor"/>
      </rPr>
      <t>n-2</t>
    </r>
    <r>
      <rPr>
        <sz val="10"/>
        <color theme="1"/>
        <rFont val="Calibri"/>
        <family val="2"/>
        <scheme val="minor"/>
      </rPr>
      <t xml:space="preserve"> = degrees of freedom</t>
    </r>
  </si>
  <si>
    <r>
      <t xml:space="preserve">Upper-tailed: 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&lt;= 0
(</t>
    </r>
    <r>
      <rPr>
        <sz val="10"/>
        <color theme="1"/>
        <rFont val="Calibri"/>
        <family val="2"/>
        <scheme val="minor"/>
      </rPr>
      <t>True means relationship is significant)</t>
    </r>
  </si>
  <si>
    <r>
      <t xml:space="preserve">Upper-tailed:
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</t>
    </r>
  </si>
  <si>
    <t>Confidence Coefficient (given)</t>
  </si>
  <si>
    <r>
      <t>a</t>
    </r>
    <r>
      <rPr>
        <sz val="10"/>
        <rFont val="Calibri"/>
        <family val="2"/>
        <scheme val="minor"/>
      </rPr>
      <t xml:space="preserve"> / 2</t>
    </r>
  </si>
  <si>
    <r>
      <t xml:space="preserve">Estimate of </t>
    </r>
    <r>
      <rPr>
        <sz val="10"/>
        <color theme="1"/>
        <rFont val="Symbol"/>
        <family val="1"/>
        <charset val="2"/>
      </rPr>
      <t>s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s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</t>
    </r>
    <r>
      <rPr>
        <b/>
        <sz val="10"/>
        <color theme="1"/>
        <rFont val="Calibri"/>
        <family val="2"/>
        <scheme val="minor"/>
      </rPr>
      <t>MSE</t>
    </r>
    <r>
      <rPr>
        <sz val="10"/>
        <color theme="1"/>
        <rFont val="Calibri"/>
        <family val="2"/>
        <scheme val="minor"/>
      </rPr>
      <t xml:space="preserve"> = SSE / (n-2), where
</t>
    </r>
    <r>
      <rPr>
        <sz val="11"/>
        <color theme="1"/>
        <rFont val="Calibri"/>
        <family val="2"/>
        <scheme val="minor"/>
      </rPr>
      <t>SSE = Σ(y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ŷ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Σ(y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-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
n-2 = degrees of freedom</t>
    </r>
  </si>
  <si>
    <r>
      <t xml:space="preserve">Estimate of </t>
    </r>
    <r>
      <rPr>
        <sz val="10"/>
        <color theme="1"/>
        <rFont val="Symbol"/>
        <family val="1"/>
        <charset val="2"/>
      </rPr>
      <t>s</t>
    </r>
    <r>
      <rPr>
        <sz val="10"/>
        <color theme="1"/>
        <rFont val="Calibri"/>
        <family val="2"/>
        <scheme val="minor"/>
      </rPr>
      <t xml:space="preserve"> = Standard error of the estimate = 
</t>
    </r>
    <r>
      <rPr>
        <b/>
        <sz val="10"/>
        <color theme="1"/>
        <rFont val="Calibri"/>
        <family val="2"/>
        <scheme val="minor"/>
      </rPr>
      <t>s</t>
    </r>
    <r>
      <rPr>
        <b/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= </t>
    </r>
    <r>
      <rPr>
        <sz val="10"/>
        <color theme="1"/>
        <rFont val="Calibri"/>
        <family val="2"/>
      </rPr>
      <t>√MSE</t>
    </r>
  </si>
  <si>
    <r>
      <t>(from data) Estimated standard deviation of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= 
s / (</t>
    </r>
    <r>
      <rPr>
        <sz val="11"/>
        <color theme="1"/>
        <rFont val="Calibri"/>
        <family val="2"/>
      </rPr>
      <t>√(Σ(x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-x̄)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))</t>
    </r>
  </si>
  <si>
    <t>MSR=SSR</t>
  </si>
  <si>
    <t>&lt;t test&gt;</t>
  </si>
  <si>
    <t>&lt;p-value approach&gt;</t>
  </si>
  <si>
    <r>
      <t>&lt;Confidence Interval for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&gt;</t>
    </r>
  </si>
  <si>
    <r>
      <t xml:space="preserve">t as Test statistic
</t>
    </r>
    <r>
      <rPr>
        <sz val="11"/>
        <color theme="1"/>
        <rFont val="Calibri"/>
        <family val="2"/>
        <scheme val="minor"/>
      </rPr>
      <t>t =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b1</t>
    </r>
    <r>
      <rPr>
        <sz val="10"/>
        <color theme="1"/>
        <rFont val="Calibri"/>
        <family val="2"/>
        <scheme val="minor"/>
      </rPr>
      <t/>
    </r>
  </si>
  <si>
    <r>
      <t>-t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 xml:space="preserve"> = 
T.INV (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/2, degrees of freedom) or
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 xml:space="preserve"> = 
T.INV (1-(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/2), degrees of freedom)</t>
    </r>
  </si>
  <si>
    <r>
      <t>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
if t &lt;= -t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 xml:space="preserve"> or 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
if t &gt;= 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</si>
  <si>
    <t>p-value in lower or upper tail
TDIST</t>
  </si>
  <si>
    <t>Combined p-value:
Doubling p-value</t>
  </si>
  <si>
    <r>
      <t>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
if p-value &lt;= </t>
    </r>
    <r>
      <rPr>
        <sz val="10"/>
        <color theme="1"/>
        <rFont val="Symbol"/>
        <family val="1"/>
        <charset val="2"/>
      </rPr>
      <t>a</t>
    </r>
  </si>
  <si>
    <r>
      <t>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b1</t>
    </r>
    <r>
      <rPr>
        <sz val="10"/>
        <color theme="1"/>
        <rFont val="Calibri"/>
        <family val="2"/>
        <scheme val="minor"/>
      </rPr>
      <t xml:space="preserve"> = margin of error</t>
    </r>
  </si>
  <si>
    <r>
      <t>b</t>
    </r>
    <r>
      <rPr>
        <vertAlign val="subscript"/>
        <sz val="10"/>
        <color theme="1"/>
        <rFont val="Calibri"/>
        <family val="2"/>
        <scheme val="minor"/>
      </rPr>
      <t>1lower</t>
    </r>
  </si>
  <si>
    <r>
      <t>b</t>
    </r>
    <r>
      <rPr>
        <vertAlign val="subscript"/>
        <sz val="10"/>
        <color theme="1"/>
        <rFont val="Calibri"/>
        <family val="2"/>
        <scheme val="minor"/>
      </rPr>
      <t>1upper</t>
    </r>
  </si>
  <si>
    <r>
      <t xml:space="preserve">Two-tailed: 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</si>
  <si>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
If confidence interval doesn't contain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=0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or 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
If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=0 happens to be equal to one of end points of confidence interval</t>
    </r>
  </si>
  <si>
    <t>&lt;F test&gt;</t>
  </si>
  <si>
    <t>F = MSR/MSE</t>
  </si>
  <si>
    <r>
      <t>F</t>
    </r>
    <r>
      <rPr>
        <vertAlign val="subscript"/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= 
F.INV.RT (1-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, Regression degrees of freedom = 1 variable, degrees of freedom = n-2)</t>
    </r>
  </si>
  <si>
    <r>
      <t>Reject H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if 
F &gt;= F</t>
    </r>
    <r>
      <rPr>
        <vertAlign val="subscript"/>
        <sz val="10"/>
        <color theme="1"/>
        <rFont val="Symbol"/>
        <family val="1"/>
        <charset val="2"/>
      </rPr>
      <t>a</t>
    </r>
  </si>
  <si>
    <t>p-value
FDIST(F, Regression degrees of freedom = 1 variable, degrees of freedom = n-2)</t>
  </si>
  <si>
    <t>&lt;Confidence interval estimate of E(y*)&gt;</t>
  </si>
  <si>
    <t>Totals</t>
  </si>
  <si>
    <r>
      <t>Σx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(from data)</t>
    </r>
  </si>
  <si>
    <r>
      <t>Σy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(from data)</t>
    </r>
  </si>
  <si>
    <t xml:space="preserve"> (from data)</t>
  </si>
  <si>
    <r>
      <t>Σ(x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x̄)(y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 (from data)</t>
    </r>
  </si>
  <si>
    <r>
      <t>Σ(x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x̄)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(from data)</t>
    </r>
  </si>
  <si>
    <r>
      <t xml:space="preserve">Sum of Squares due to Error (Error in using ŷ to predict y)
</t>
    </r>
    <r>
      <rPr>
        <b/>
        <sz val="10"/>
        <color theme="1"/>
        <rFont val="Calibri"/>
        <family val="2"/>
        <scheme val="minor"/>
      </rPr>
      <t>SSE</t>
    </r>
    <r>
      <rPr>
        <sz val="10"/>
        <color theme="1"/>
        <rFont val="Calibri"/>
        <family val="2"/>
        <scheme val="minor"/>
      </rPr>
      <t xml:space="preserve"> = </t>
    </r>
    <r>
      <rPr>
        <sz val="10"/>
        <color theme="1"/>
        <rFont val="Calibri"/>
        <family val="2"/>
      </rPr>
      <t>Σ(y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ŷ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)</t>
    </r>
    <r>
      <rPr>
        <vertAlign val="superscript"/>
        <sz val="10"/>
        <color theme="1"/>
        <rFont val="Calibri"/>
        <family val="2"/>
      </rPr>
      <t>2</t>
    </r>
  </si>
  <si>
    <r>
      <t xml:space="preserve">Sum of Squares Total (Error in using ȳ to predict y):
</t>
    </r>
    <r>
      <rPr>
        <b/>
        <sz val="10"/>
        <color theme="1"/>
        <rFont val="Calibri"/>
        <family val="2"/>
        <scheme val="minor"/>
      </rPr>
      <t>SST</t>
    </r>
    <r>
      <rPr>
        <sz val="10"/>
        <color theme="1"/>
        <rFont val="Calibri"/>
        <family val="2"/>
        <scheme val="minor"/>
      </rPr>
      <t xml:space="preserve"> = </t>
    </r>
    <r>
      <rPr>
        <sz val="10"/>
        <color theme="1"/>
        <rFont val="Calibri"/>
        <family val="2"/>
      </rPr>
      <t>Σ(y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ȳ)</t>
    </r>
    <r>
      <rPr>
        <vertAlign val="superscript"/>
        <sz val="10"/>
        <color theme="1"/>
        <rFont val="Calibri"/>
        <family val="2"/>
      </rPr>
      <t>2</t>
    </r>
  </si>
  <si>
    <r>
      <t xml:space="preserve">Sum of Squares due to Regression (How much ŷ deviate from ȳ): 
</t>
    </r>
    <r>
      <rPr>
        <b/>
        <sz val="10"/>
        <color theme="1"/>
        <rFont val="Calibri"/>
        <family val="2"/>
        <scheme val="minor"/>
      </rPr>
      <t>SSR</t>
    </r>
    <r>
      <rPr>
        <sz val="10"/>
        <color theme="1"/>
        <rFont val="Calibri"/>
        <family val="2"/>
        <scheme val="minor"/>
      </rPr>
      <t xml:space="preserve"> = Σ(ŷi - ȳ)2</t>
    </r>
  </si>
  <si>
    <r>
      <t xml:space="preserve">Coefficient of determination:
</t>
    </r>
    <r>
      <rPr>
        <b/>
        <sz val="10"/>
        <color theme="1"/>
        <rFont val="Calibri"/>
        <family val="2"/>
        <scheme val="minor"/>
      </rPr>
      <t>r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SSR/SST</t>
    </r>
  </si>
  <si>
    <r>
      <t xml:space="preserve">Sample correlation coefficient:
</t>
    </r>
    <r>
      <rPr>
        <b/>
        <sz val="10"/>
        <color theme="1"/>
        <rFont val="Calibri"/>
        <family val="2"/>
        <scheme val="minor"/>
      </rPr>
      <t>r</t>
    </r>
    <r>
      <rPr>
        <b/>
        <vertAlign val="subscript"/>
        <sz val="10"/>
        <color theme="1"/>
        <rFont val="Calibri"/>
        <family val="2"/>
        <scheme val="minor"/>
      </rPr>
      <t>xy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 
(sign of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</rPr>
      <t>√r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/>
    </r>
  </si>
  <si>
    <t>x</t>
  </si>
  <si>
    <r>
      <t xml:space="preserve">Estimated regression equation:
</t>
    </r>
    <r>
      <rPr>
        <b/>
        <sz val="10"/>
        <color theme="1"/>
        <rFont val="Calibri"/>
        <family val="2"/>
        <scheme val="minor"/>
      </rPr>
      <t>ŷ</t>
    </r>
    <r>
      <rPr>
        <b/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 xml:space="preserve"> =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+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/>
    </r>
  </si>
  <si>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 xml:space="preserve"> / 2</t>
    </r>
  </si>
  <si>
    <r>
      <t>t</t>
    </r>
    <r>
      <rPr>
        <vertAlign val="subscript"/>
        <sz val="10"/>
        <color theme="1"/>
        <rFont val="Symbol"/>
        <family val="1"/>
        <charset val="2"/>
      </rPr>
      <t>a/2</t>
    </r>
    <r>
      <rPr>
        <sz val="10"/>
        <color theme="1"/>
        <rFont val="Calibri"/>
        <family val="2"/>
        <scheme val="minor"/>
      </rPr>
      <t xml:space="preserve"> = T.INV
(1-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/2,degrees of freedom)</t>
    </r>
  </si>
  <si>
    <t>Estimated simple linear regression equation:</t>
  </si>
  <si>
    <r>
      <t>ŷ = b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+ b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</t>
    </r>
  </si>
  <si>
    <t>ŷ</t>
  </si>
  <si>
    <t>=</t>
  </si>
  <si>
    <t>+</t>
  </si>
  <si>
    <t>(𝑥−𝑥 ̄)^2</t>
  </si>
  <si>
    <t>LCL</t>
  </si>
  <si>
    <t>UCL</t>
  </si>
  <si>
    <t>x*</t>
  </si>
  <si>
    <r>
      <t xml:space="preserve">Estimated regression equation:
</t>
    </r>
    <r>
      <rPr>
        <b/>
        <sz val="10"/>
        <color theme="1"/>
        <rFont val="Calibri"/>
        <family val="2"/>
        <scheme val="minor"/>
      </rPr>
      <t>ŷ*</t>
    </r>
    <r>
      <rPr>
        <sz val="10"/>
        <color theme="1"/>
        <rFont val="Calibri"/>
        <family val="2"/>
        <scheme val="minor"/>
      </rPr>
      <t xml:space="preserve"> =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+ </t>
    </r>
    <r>
      <rPr>
        <b/>
        <sz val="10"/>
        <color theme="1"/>
        <rFont val="Calibri"/>
        <family val="2"/>
        <scheme val="minor"/>
      </rPr>
      <t>b</t>
    </r>
    <r>
      <rPr>
        <b/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x*</t>
    </r>
  </si>
  <si>
    <r>
      <t>(x*-x̄)</t>
    </r>
    <r>
      <rPr>
        <vertAlign val="superscript"/>
        <sz val="10"/>
        <color theme="1"/>
        <rFont val="Calibri"/>
        <family val="2"/>
        <scheme val="minor"/>
      </rPr>
      <t>2</t>
    </r>
  </si>
  <si>
    <r>
      <t>[(1/n)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</t>
    </r>
    <r>
      <rPr>
        <sz val="10"/>
        <color theme="1"/>
        <rFont val="Calibri"/>
        <family val="2"/>
      </rPr>
      <t>Σ(x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-x̄)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]</t>
    </r>
  </si>
  <si>
    <r>
      <t>Estimate of Variance of ŷ*:
s</t>
    </r>
    <r>
      <rPr>
        <vertAlign val="superscript"/>
        <sz val="10"/>
        <color theme="1"/>
        <rFont val="Calibri"/>
        <family val="2"/>
        <scheme val="minor"/>
      </rPr>
      <t>2</t>
    </r>
    <r>
      <rPr>
        <vertAlign val="subscript"/>
        <sz val="10"/>
        <color theme="1"/>
        <rFont val="Calibri"/>
        <family val="2"/>
        <scheme val="minor"/>
      </rPr>
      <t>ŷ*</t>
    </r>
    <r>
      <rPr>
        <sz val="10"/>
        <color theme="1"/>
        <rFont val="Calibri"/>
        <family val="2"/>
        <scheme val="minor"/>
      </rPr>
      <t xml:space="preserve"> = s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[(1/n)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</t>
    </r>
    <r>
      <rPr>
        <sz val="10"/>
        <color theme="1"/>
        <rFont val="Calibri"/>
        <family val="2"/>
      </rPr>
      <t>Σ(x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-x̄)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]</t>
    </r>
  </si>
  <si>
    <r>
      <t>Estimate of standard deviation of ŷ*:
s</t>
    </r>
    <r>
      <rPr>
        <vertAlign val="subscript"/>
        <sz val="10"/>
        <color theme="1"/>
        <rFont val="Calibri"/>
        <family val="2"/>
        <scheme val="minor"/>
      </rPr>
      <t>ŷ*</t>
    </r>
    <r>
      <rPr>
        <sz val="10"/>
        <color theme="1"/>
        <rFont val="Calibri"/>
        <family val="2"/>
        <scheme val="minor"/>
      </rPr>
      <t xml:space="preserve"> = s</t>
    </r>
    <r>
      <rPr>
        <sz val="10"/>
        <color theme="1"/>
        <rFont val="Calibri"/>
        <family val="2"/>
      </rPr>
      <t>√</t>
    </r>
    <r>
      <rPr>
        <sz val="10"/>
        <color theme="1"/>
        <rFont val="Calibri"/>
        <family val="2"/>
        <scheme val="minor"/>
      </rPr>
      <t>[(1/n)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</t>
    </r>
    <r>
      <rPr>
        <sz val="10"/>
        <color theme="1"/>
        <rFont val="Calibri"/>
        <family val="2"/>
      </rPr>
      <t>Σ(x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-x̄)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]</t>
    </r>
  </si>
  <si>
    <r>
      <t>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ŷ*</t>
    </r>
    <r>
      <rPr>
        <sz val="10"/>
        <color theme="1"/>
        <rFont val="Calibri"/>
        <family val="2"/>
        <scheme val="minor"/>
      </rPr>
      <t xml:space="preserve"> = margin of error</t>
    </r>
  </si>
  <si>
    <r>
      <t xml:space="preserve"> ŷ</t>
    </r>
    <r>
      <rPr>
        <vertAlign val="subscript"/>
        <sz val="10"/>
        <color theme="1"/>
        <rFont val="Calibri"/>
        <family val="2"/>
        <scheme val="minor"/>
      </rPr>
      <t>lower</t>
    </r>
  </si>
  <si>
    <r>
      <t xml:space="preserve"> ŷ</t>
    </r>
    <r>
      <rPr>
        <vertAlign val="subscript"/>
        <sz val="10"/>
        <color theme="1"/>
        <rFont val="Calibri"/>
        <family val="2"/>
        <scheme val="minor"/>
      </rPr>
      <t>upper</t>
    </r>
  </si>
  <si>
    <t>&lt;Prediction interval estimate of y*&gt;</t>
  </si>
  <si>
    <r>
      <t>1 + 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/Σ(x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]</t>
    </r>
  </si>
  <si>
    <r>
      <t>Estimate of Variance of ŷ* as a predictor of y when x = x*:
s</t>
    </r>
    <r>
      <rPr>
        <vertAlign val="superscript"/>
        <sz val="10"/>
        <color theme="1"/>
        <rFont val="Calibri"/>
        <family val="2"/>
        <scheme val="minor"/>
      </rPr>
      <t>2</t>
    </r>
    <r>
      <rPr>
        <vertAlign val="subscript"/>
        <sz val="10"/>
        <color theme="1"/>
        <rFont val="Calibri"/>
        <family val="2"/>
        <scheme val="minor"/>
      </rPr>
      <t>pred</t>
    </r>
    <r>
      <rPr>
        <sz val="10"/>
        <color theme="1"/>
        <rFont val="Calibri"/>
        <family val="2"/>
        <scheme val="minor"/>
      </rPr>
      <t xml:space="preserve"> = s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[1 + 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/Σ(x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]</t>
    </r>
  </si>
  <si>
    <r>
      <t>Estimate of standard deviation of ŷ* as a predictor of y when x = x*:
s</t>
    </r>
    <r>
      <rPr>
        <vertAlign val="subscript"/>
        <sz val="10"/>
        <color theme="1"/>
        <rFont val="Calibri"/>
        <family val="2"/>
        <scheme val="minor"/>
      </rPr>
      <t>pred</t>
    </r>
    <r>
      <rPr>
        <sz val="10"/>
        <color theme="1"/>
        <rFont val="Calibri"/>
        <family val="2"/>
        <scheme val="minor"/>
      </rPr>
      <t xml:space="preserve"> = s</t>
    </r>
    <r>
      <rPr>
        <sz val="10"/>
        <color theme="1"/>
        <rFont val="Calibri"/>
        <family val="2"/>
      </rPr>
      <t>√</t>
    </r>
    <r>
      <rPr>
        <sz val="10"/>
        <color theme="1"/>
        <rFont val="Calibri"/>
        <family val="2"/>
        <scheme val="minor"/>
      </rPr>
      <t>[1 + (1/n) + (x*-x̄)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/Σ(x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-x̄)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]</t>
    </r>
  </si>
  <si>
    <r>
      <t>t</t>
    </r>
    <r>
      <rPr>
        <vertAlign val="subscript"/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Calibri"/>
        <family val="2"/>
        <scheme val="minor"/>
      </rPr>
      <t>/2</t>
    </r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pred</t>
    </r>
    <r>
      <rPr>
        <sz val="10"/>
        <color theme="1"/>
        <rFont val="Calibri"/>
        <family val="2"/>
        <scheme val="minor"/>
      </rPr>
      <t xml:space="preserve"> = margin of error</t>
    </r>
  </si>
  <si>
    <t>SUMMARY OUTPUT</t>
  </si>
  <si>
    <t>Regression Statistics</t>
  </si>
  <si>
    <t>Multiple R</t>
  </si>
  <si>
    <r>
      <t>Multiple R (Sample correlation coefficient):
r</t>
    </r>
    <r>
      <rPr>
        <vertAlign val="subscript"/>
        <sz val="10"/>
        <color theme="1"/>
        <rFont val="Calibri"/>
        <family val="2"/>
        <scheme val="minor"/>
      </rPr>
      <t>xy</t>
    </r>
    <r>
      <rPr>
        <sz val="10"/>
        <color theme="1"/>
        <rFont val="Calibri"/>
        <family val="2"/>
        <scheme val="minor"/>
      </rPr>
      <t xml:space="preserve"> = 
(sign of b1)</t>
    </r>
    <r>
      <rPr>
        <sz val="10"/>
        <color theme="1"/>
        <rFont val="Calibri"/>
        <family val="2"/>
      </rPr>
      <t>√r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/>
    </r>
  </si>
  <si>
    <t>R Square</t>
  </si>
  <si>
    <r>
      <t>R Square (Coefficient of determination):
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SSR/SST</t>
    </r>
  </si>
  <si>
    <t>Adjusted R Square</t>
  </si>
  <si>
    <t>Standard Error</t>
  </si>
  <si>
    <r>
      <t xml:space="preserve">Standard error of the estimate
s = </t>
    </r>
    <r>
      <rPr>
        <sz val="10"/>
        <color theme="1"/>
        <rFont val="Calibri"/>
        <family val="2"/>
      </rPr>
      <t>√MSE = √(SSE/(n-2))</t>
    </r>
  </si>
  <si>
    <t>Observations</t>
  </si>
  <si>
    <t>Observations (# of observations) = n</t>
  </si>
  <si>
    <t>ANOVA</t>
  </si>
  <si>
    <t>&lt;ANOVA (Analysis of Variance) Table&gt;</t>
  </si>
  <si>
    <t>df</t>
  </si>
  <si>
    <t>SS</t>
  </si>
  <si>
    <t>MS</t>
  </si>
  <si>
    <t>F</t>
  </si>
  <si>
    <t>Significance F</t>
  </si>
  <si>
    <t>Source of Variation</t>
  </si>
  <si>
    <t>Degrees of Freedom</t>
  </si>
  <si>
    <t>Sum of Squares</t>
  </si>
  <si>
    <t>Mean Square</t>
  </si>
  <si>
    <t>p-value</t>
  </si>
  <si>
    <t>Regression</t>
  </si>
  <si>
    <t>SSR = SST - SSE</t>
  </si>
  <si>
    <t>MSR = SSR/1</t>
  </si>
  <si>
    <t>F = MSR / MSE</t>
  </si>
  <si>
    <t>Residual</t>
  </si>
  <si>
    <t>Error</t>
  </si>
  <si>
    <t>n-2</t>
  </si>
  <si>
    <t>SSE = SST - SSR</t>
  </si>
  <si>
    <t>MSE = SSE / n-2</t>
  </si>
  <si>
    <t>Total</t>
  </si>
  <si>
    <t>n-1</t>
  </si>
  <si>
    <t>SST = SSR + SSE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</si>
  <si>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</si>
  <si>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</si>
  <si>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</si>
  <si>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</si>
  <si>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</si>
  <si>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</si>
  <si>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</si>
  <si>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</t>
  </si>
  <si>
    <t>Intercept</t>
  </si>
  <si>
    <t>y-Intercept</t>
  </si>
  <si>
    <r>
      <t>b</t>
    </r>
    <r>
      <rPr>
        <vertAlign val="subscript"/>
        <sz val="10"/>
        <color theme="1"/>
        <rFont val="Calibri"/>
        <family val="2"/>
        <scheme val="minor"/>
      </rPr>
      <t>0</t>
    </r>
  </si>
  <si>
    <t>Number of TV Ads = xi</t>
  </si>
  <si>
    <r>
      <t>x</t>
    </r>
    <r>
      <rPr>
        <vertAlign val="subscript"/>
        <sz val="10"/>
        <color theme="1"/>
        <rFont val="Calibri"/>
        <family val="2"/>
        <scheme val="minor"/>
      </rPr>
      <t>i</t>
    </r>
  </si>
  <si>
    <r>
      <t>b</t>
    </r>
    <r>
      <rPr>
        <vertAlign val="subscript"/>
        <sz val="10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</si>
  <si>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b1</t>
    </r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</si>
  <si>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b1</t>
    </r>
    <r>
      <rPr>
        <sz val="10"/>
        <color theme="1"/>
        <rFont val="Calibri"/>
        <family val="2"/>
        <scheme val="minor"/>
      </rPr>
      <t/>
    </r>
  </si>
  <si>
    <t>Doubling p:
If(t&lt;0,TDIST(-t,n-2,1),TDIST(t,n-2,1))</t>
  </si>
  <si>
    <t>RESIDUAL OUTPUT</t>
  </si>
  <si>
    <t>Observation</t>
  </si>
  <si>
    <t>Predicted Number of Cars Sold = yi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</si>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</sst>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"/>
      <color theme="1"/>
      <name val="Symbol"/>
      <family val="1"/>
      <charset val="2"/>
    </font>
    <font>
      <u/>
      <sz val="10"/>
      <color theme="1"/>
      <name val="Calibri"/>
      <family val="2"/>
      <scheme val="minor"/>
    </font>
    <font>
      <vertAlign val="subscript"/>
      <sz val="10"/>
      <color theme="1"/>
      <name val="Symbol"/>
      <family val="1"/>
      <charset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Symbol"/>
      <family val="1"/>
      <charset val="2"/>
    </font>
    <font>
      <sz val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1"/>
      <charset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4" fillId="0" borderId="1" xfId="0" applyFont="1" applyBorder="1" applyAlignment="1">
      <alignment wrapText="1"/>
    </xf>
    <xf numFmtId="0" fontId="2" fillId="2" borderId="2" xfId="0" applyFont="1" applyFill="1" applyBorder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/>
    <xf numFmtId="2" fontId="2" fillId="0" borderId="2" xfId="0" applyNumberFormat="1" applyFont="1" applyFill="1" applyBorder="1"/>
    <xf numFmtId="0" fontId="2" fillId="0" borderId="4" xfId="0" applyFont="1" applyFill="1" applyBorder="1"/>
    <xf numFmtId="0" fontId="2" fillId="0" borderId="5" xfId="0" applyFont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3" borderId="8" xfId="0" applyFont="1" applyFill="1" applyBorder="1"/>
    <xf numFmtId="0" fontId="2" fillId="0" borderId="5" xfId="0" applyFont="1" applyBorder="1" applyAlignme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2" fillId="0" borderId="9" xfId="0" applyFont="1" applyBorder="1"/>
    <xf numFmtId="0" fontId="4" fillId="4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" fillId="3" borderId="10" xfId="0" applyFont="1" applyFill="1" applyBorder="1"/>
    <xf numFmtId="0" fontId="0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8" fillId="0" borderId="1" xfId="0" applyFont="1" applyBorder="1" applyAlignment="1">
      <alignment horizontal="right"/>
    </xf>
    <xf numFmtId="0" fontId="2" fillId="5" borderId="1" xfId="0" quotePrefix="1" applyFont="1" applyFill="1" applyBorder="1" applyAlignment="1">
      <alignment wrapText="1"/>
    </xf>
    <xf numFmtId="0" fontId="18" fillId="5" borderId="1" xfId="0" applyNumberFormat="1" applyFont="1" applyFill="1" applyBorder="1" applyAlignment="1">
      <alignment horizontal="right"/>
    </xf>
    <xf numFmtId="164" fontId="2" fillId="6" borderId="1" xfId="0" applyNumberFormat="1" applyFont="1" applyFill="1" applyBorder="1"/>
    <xf numFmtId="164" fontId="2" fillId="0" borderId="1" xfId="0" applyNumberFormat="1" applyFont="1" applyBorder="1" applyAlignment="1"/>
    <xf numFmtId="0" fontId="18" fillId="0" borderId="1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18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/>
    <xf numFmtId="2" fontId="2" fillId="0" borderId="1" xfId="0" applyNumberFormat="1" applyFont="1" applyFill="1" applyBorder="1"/>
    <xf numFmtId="0" fontId="2" fillId="0" borderId="11" xfId="0" applyFont="1" applyBorder="1"/>
    <xf numFmtId="0" fontId="11" fillId="0" borderId="1" xfId="0" applyFont="1" applyBorder="1"/>
    <xf numFmtId="0" fontId="11" fillId="3" borderId="10" xfId="0" applyFont="1" applyFill="1" applyBorder="1"/>
    <xf numFmtId="0" fontId="4" fillId="0" borderId="8" xfId="0" applyFont="1" applyBorder="1" applyAlignment="1">
      <alignment wrapText="1"/>
    </xf>
    <xf numFmtId="0" fontId="2" fillId="0" borderId="8" xfId="0" applyFont="1" applyBorder="1"/>
    <xf numFmtId="0" fontId="2" fillId="3" borderId="12" xfId="0" applyFont="1" applyFill="1" applyBorder="1"/>
    <xf numFmtId="0" fontId="24" fillId="0" borderId="1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3" xfId="0" applyFont="1" applyBorder="1" applyAlignment="1"/>
    <xf numFmtId="0" fontId="4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0" fontId="2" fillId="0" borderId="2" xfId="0" applyNumberFormat="1" applyFont="1" applyFill="1" applyBorder="1"/>
    <xf numFmtId="0" fontId="2" fillId="0" borderId="18" xfId="0" applyFont="1" applyBorder="1"/>
    <xf numFmtId="0" fontId="2" fillId="0" borderId="19" xfId="0" applyFont="1" applyBorder="1"/>
    <xf numFmtId="0" fontId="4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4" fillId="0" borderId="21" xfId="0" quotePrefix="1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0" borderId="21" xfId="0" quotePrefix="1" applyFont="1" applyBorder="1"/>
    <xf numFmtId="0" fontId="2" fillId="0" borderId="21" xfId="0" applyFont="1" applyBorder="1"/>
    <xf numFmtId="0" fontId="2" fillId="0" borderId="22" xfId="0" applyFont="1" applyBorder="1" applyAlignment="1">
      <alignment wrapText="1"/>
    </xf>
    <xf numFmtId="0" fontId="4" fillId="0" borderId="0" xfId="0" applyFont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8" fillId="0" borderId="5" xfId="0" applyNumberFormat="1" applyFont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0" fontId="25" fillId="0" borderId="23" xfId="0" applyFont="1" applyFill="1" applyBorder="1" applyAlignment="1">
      <alignment horizontal="centerContinuous"/>
    </xf>
    <xf numFmtId="0" fontId="2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Fill="1" applyBorder="1" applyAlignment="1"/>
    <xf numFmtId="0" fontId="0" fillId="0" borderId="24" xfId="0" applyFill="1" applyBorder="1" applyAlignment="1"/>
    <xf numFmtId="0" fontId="25" fillId="0" borderId="2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0" fontId="25" fillId="0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'Ch14 Calc'!$C$23</c:f>
              <c:strCache>
                <c:ptCount val="1"/>
                <c:pt idx="0">
                  <c:v>Number of Cars Sold 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01496062992126"/>
                  <c:y val="-3.3261154855643044E-2"/>
                </c:manualLayout>
              </c:layout>
              <c:numFmt formatCode="General" sourceLinked="0"/>
            </c:trendlineLbl>
          </c:trendline>
          <c:xVal>
            <c:numRef>
              <c:f>'Ch14 Calc'!$B$24:$B$28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'Ch14 Calc'!$C$24:$C$28</c:f>
              <c:numCache>
                <c:formatCode>General</c:formatCode>
                <c:ptCount val="5"/>
                <c:pt idx="0">
                  <c:v>13</c:v>
                </c:pt>
                <c:pt idx="1">
                  <c:v>31</c:v>
                </c:pt>
                <c:pt idx="2">
                  <c:v>19</c:v>
                </c:pt>
                <c:pt idx="3">
                  <c:v>27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491E-8809-DFF4C0B6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02088"/>
        <c:axId val="276936272"/>
      </c:scatterChart>
      <c:valAx>
        <c:axId val="28000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936272"/>
        <c:crosses val="autoZero"/>
        <c:crossBetween val="midCat"/>
      </c:valAx>
      <c:valAx>
        <c:axId val="27693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0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Number of TV Ads = 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'Ch14 Calc'!$B$24:$B$28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'Ch14 Calc'!$C$67:$C$71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E-47F7-BD0B-A943AC00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05616"/>
        <c:axId val="282070248"/>
      </c:scatterChart>
      <c:valAx>
        <c:axId val="28000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TV Ads = 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070248"/>
        <c:crosses val="autoZero"/>
        <c:crossBetween val="midCat"/>
      </c:valAx>
      <c:valAx>
        <c:axId val="282070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00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chart" Target="../charts/chart2.xml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0</xdr:colOff>
      <xdr:row>24</xdr:row>
      <xdr:rowOff>419099</xdr:rowOff>
    </xdr:from>
    <xdr:ext cx="560" cy="156883"/>
    <xdr:pic>
      <xdr:nvPicPr>
        <xdr:cNvPr id="2" name="Picture 1">
          <a:extLst>
            <a:ext uri="{FF2B5EF4-FFF2-40B4-BE49-F238E27FC236}">
              <a16:creationId xmlns:a16="http://schemas.microsoft.com/office/drawing/2014/main" id="{0E3C1CB3-C39D-433B-8A59-11C09D608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70450" y="6546849"/>
          <a:ext cx="560" cy="15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37</xdr:col>
      <xdr:colOff>0</xdr:colOff>
      <xdr:row>25</xdr:row>
      <xdr:rowOff>419099</xdr:rowOff>
    </xdr:from>
    <xdr:ext cx="560" cy="156883"/>
    <xdr:pic>
      <xdr:nvPicPr>
        <xdr:cNvPr id="3" name="Picture 2">
          <a:extLst>
            <a:ext uri="{FF2B5EF4-FFF2-40B4-BE49-F238E27FC236}">
              <a16:creationId xmlns:a16="http://schemas.microsoft.com/office/drawing/2014/main" id="{4F18A061-6872-490B-9A5B-61168BCA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78650" y="6965949"/>
          <a:ext cx="560" cy="15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39220</xdr:colOff>
      <xdr:row>35</xdr:row>
      <xdr:rowOff>17929</xdr:rowOff>
    </xdr:from>
    <xdr:to>
      <xdr:col>9</xdr:col>
      <xdr:colOff>364190</xdr:colOff>
      <xdr:row>40</xdr:row>
      <xdr:rowOff>889747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FF623-3EBC-4A9E-A639-B7C8B2812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</xdr:colOff>
      <xdr:row>34</xdr:row>
      <xdr:rowOff>104775</xdr:rowOff>
    </xdr:from>
    <xdr:to>
      <xdr:col>2</xdr:col>
      <xdr:colOff>898182</xdr:colOff>
      <xdr:row>38</xdr:row>
      <xdr:rowOff>38846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80BA7B-FC53-4D87-944A-D821BB10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11534775"/>
          <a:ext cx="2447580" cy="2543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153521</xdr:colOff>
      <xdr:row>60</xdr:row>
      <xdr:rowOff>109257</xdr:rowOff>
    </xdr:from>
    <xdr:to>
      <xdr:col>9</xdr:col>
      <xdr:colOff>560294</xdr:colOff>
      <xdr:row>78</xdr:row>
      <xdr:rowOff>33618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4E8BA-DF1B-4AD2-94B8-FDC1BA7CE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280148</xdr:colOff>
      <xdr:row>40</xdr:row>
      <xdr:rowOff>59391</xdr:rowOff>
    </xdr:from>
    <xdr:to>
      <xdr:col>17</xdr:col>
      <xdr:colOff>482601</xdr:colOff>
      <xdr:row>46</xdr:row>
      <xdr:rowOff>362324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12F8A0-CE05-4521-ACD4-63D83EEB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048" y="14429441"/>
          <a:ext cx="4152153" cy="328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104401</xdr:colOff>
      <xdr:row>9</xdr:row>
      <xdr:rowOff>73585</xdr:rowOff>
    </xdr:from>
    <xdr:to>
      <xdr:col>9</xdr:col>
      <xdr:colOff>459278</xdr:colOff>
      <xdr:row>11</xdr:row>
      <xdr:rowOff>68916</xdr:rowOff>
    </xdr:to>
    <xdr:pic>
      <xdr:nvPicPr>
        <xdr:cNvPr id="8" name="Picture 7" descr="A normal distribution curve. The area right to the point t sub alpha = 2.132 is shaded and labeled, reject H sub 0, alpha = 0.05. A point t = 3.047 in marked the shaded region. The area left to the point t sub alpha = 2.132 is labeled, do not reject H sub 0, 0.95.&#10;">
          <a:extLst>
            <a:ext uri="{FF2B5EF4-FFF2-40B4-BE49-F238E27FC236}">
              <a16:creationId xmlns:a16="http://schemas.microsoft.com/office/drawing/2014/main" id="{48CC2BD0-6E70-4C5F-AD60-6CCE85DF6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6901" y="1889685"/>
          <a:ext cx="1974127" cy="6557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120650</xdr:colOff>
          <xdr:row>16</xdr:row>
          <xdr:rowOff>57150</xdr:rowOff>
        </xdr:from>
        <xdr:to>
          <xdr:col>10</xdr:col>
          <xdr:colOff>12700</xdr:colOff>
          <xdr:row>21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9463C67-79A3-4E2C-81F9-11C98AB24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44450</xdr:rowOff>
        </xdr:from>
        <xdr:to>
          <xdr:col>13</xdr:col>
          <xdr:colOff>584200</xdr:colOff>
          <xdr:row>21</xdr:row>
          <xdr:rowOff>107950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7A98FE3-6E1C-4B92-9E40-5011809D0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32</xdr:col>
      <xdr:colOff>190500</xdr:colOff>
      <xdr:row>28</xdr:row>
      <xdr:rowOff>190499</xdr:rowOff>
    </xdr:from>
    <xdr:to>
      <xdr:col>34</xdr:col>
      <xdr:colOff>11708</xdr:colOff>
      <xdr:row>29</xdr:row>
      <xdr:rowOff>126439</xdr:rowOff>
    </xdr:to>
    <xdr:pic>
      <xdr:nvPicPr>
        <xdr:cNvPr id="11" name="Picture 10" descr="A normal distribution curve. The area right to the point F sub alpha = 7.709 is shaded and labeled, alpha = 0.05. The area left to the point F sub alpha is labeled, do not reject H sub 0, 1 minus alpha = 0.95.&#10;">
          <a:extLst>
            <a:ext uri="{FF2B5EF4-FFF2-40B4-BE49-F238E27FC236}">
              <a16:creationId xmlns:a16="http://schemas.microsoft.com/office/drawing/2014/main" id="{0051C676-6D3F-4FB4-9E0F-228C0F160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8350" y="8528049"/>
          <a:ext cx="1865908" cy="1301190"/>
        </a:xfrm>
        <a:prstGeom prst="rect">
          <a:avLst/>
        </a:prstGeom>
      </xdr:spPr>
    </xdr:pic>
    <xdr:clientData/>
  </xdr:twoCellAnchor>
  <xdr:twoCellAnchor editAs="oneCell">
    <xdr:from>
      <xdr:col>34</xdr:col>
      <xdr:colOff>217768</xdr:colOff>
      <xdr:row>28</xdr:row>
      <xdr:rowOff>128120</xdr:rowOff>
    </xdr:from>
    <xdr:to>
      <xdr:col>36</xdr:col>
      <xdr:colOff>316940</xdr:colOff>
      <xdr:row>29</xdr:row>
      <xdr:rowOff>113244</xdr:rowOff>
    </xdr:to>
    <xdr:pic>
      <xdr:nvPicPr>
        <xdr:cNvPr id="12" name="Picture 11" descr="A normal curve with critical value at F sub alpha = 7.709. The region to the right of critical value is labeled, do not reject h sub 0 1 minus alpha = 0.95, and the region to the left of critical value is labeled, reject H sub 0. The region to the left of F = 9.313 is shaded and labeled, area = 0.03795 = p value.">
          <a:extLst>
            <a:ext uri="{FF2B5EF4-FFF2-40B4-BE49-F238E27FC236}">
              <a16:creationId xmlns:a16="http://schemas.microsoft.com/office/drawing/2014/main" id="{63C11BF9-CF3A-4B41-86A4-1B762E13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10318" y="8465670"/>
          <a:ext cx="1788272" cy="1350374"/>
        </a:xfrm>
        <a:prstGeom prst="rect">
          <a:avLst/>
        </a:prstGeom>
      </xdr:spPr>
    </xdr:pic>
    <xdr:clientData/>
  </xdr:twoCellAnchor>
  <xdr:twoCellAnchor editAs="oneCell">
    <xdr:from>
      <xdr:col>26</xdr:col>
      <xdr:colOff>44451</xdr:colOff>
      <xdr:row>34</xdr:row>
      <xdr:rowOff>25400</xdr:rowOff>
    </xdr:from>
    <xdr:to>
      <xdr:col>26</xdr:col>
      <xdr:colOff>856083</xdr:colOff>
      <xdr:row>34</xdr:row>
      <xdr:rowOff>276225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DE231D-ED5F-47E1-8E70-85299E638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4301" y="11455400"/>
          <a:ext cx="811632" cy="25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44450</xdr:colOff>
      <xdr:row>34</xdr:row>
      <xdr:rowOff>6351</xdr:rowOff>
    </xdr:from>
    <xdr:to>
      <xdr:col>27</xdr:col>
      <xdr:colOff>863600</xdr:colOff>
      <xdr:row>34</xdr:row>
      <xdr:rowOff>419610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E5D63FE-7D88-4218-BF01-552E1038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3300" y="11436351"/>
          <a:ext cx="819150" cy="413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266700</xdr:colOff>
      <xdr:row>34</xdr:row>
      <xdr:rowOff>133350</xdr:rowOff>
    </xdr:from>
    <xdr:to>
      <xdr:col>28</xdr:col>
      <xdr:colOff>581025</xdr:colOff>
      <xdr:row>34</xdr:row>
      <xdr:rowOff>400050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92E32C-7E8B-42B7-96D4-040F4CD7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0900" y="11563350"/>
          <a:ext cx="3143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257175</xdr:colOff>
      <xdr:row>33</xdr:row>
      <xdr:rowOff>180976</xdr:rowOff>
    </xdr:from>
    <xdr:to>
      <xdr:col>30</xdr:col>
      <xdr:colOff>323850</xdr:colOff>
      <xdr:row>34</xdr:row>
      <xdr:rowOff>343530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DFF384-2651-4102-A029-FAB4E903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11407776"/>
          <a:ext cx="1006475" cy="365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n/Work/Douglas/9)%202022%20Winter/BUSN%202429/Min/BUNS%202429%20(Stats)%20-%20Formul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3 Calc"/>
      <sheetName val="Ch4 Calc"/>
      <sheetName val="Ch5 Calc"/>
      <sheetName val="Ch6 Calc"/>
      <sheetName val="Ch7 Calc"/>
      <sheetName val="Ch8 Calc"/>
      <sheetName val="Ch9 Calc"/>
      <sheetName val="Ch10 Calc"/>
      <sheetName val="Sheet2"/>
      <sheetName val="Ch12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3">
          <cell r="C23" t="str">
            <v>Number of Cars Sold y</v>
          </cell>
        </row>
        <row r="24">
          <cell r="B24">
            <v>3</v>
          </cell>
          <cell r="C24">
            <v>13</v>
          </cell>
        </row>
        <row r="25">
          <cell r="B25">
            <v>6</v>
          </cell>
          <cell r="C25">
            <v>31</v>
          </cell>
        </row>
        <row r="26">
          <cell r="B26">
            <v>4</v>
          </cell>
          <cell r="C26">
            <v>19</v>
          </cell>
        </row>
        <row r="27">
          <cell r="B27">
            <v>5</v>
          </cell>
          <cell r="C27">
            <v>27</v>
          </cell>
        </row>
        <row r="28">
          <cell r="B28">
            <v>6</v>
          </cell>
          <cell r="C28">
            <v>23</v>
          </cell>
        </row>
        <row r="67">
          <cell r="C67">
            <v>-1</v>
          </cell>
        </row>
        <row r="68">
          <cell r="C68">
            <v>-1</v>
          </cell>
        </row>
        <row r="69">
          <cell r="C69">
            <v>-2</v>
          </cell>
        </row>
        <row r="70">
          <cell r="C70">
            <v>2</v>
          </cell>
        </row>
        <row r="71">
          <cell r="C7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51AE-DE29-4E8F-AA05-01131D142D33}">
  <dimension ref="A1:AK71"/>
  <sheetViews>
    <sheetView tabSelected="1" topLeftCell="Z18" zoomScale="70" zoomScaleNormal="70" workbookViewId="0">
      <selection activeCell="AM23" sqref="AM23"/>
    </sheetView>
  </sheetViews>
  <sheetFormatPr defaultColWidth="9.1796875" defaultRowHeight="13"/>
  <cols>
    <col min="1" max="1" width="10" style="1" customWidth="1"/>
    <col min="2" max="2" width="12.1796875" style="1" customWidth="1"/>
    <col min="3" max="3" width="13.7265625" style="1" customWidth="1"/>
    <col min="4" max="4" width="12.7265625" style="1" customWidth="1"/>
    <col min="5" max="5" width="11.81640625" style="1" customWidth="1"/>
    <col min="6" max="6" width="11.7265625" style="1" customWidth="1"/>
    <col min="7" max="7" width="14.1796875" style="1" customWidth="1"/>
    <col min="8" max="8" width="11.453125" style="1" bestFit="1" customWidth="1"/>
    <col min="9" max="9" width="11.7265625" style="1" customWidth="1"/>
    <col min="10" max="10" width="13.36328125" style="1" customWidth="1"/>
    <col min="11" max="11" width="18.7265625" style="1" customWidth="1"/>
    <col min="12" max="12" width="10.54296875" style="1" customWidth="1"/>
    <col min="13" max="13" width="13.1796875" style="1" customWidth="1"/>
    <col min="14" max="14" width="19.54296875" style="1" customWidth="1"/>
    <col min="15" max="15" width="2" style="1" customWidth="1"/>
    <col min="16" max="16" width="9.26953125" style="1" customWidth="1"/>
    <col min="17" max="17" width="12.54296875" style="1" customWidth="1"/>
    <col min="18" max="18" width="11" style="1" customWidth="1"/>
    <col min="19" max="19" width="12.54296875" style="1" customWidth="1"/>
    <col min="20" max="20" width="8.81640625" style="1" customWidth="1"/>
    <col min="21" max="21" width="13.81640625" style="1" customWidth="1"/>
    <col min="22" max="22" width="9.1796875" style="1"/>
    <col min="23" max="23" width="14.81640625" style="1" customWidth="1"/>
    <col min="24" max="24" width="17" style="1" customWidth="1"/>
    <col min="25" max="25" width="2" style="1" customWidth="1"/>
    <col min="26" max="26" width="12.1796875" style="1" customWidth="1"/>
    <col min="27" max="27" width="12.7265625" style="1" customWidth="1"/>
    <col min="28" max="28" width="12.81640625" style="1" customWidth="1"/>
    <col min="29" max="29" width="13.7265625" style="1" customWidth="1"/>
    <col min="30" max="30" width="13.453125" style="1" customWidth="1"/>
    <col min="31" max="31" width="15" style="1" customWidth="1"/>
    <col min="32" max="32" width="12.26953125" style="1" customWidth="1"/>
    <col min="33" max="33" width="14.81640625" style="1" customWidth="1"/>
    <col min="34" max="34" width="14.453125" style="1" customWidth="1"/>
    <col min="35" max="35" width="14" style="1" customWidth="1"/>
    <col min="36" max="36" width="10.1796875" style="1" customWidth="1"/>
    <col min="37" max="37" width="20" style="1" customWidth="1"/>
    <col min="38" max="16384" width="9.1796875" style="1"/>
  </cols>
  <sheetData>
    <row r="1" spans="1:10">
      <c r="A1" s="1" t="s">
        <v>0</v>
      </c>
    </row>
    <row r="2" spans="1:10" ht="39">
      <c r="A2" s="2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5" t="s">
        <v>7</v>
      </c>
    </row>
    <row r="3" spans="1:10">
      <c r="A3" s="2">
        <v>1</v>
      </c>
      <c r="B3" s="2">
        <v>3</v>
      </c>
      <c r="C3" s="2">
        <v>13</v>
      </c>
      <c r="D3" s="4">
        <f>B3*C3</f>
        <v>39</v>
      </c>
      <c r="E3" s="4">
        <f>B3^2</f>
        <v>9</v>
      </c>
      <c r="F3" s="4">
        <f>C3^2</f>
        <v>169</v>
      </c>
      <c r="G3" s="4">
        <f>CORREL(B3:B8,C3:C8)</f>
        <v>0.83638514598058522</v>
      </c>
    </row>
    <row r="4" spans="1:10">
      <c r="A4" s="2">
        <v>2</v>
      </c>
      <c r="B4" s="2">
        <v>6</v>
      </c>
      <c r="C4" s="2">
        <v>31</v>
      </c>
      <c r="D4" s="4">
        <f t="shared" ref="D4:D7" si="0">B4*C4</f>
        <v>186</v>
      </c>
      <c r="E4" s="4">
        <f t="shared" ref="E4:F7" si="1">B4^2</f>
        <v>36</v>
      </c>
      <c r="F4" s="4">
        <f t="shared" si="1"/>
        <v>961</v>
      </c>
    </row>
    <row r="5" spans="1:10">
      <c r="A5" s="2">
        <v>3</v>
      </c>
      <c r="B5" s="2">
        <v>4</v>
      </c>
      <c r="C5" s="2">
        <v>19</v>
      </c>
      <c r="D5" s="4">
        <f t="shared" si="0"/>
        <v>76</v>
      </c>
      <c r="E5" s="4">
        <f t="shared" si="1"/>
        <v>16</v>
      </c>
      <c r="F5" s="4">
        <f t="shared" si="1"/>
        <v>361</v>
      </c>
    </row>
    <row r="6" spans="1:10">
      <c r="A6" s="2">
        <v>4</v>
      </c>
      <c r="B6" s="2">
        <v>5</v>
      </c>
      <c r="C6" s="2">
        <v>27</v>
      </c>
      <c r="D6" s="4">
        <f t="shared" si="0"/>
        <v>135</v>
      </c>
      <c r="E6" s="4">
        <f t="shared" si="1"/>
        <v>25</v>
      </c>
      <c r="F6" s="4">
        <f t="shared" si="1"/>
        <v>729</v>
      </c>
    </row>
    <row r="7" spans="1:10">
      <c r="A7" s="2">
        <v>5</v>
      </c>
      <c r="B7" s="2">
        <v>6</v>
      </c>
      <c r="C7" s="2">
        <v>23</v>
      </c>
      <c r="D7" s="4">
        <f t="shared" si="0"/>
        <v>138</v>
      </c>
      <c r="E7" s="4">
        <f t="shared" si="1"/>
        <v>36</v>
      </c>
      <c r="F7" s="4">
        <f t="shared" si="1"/>
        <v>529</v>
      </c>
    </row>
    <row r="8" spans="1:10">
      <c r="A8" s="2">
        <v>6</v>
      </c>
      <c r="B8" s="2">
        <v>3</v>
      </c>
      <c r="C8" s="2">
        <v>19</v>
      </c>
      <c r="D8" s="4">
        <v>57</v>
      </c>
      <c r="E8" s="4">
        <v>9</v>
      </c>
      <c r="F8" s="4">
        <v>361</v>
      </c>
    </row>
    <row r="9" spans="1:10">
      <c r="A9" s="6" t="s">
        <v>8</v>
      </c>
      <c r="B9" s="4">
        <f>SUM(B3:B8)</f>
        <v>27</v>
      </c>
      <c r="C9" s="4">
        <f>SUM(C3:C8)</f>
        <v>132</v>
      </c>
      <c r="D9" s="7"/>
      <c r="E9" s="7"/>
      <c r="F9" s="7"/>
    </row>
    <row r="10" spans="1:10">
      <c r="A10" s="1" t="s">
        <v>9</v>
      </c>
    </row>
    <row r="11" spans="1:10" ht="39">
      <c r="A11" s="4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 t="s">
        <v>15</v>
      </c>
      <c r="G11" s="3" t="s">
        <v>16</v>
      </c>
    </row>
    <row r="12" spans="1:10" ht="13.5" thickBot="1">
      <c r="A12" s="4">
        <f>COUNT(A3:A8)</f>
        <v>6</v>
      </c>
      <c r="B12" s="4">
        <f>SUM(B3:B8)</f>
        <v>27</v>
      </c>
      <c r="C12" s="4">
        <f>SUM(C3:C8)</f>
        <v>132</v>
      </c>
      <c r="D12" s="4">
        <f>SUM(D3:D8)</f>
        <v>631</v>
      </c>
      <c r="E12" s="4">
        <f>SUM(E3:E8)</f>
        <v>131</v>
      </c>
      <c r="F12" s="4">
        <f t="shared" ref="F12:G12" si="2">SUM(F3:F8)</f>
        <v>3110</v>
      </c>
      <c r="G12" s="9">
        <v>0.05</v>
      </c>
    </row>
    <row r="13" spans="1:10" ht="55" thickTop="1">
      <c r="A13" s="8" t="s">
        <v>17</v>
      </c>
      <c r="B13" s="8" t="s">
        <v>18</v>
      </c>
      <c r="C13" s="8" t="s">
        <v>19</v>
      </c>
      <c r="D13" s="8" t="s">
        <v>20</v>
      </c>
      <c r="E13" s="5" t="s">
        <v>21</v>
      </c>
      <c r="F13" s="10" t="s">
        <v>22</v>
      </c>
      <c r="G13" s="11" t="s">
        <v>23</v>
      </c>
      <c r="H13" s="12" t="s">
        <v>24</v>
      </c>
      <c r="I13" s="13" t="s">
        <v>25</v>
      </c>
    </row>
    <row r="14" spans="1:10" ht="13.5" thickBot="1">
      <c r="A14" s="4">
        <f>(A12*D12)-(B12*C12)</f>
        <v>222</v>
      </c>
      <c r="B14" s="4">
        <f>(A12*E12)-(B12^2)</f>
        <v>57</v>
      </c>
      <c r="C14" s="4">
        <f>(A12*F12)-(C12^2)</f>
        <v>1236</v>
      </c>
      <c r="D14" s="4">
        <f>SQRT(B14*C14)</f>
        <v>265.42795632713597</v>
      </c>
      <c r="E14" s="4">
        <f>A14/D14</f>
        <v>0.83638514598058511</v>
      </c>
      <c r="F14" s="14">
        <f>A12-2</f>
        <v>4</v>
      </c>
      <c r="G14" s="14">
        <f>E14/SQRT((1-E14^2)/(A12-2))</f>
        <v>3.0517085657165928</v>
      </c>
      <c r="H14" s="15">
        <f>_xlfn.T.INV(1-G12,F14)</f>
        <v>2.131846786326649</v>
      </c>
      <c r="I14" s="16" t="b">
        <f>G14&gt;=H14</f>
        <v>1</v>
      </c>
    </row>
    <row r="15" spans="1:10" ht="13.5" thickTop="1">
      <c r="A15" s="17" t="s">
        <v>26</v>
      </c>
      <c r="B15" s="7"/>
      <c r="C15" s="7"/>
      <c r="D15" s="7"/>
      <c r="E15" s="7"/>
      <c r="F15" s="18"/>
      <c r="G15" s="18"/>
      <c r="H15" s="18"/>
      <c r="I15" s="19"/>
      <c r="J15" s="18"/>
    </row>
    <row r="16" spans="1:10">
      <c r="A16" s="7"/>
      <c r="B16" s="7"/>
      <c r="C16" s="7"/>
      <c r="D16" s="7"/>
      <c r="E16" s="7"/>
      <c r="F16" s="18"/>
      <c r="G16" s="18"/>
      <c r="H16" s="18"/>
      <c r="I16" s="19"/>
      <c r="J16" s="18"/>
    </row>
    <row r="17" spans="1:37">
      <c r="A17" s="7"/>
      <c r="B17" s="7"/>
      <c r="C17" s="7"/>
      <c r="D17" s="7"/>
      <c r="E17" s="7"/>
      <c r="F17" s="18"/>
      <c r="G17" s="18"/>
      <c r="H17" s="18"/>
      <c r="I17" s="19"/>
      <c r="J17" s="18"/>
    </row>
    <row r="18" spans="1:37">
      <c r="A18" s="7"/>
      <c r="B18" s="7"/>
      <c r="C18" s="7"/>
      <c r="D18" s="7"/>
      <c r="E18" s="7"/>
      <c r="F18" s="18"/>
      <c r="G18" s="18"/>
      <c r="H18" s="18"/>
      <c r="I18" s="19"/>
      <c r="J18" s="18"/>
    </row>
    <row r="19" spans="1:37">
      <c r="A19" s="7"/>
      <c r="B19" s="7"/>
      <c r="C19" s="7"/>
      <c r="D19" s="7"/>
      <c r="E19" s="7"/>
      <c r="F19" s="18"/>
      <c r="G19" s="18"/>
      <c r="H19" s="18"/>
      <c r="I19" s="19"/>
      <c r="J19" s="18"/>
    </row>
    <row r="20" spans="1:37">
      <c r="A20" s="7"/>
      <c r="B20" s="7"/>
      <c r="C20" s="7"/>
      <c r="D20" s="7"/>
      <c r="E20" s="7"/>
      <c r="F20" s="18"/>
      <c r="G20" s="18"/>
      <c r="H20" s="18"/>
      <c r="I20" s="19"/>
      <c r="J20" s="18"/>
    </row>
    <row r="22" spans="1:37">
      <c r="A22" s="17" t="s">
        <v>26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2"/>
      <c r="P22" s="23" t="s">
        <v>27</v>
      </c>
      <c r="Q22" s="24"/>
      <c r="R22" s="20"/>
      <c r="S22" s="20"/>
      <c r="T22" s="20"/>
      <c r="U22" s="20"/>
      <c r="V22" s="20"/>
      <c r="W22" s="20"/>
      <c r="X22" s="21"/>
      <c r="Y22" s="22"/>
      <c r="Z22" s="25" t="s">
        <v>28</v>
      </c>
      <c r="AA22" s="17"/>
      <c r="AC22" s="20"/>
      <c r="AD22" s="20"/>
      <c r="AE22" s="20"/>
      <c r="AF22" s="20"/>
      <c r="AG22" s="26"/>
      <c r="AH22" s="20"/>
      <c r="AI22" s="20"/>
    </row>
    <row r="23" spans="1:37" ht="104.5">
      <c r="A23" s="2" t="s">
        <v>1</v>
      </c>
      <c r="B23" s="3" t="s">
        <v>2</v>
      </c>
      <c r="C23" s="3" t="s">
        <v>3</v>
      </c>
      <c r="D23" s="8" t="s">
        <v>29</v>
      </c>
      <c r="E23" s="8" t="s">
        <v>30</v>
      </c>
      <c r="F23" s="8" t="s">
        <v>31</v>
      </c>
      <c r="G23" s="27" t="s">
        <v>32</v>
      </c>
      <c r="H23" s="8" t="s">
        <v>33</v>
      </c>
      <c r="I23" s="8" t="s">
        <v>34</v>
      </c>
      <c r="J23" s="5" t="s">
        <v>35</v>
      </c>
      <c r="K23" s="8" t="s">
        <v>36</v>
      </c>
      <c r="L23" s="8" t="s">
        <v>37</v>
      </c>
      <c r="M23" s="5" t="s">
        <v>38</v>
      </c>
      <c r="N23" s="5" t="s">
        <v>39</v>
      </c>
      <c r="O23" s="28"/>
      <c r="P23" s="8" t="s">
        <v>40</v>
      </c>
      <c r="Q23" s="5" t="s">
        <v>41</v>
      </c>
      <c r="R23" s="27" t="s">
        <v>32</v>
      </c>
      <c r="S23" s="8" t="s">
        <v>42</v>
      </c>
      <c r="T23" s="8" t="s">
        <v>43</v>
      </c>
      <c r="U23" s="5" t="s">
        <v>44</v>
      </c>
      <c r="V23" s="5" t="s">
        <v>45</v>
      </c>
      <c r="W23" s="5" t="s">
        <v>46</v>
      </c>
      <c r="X23" s="5" t="s">
        <v>47</v>
      </c>
      <c r="Y23" s="28"/>
      <c r="Z23" s="5" t="s">
        <v>10</v>
      </c>
      <c r="AA23" s="5" t="s">
        <v>48</v>
      </c>
      <c r="AB23" s="29" t="s">
        <v>49</v>
      </c>
      <c r="AC23" s="5" t="s">
        <v>50</v>
      </c>
      <c r="AD23" s="30" t="s">
        <v>51</v>
      </c>
      <c r="AE23" s="11" t="s">
        <v>16</v>
      </c>
      <c r="AF23" s="31" t="s">
        <v>52</v>
      </c>
      <c r="AG23" s="5" t="s">
        <v>53</v>
      </c>
      <c r="AH23" s="5" t="s">
        <v>54</v>
      </c>
      <c r="AI23" s="5" t="s">
        <v>55</v>
      </c>
      <c r="AJ23" s="11" t="s">
        <v>56</v>
      </c>
    </row>
    <row r="24" spans="1:37" ht="14.5">
      <c r="A24" s="2">
        <v>1</v>
      </c>
      <c r="B24" s="2">
        <v>3</v>
      </c>
      <c r="C24" s="2">
        <v>13</v>
      </c>
      <c r="D24" s="4"/>
      <c r="E24" s="4"/>
      <c r="F24" s="4">
        <f t="shared" ref="F24:F29" si="3">B24-$D$32</f>
        <v>-1.5</v>
      </c>
      <c r="G24" s="4">
        <f t="shared" ref="G24:G29" si="4">C24-$E$32</f>
        <v>-9</v>
      </c>
      <c r="H24" s="4">
        <f t="shared" ref="H24:H29" si="5">F24*G24</f>
        <v>13.5</v>
      </c>
      <c r="I24" s="4">
        <f t="shared" ref="I24:I29" si="6">F24^2</f>
        <v>2.25</v>
      </c>
      <c r="J24" s="4">
        <f>A14/B14</f>
        <v>3.8947368421052633</v>
      </c>
      <c r="K24" s="4"/>
      <c r="L24" s="4">
        <f>(C9/A12)-(J24*B9/A12)</f>
        <v>4.473684210526315</v>
      </c>
      <c r="M24" s="4">
        <f t="shared" ref="M24:M29" si="7">$J$32*B24</f>
        <v>11.684210526315789</v>
      </c>
      <c r="N24" s="4">
        <f t="shared" ref="N24:N29" si="8">$L$32+M24</f>
        <v>16.157894736842103</v>
      </c>
      <c r="O24" s="32"/>
      <c r="P24" s="4">
        <f t="shared" ref="P24:P29" si="9">C24-N24</f>
        <v>-3.1578947368421026</v>
      </c>
      <c r="Q24" s="4">
        <f>P24^2</f>
        <v>9.9722991689750522</v>
      </c>
      <c r="R24" s="4">
        <f t="shared" ref="R24:R29" si="10">G24</f>
        <v>-9</v>
      </c>
      <c r="S24" s="4">
        <f t="shared" ref="S24:S29" si="11">G24^2</f>
        <v>81</v>
      </c>
      <c r="T24" s="4">
        <f t="shared" ref="T24:T29" si="12">N24-$E$32</f>
        <v>-5.8421052631578974</v>
      </c>
      <c r="U24" s="4">
        <f>T24^2</f>
        <v>34.130193905817208</v>
      </c>
      <c r="V24" s="4"/>
      <c r="W24" s="4"/>
      <c r="X24" s="4"/>
      <c r="Y24" s="32"/>
      <c r="Z24" s="4">
        <f>COUNT(B24:B31)</f>
        <v>6</v>
      </c>
      <c r="AA24" s="4">
        <f>Z24-2</f>
        <v>4</v>
      </c>
      <c r="AB24" s="33"/>
      <c r="AC24" s="34"/>
      <c r="AD24" s="4">
        <v>0.95</v>
      </c>
      <c r="AE24" s="14">
        <f>1-AD24</f>
        <v>5.0000000000000044E-2</v>
      </c>
      <c r="AF24" s="35">
        <f>AE24/2</f>
        <v>2.5000000000000022E-2</v>
      </c>
      <c r="AG24" s="4">
        <f>Q32/AA24</f>
        <v>15.473684210526319</v>
      </c>
      <c r="AH24" s="4">
        <f>SQRT(AG24)</f>
        <v>3.9336604086431151</v>
      </c>
      <c r="AI24" s="4">
        <f>AH24/SQRT(I32)</f>
        <v>1.2762479634718045</v>
      </c>
      <c r="AJ24" s="4">
        <f>U32</f>
        <v>144.10526315789477</v>
      </c>
    </row>
    <row r="25" spans="1:37" ht="15">
      <c r="A25" s="2">
        <v>2</v>
      </c>
      <c r="B25" s="2">
        <v>6</v>
      </c>
      <c r="C25" s="2">
        <v>31</v>
      </c>
      <c r="D25" s="4"/>
      <c r="E25" s="4"/>
      <c r="F25" s="4">
        <f t="shared" si="3"/>
        <v>1.5</v>
      </c>
      <c r="G25" s="4">
        <f t="shared" si="4"/>
        <v>9</v>
      </c>
      <c r="H25" s="4">
        <f t="shared" si="5"/>
        <v>13.5</v>
      </c>
      <c r="I25" s="4">
        <f t="shared" si="6"/>
        <v>2.25</v>
      </c>
      <c r="J25" s="4"/>
      <c r="K25" s="4"/>
      <c r="L25" s="4"/>
      <c r="M25" s="4">
        <f t="shared" si="7"/>
        <v>23.368421052631579</v>
      </c>
      <c r="N25" s="4">
        <f t="shared" si="8"/>
        <v>27.842105263157894</v>
      </c>
      <c r="O25" s="32"/>
      <c r="P25" s="4">
        <f t="shared" si="9"/>
        <v>3.1578947368421062</v>
      </c>
      <c r="Q25" s="4">
        <f t="shared" ref="Q25:Q29" si="13">P25^2</f>
        <v>9.9722991689750753</v>
      </c>
      <c r="R25" s="4">
        <f t="shared" si="10"/>
        <v>9</v>
      </c>
      <c r="S25" s="4">
        <f t="shared" si="11"/>
        <v>81</v>
      </c>
      <c r="T25" s="4">
        <f t="shared" si="12"/>
        <v>5.8421052631578938</v>
      </c>
      <c r="U25" s="4">
        <f t="shared" ref="U25:U29" si="14">T25^2</f>
        <v>34.130193905817166</v>
      </c>
      <c r="V25" s="4"/>
      <c r="W25" s="4"/>
      <c r="X25" s="4"/>
      <c r="Y25" s="32"/>
      <c r="Z25" s="17" t="s">
        <v>57</v>
      </c>
      <c r="AA25" s="20"/>
      <c r="AB25" s="21"/>
      <c r="AC25" s="17" t="s">
        <v>58</v>
      </c>
      <c r="AD25" s="20"/>
      <c r="AE25" s="20"/>
      <c r="AF25" s="21"/>
      <c r="AG25" s="17" t="s">
        <v>59</v>
      </c>
      <c r="AH25" s="20"/>
      <c r="AI25" s="20"/>
      <c r="AJ25" s="20"/>
      <c r="AK25" s="21"/>
    </row>
    <row r="26" spans="1:37" ht="113.5">
      <c r="A26" s="2">
        <v>3</v>
      </c>
      <c r="B26" s="2">
        <v>4</v>
      </c>
      <c r="C26" s="2">
        <v>19</v>
      </c>
      <c r="D26" s="4"/>
      <c r="E26" s="4"/>
      <c r="F26" s="4">
        <f t="shared" si="3"/>
        <v>-0.5</v>
      </c>
      <c r="G26" s="4">
        <f t="shared" si="4"/>
        <v>-3</v>
      </c>
      <c r="H26" s="4">
        <f t="shared" si="5"/>
        <v>1.5</v>
      </c>
      <c r="I26" s="4">
        <f t="shared" si="6"/>
        <v>0.25</v>
      </c>
      <c r="J26" s="4"/>
      <c r="K26" s="4"/>
      <c r="L26" s="4"/>
      <c r="M26" s="4">
        <f t="shared" si="7"/>
        <v>15.578947368421053</v>
      </c>
      <c r="N26" s="4">
        <f t="shared" si="8"/>
        <v>20.05263157894737</v>
      </c>
      <c r="O26" s="32"/>
      <c r="P26" s="4">
        <f t="shared" si="9"/>
        <v>-1.0526315789473699</v>
      </c>
      <c r="Q26" s="4">
        <f t="shared" si="13"/>
        <v>1.1080332409972331</v>
      </c>
      <c r="R26" s="4">
        <f t="shared" si="10"/>
        <v>-3</v>
      </c>
      <c r="S26" s="4">
        <f t="shared" si="11"/>
        <v>9</v>
      </c>
      <c r="T26" s="4">
        <f t="shared" si="12"/>
        <v>-1.9473684210526301</v>
      </c>
      <c r="U26" s="4">
        <f t="shared" si="14"/>
        <v>3.7922437673130136</v>
      </c>
      <c r="V26" s="4"/>
      <c r="W26" s="4"/>
      <c r="X26" s="4"/>
      <c r="Y26" s="32"/>
      <c r="Z26" s="5" t="s">
        <v>60</v>
      </c>
      <c r="AA26" s="36" t="s">
        <v>61</v>
      </c>
      <c r="AB26" s="5" t="s">
        <v>62</v>
      </c>
      <c r="AC26" s="5" t="s">
        <v>63</v>
      </c>
      <c r="AD26" s="5" t="s">
        <v>64</v>
      </c>
      <c r="AE26" s="11" t="s">
        <v>16</v>
      </c>
      <c r="AF26" s="5" t="s">
        <v>65</v>
      </c>
      <c r="AG26" s="5" t="s">
        <v>66</v>
      </c>
      <c r="AH26" s="5" t="s">
        <v>67</v>
      </c>
      <c r="AI26" s="5" t="s">
        <v>68</v>
      </c>
      <c r="AJ26" s="29" t="s">
        <v>69</v>
      </c>
      <c r="AK26" s="5" t="s">
        <v>70</v>
      </c>
    </row>
    <row r="27" spans="1:37" ht="14.5">
      <c r="A27" s="2">
        <v>4</v>
      </c>
      <c r="B27" s="2">
        <v>5</v>
      </c>
      <c r="C27" s="2">
        <v>27</v>
      </c>
      <c r="D27" s="4"/>
      <c r="E27" s="4"/>
      <c r="F27" s="4">
        <f t="shared" si="3"/>
        <v>0.5</v>
      </c>
      <c r="G27" s="4">
        <f t="shared" si="4"/>
        <v>5</v>
      </c>
      <c r="H27" s="4">
        <f t="shared" si="5"/>
        <v>2.5</v>
      </c>
      <c r="I27" s="4">
        <f t="shared" si="6"/>
        <v>0.25</v>
      </c>
      <c r="J27" s="4"/>
      <c r="K27" s="4"/>
      <c r="L27" s="4"/>
      <c r="M27" s="4">
        <f t="shared" si="7"/>
        <v>19.473684210526315</v>
      </c>
      <c r="N27" s="4">
        <f t="shared" si="8"/>
        <v>23.94736842105263</v>
      </c>
      <c r="O27" s="32"/>
      <c r="P27" s="4">
        <f t="shared" si="9"/>
        <v>3.0526315789473699</v>
      </c>
      <c r="Q27" s="4">
        <f t="shared" si="13"/>
        <v>9.3185595567867132</v>
      </c>
      <c r="R27" s="4">
        <f t="shared" si="10"/>
        <v>5</v>
      </c>
      <c r="S27" s="4">
        <f t="shared" si="11"/>
        <v>25</v>
      </c>
      <c r="T27" s="4">
        <f t="shared" si="12"/>
        <v>1.9473684210526301</v>
      </c>
      <c r="U27" s="4">
        <f t="shared" si="14"/>
        <v>3.7922437673130136</v>
      </c>
      <c r="V27" s="4"/>
      <c r="W27" s="4"/>
      <c r="X27" s="4"/>
      <c r="Y27" s="32"/>
      <c r="Z27" s="4">
        <f>J32/AI24</f>
        <v>3.0517085657165932</v>
      </c>
      <c r="AA27" s="37">
        <f>IF(Z27&lt;0,_xlfn.T.INV(AF24,AA24),_xlfn.T.INV(1-AF24,AA24))</f>
        <v>2.776445105197793</v>
      </c>
      <c r="AB27" s="4" t="b">
        <f>IF(AA27&lt;0,Z27&lt;=AA27,Z27&gt;=AA27)</f>
        <v>1</v>
      </c>
      <c r="AC27" s="38">
        <f>IF(Z27&lt;0,TDIST(-Z27,AA24,1),TDIST(Z27,AA24,1))</f>
        <v>1.8982380275345625E-2</v>
      </c>
      <c r="AD27" s="39">
        <f>AC27*2</f>
        <v>3.796476055069125E-2</v>
      </c>
      <c r="AE27" s="14">
        <f>AE24</f>
        <v>5.0000000000000044E-2</v>
      </c>
      <c r="AF27" s="4" t="b">
        <f>AD27&lt;=AE27</f>
        <v>1</v>
      </c>
      <c r="AG27" s="40">
        <f>AA27*AI24</f>
        <v>3.5434324111999431</v>
      </c>
      <c r="AH27" s="40">
        <f>$J$32-$AG$27</f>
        <v>0.35130443090532015</v>
      </c>
      <c r="AI27" s="40">
        <f>$J$32+$AG$27</f>
        <v>7.4381692533052064</v>
      </c>
      <c r="AJ27" s="34"/>
      <c r="AK27" s="4"/>
    </row>
    <row r="28" spans="1:37">
      <c r="A28" s="2">
        <v>5</v>
      </c>
      <c r="B28" s="2">
        <v>6</v>
      </c>
      <c r="C28" s="2">
        <v>23</v>
      </c>
      <c r="D28" s="4"/>
      <c r="E28" s="4"/>
      <c r="F28" s="4">
        <f t="shared" si="3"/>
        <v>1.5</v>
      </c>
      <c r="G28" s="4">
        <f t="shared" si="4"/>
        <v>1</v>
      </c>
      <c r="H28" s="4">
        <f t="shared" si="5"/>
        <v>1.5</v>
      </c>
      <c r="I28" s="4">
        <f t="shared" si="6"/>
        <v>2.25</v>
      </c>
      <c r="J28" s="4"/>
      <c r="K28" s="4"/>
      <c r="L28" s="4"/>
      <c r="M28" s="4">
        <f t="shared" si="7"/>
        <v>23.368421052631579</v>
      </c>
      <c r="N28" s="4">
        <f t="shared" si="8"/>
        <v>27.842105263157894</v>
      </c>
      <c r="O28" s="32"/>
      <c r="P28" s="4">
        <f t="shared" si="9"/>
        <v>-4.8421052631578938</v>
      </c>
      <c r="Q28" s="4">
        <f t="shared" si="13"/>
        <v>23.445983379501374</v>
      </c>
      <c r="R28" s="4">
        <f t="shared" si="10"/>
        <v>1</v>
      </c>
      <c r="S28" s="4">
        <f t="shared" si="11"/>
        <v>1</v>
      </c>
      <c r="T28" s="4">
        <f t="shared" si="12"/>
        <v>5.8421052631578938</v>
      </c>
      <c r="U28" s="4">
        <f t="shared" si="14"/>
        <v>34.130193905817166</v>
      </c>
      <c r="V28" s="4"/>
      <c r="W28" s="4"/>
      <c r="X28" s="4"/>
      <c r="Y28" s="32"/>
      <c r="Z28" s="17" t="s">
        <v>71</v>
      </c>
      <c r="AA28" s="20"/>
      <c r="AB28" s="21"/>
      <c r="AC28" s="17" t="s">
        <v>58</v>
      </c>
      <c r="AD28" s="20"/>
      <c r="AE28" s="21"/>
    </row>
    <row r="29" spans="1:37" ht="107.5">
      <c r="A29" s="2">
        <v>6</v>
      </c>
      <c r="B29" s="2">
        <v>3</v>
      </c>
      <c r="C29" s="2">
        <v>19</v>
      </c>
      <c r="D29" s="4"/>
      <c r="E29" s="4"/>
      <c r="F29" s="4">
        <f t="shared" si="3"/>
        <v>-1.5</v>
      </c>
      <c r="G29" s="4">
        <f t="shared" si="4"/>
        <v>-3</v>
      </c>
      <c r="H29" s="4">
        <f t="shared" si="5"/>
        <v>4.5</v>
      </c>
      <c r="I29" s="4">
        <f t="shared" si="6"/>
        <v>2.25</v>
      </c>
      <c r="J29" s="4"/>
      <c r="K29" s="4"/>
      <c r="L29" s="4"/>
      <c r="M29" s="4">
        <f t="shared" si="7"/>
        <v>11.684210526315789</v>
      </c>
      <c r="N29" s="4">
        <f t="shared" si="8"/>
        <v>16.157894736842103</v>
      </c>
      <c r="O29" s="32"/>
      <c r="P29" s="4">
        <f t="shared" si="9"/>
        <v>2.8421052631578974</v>
      </c>
      <c r="Q29" s="4">
        <f t="shared" si="13"/>
        <v>8.0775623268698205</v>
      </c>
      <c r="R29" s="4">
        <f t="shared" si="10"/>
        <v>-3</v>
      </c>
      <c r="S29" s="4">
        <f t="shared" si="11"/>
        <v>9</v>
      </c>
      <c r="T29" s="4">
        <f t="shared" si="12"/>
        <v>-5.8421052631578974</v>
      </c>
      <c r="U29" s="4">
        <f t="shared" si="14"/>
        <v>34.130193905817208</v>
      </c>
      <c r="V29" s="4"/>
      <c r="W29" s="4"/>
      <c r="X29" s="4"/>
      <c r="Y29" s="32"/>
      <c r="Z29" s="41" t="s">
        <v>72</v>
      </c>
      <c r="AA29" s="42" t="s">
        <v>73</v>
      </c>
      <c r="AB29" s="5" t="s">
        <v>74</v>
      </c>
      <c r="AC29" s="11" t="s">
        <v>75</v>
      </c>
      <c r="AD29" s="4"/>
      <c r="AE29" s="11" t="s">
        <v>16</v>
      </c>
      <c r="AF29" s="5" t="s">
        <v>65</v>
      </c>
    </row>
    <row r="30" spans="1:3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2"/>
      <c r="P30" s="4"/>
      <c r="Q30" s="4"/>
      <c r="R30" s="4"/>
      <c r="S30" s="4"/>
      <c r="T30" s="4"/>
      <c r="U30" s="4"/>
      <c r="V30" s="4"/>
      <c r="W30" s="4"/>
      <c r="X30" s="4"/>
      <c r="Y30" s="32"/>
      <c r="Z30" s="17">
        <f>AJ24/AG24</f>
        <v>9.3129251700680271</v>
      </c>
      <c r="AA30" s="43">
        <f>_xlfn.F.INV.RT(AE24,1,AA24)</f>
        <v>7.7086474221767833</v>
      </c>
      <c r="AB30" s="4" t="b">
        <f>Z30&gt;=AA30</f>
        <v>1</v>
      </c>
      <c r="AC30" s="44">
        <f>_xlfn.F.DIST.RT(Z30,1,AA24)</f>
        <v>3.796476055069125E-2</v>
      </c>
      <c r="AD30" s="4"/>
      <c r="AE30" s="45">
        <f>AE24</f>
        <v>5.0000000000000044E-2</v>
      </c>
      <c r="AF30" s="4" t="b">
        <f>AC30&lt;=AE30</f>
        <v>1</v>
      </c>
    </row>
    <row r="31" spans="1:3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32"/>
      <c r="P31" s="4"/>
      <c r="Q31" s="4"/>
      <c r="R31" s="4"/>
      <c r="S31" s="4"/>
      <c r="T31" s="4"/>
      <c r="U31" s="4"/>
      <c r="V31" s="4"/>
      <c r="W31" s="4"/>
      <c r="X31" s="4"/>
      <c r="Y31" s="32"/>
      <c r="Z31" s="46" t="s">
        <v>76</v>
      </c>
      <c r="AA31" s="46"/>
      <c r="AB31" s="46"/>
      <c r="AC31" s="46"/>
      <c r="AD31" s="46"/>
      <c r="AE31" s="46"/>
      <c r="AF31" s="46"/>
      <c r="AG31" s="7"/>
      <c r="AH31" s="7"/>
      <c r="AI31" s="7"/>
    </row>
    <row r="32" spans="1:37">
      <c r="A32" s="47" t="s">
        <v>77</v>
      </c>
      <c r="B32" s="47">
        <f>SUM(B24:B31)</f>
        <v>27</v>
      </c>
      <c r="C32" s="47">
        <f>SUM(C24:C31)</f>
        <v>132</v>
      </c>
      <c r="D32" s="47">
        <f>AVERAGE(B24:B31)</f>
        <v>4.5</v>
      </c>
      <c r="E32" s="47">
        <f>AVERAGE(C24:C31)</f>
        <v>22</v>
      </c>
      <c r="F32" s="47"/>
      <c r="G32" s="47"/>
      <c r="H32" s="47">
        <f>SUM(H24:H31)</f>
        <v>37</v>
      </c>
      <c r="I32" s="47">
        <f>SUM(I24:I31)</f>
        <v>9.5</v>
      </c>
      <c r="J32" s="47">
        <f>H32/I32</f>
        <v>3.8947368421052633</v>
      </c>
      <c r="K32" s="47">
        <f>J32*D32</f>
        <v>17.526315789473685</v>
      </c>
      <c r="L32" s="47">
        <f>E32-K32</f>
        <v>4.473684210526315</v>
      </c>
      <c r="M32" s="47"/>
      <c r="N32" s="47"/>
      <c r="O32" s="48"/>
      <c r="P32" s="47"/>
      <c r="Q32" s="47">
        <f>SUM(Q24:Q31)</f>
        <v>61.894736842105274</v>
      </c>
      <c r="R32" s="47"/>
      <c r="S32" s="47">
        <f>SUM(S24:S31)</f>
        <v>206</v>
      </c>
      <c r="T32" s="4"/>
      <c r="U32" s="47">
        <f>SUM(U24:U31)</f>
        <v>144.10526315789477</v>
      </c>
      <c r="V32" s="47">
        <f>U32+Q32</f>
        <v>206.00000000000006</v>
      </c>
      <c r="W32" s="47">
        <f>U32/S32</f>
        <v>0.6995401124169649</v>
      </c>
      <c r="X32" s="47">
        <f>IF(J32&lt;0,-SQRT(W32),SQRT(W32))</f>
        <v>0.83638514598058522</v>
      </c>
      <c r="Y32" s="48"/>
    </row>
    <row r="33" spans="1:36" ht="81" thickBot="1">
      <c r="A33" s="4"/>
      <c r="B33" s="8" t="s">
        <v>78</v>
      </c>
      <c r="C33" s="8" t="s">
        <v>79</v>
      </c>
      <c r="D33" s="8" t="s">
        <v>80</v>
      </c>
      <c r="E33" s="49" t="s">
        <v>80</v>
      </c>
      <c r="F33" s="50"/>
      <c r="G33" s="50"/>
      <c r="H33" s="49" t="s">
        <v>81</v>
      </c>
      <c r="I33" s="49" t="s">
        <v>82</v>
      </c>
      <c r="J33" s="50"/>
      <c r="K33" s="50"/>
      <c r="L33" s="50"/>
      <c r="M33" s="50"/>
      <c r="N33" s="4"/>
      <c r="O33" s="51"/>
      <c r="P33" s="4"/>
      <c r="Q33" s="5" t="s">
        <v>83</v>
      </c>
      <c r="R33" s="4"/>
      <c r="S33" s="5" t="s">
        <v>84</v>
      </c>
      <c r="T33" s="4"/>
      <c r="U33" s="5" t="s">
        <v>85</v>
      </c>
      <c r="V33" s="4"/>
      <c r="W33" s="5" t="s">
        <v>86</v>
      </c>
      <c r="X33" s="5" t="s">
        <v>87</v>
      </c>
      <c r="Y33" s="51"/>
      <c r="Z33" s="3" t="s">
        <v>88</v>
      </c>
      <c r="AA33" s="5" t="s">
        <v>89</v>
      </c>
      <c r="AB33" s="5" t="s">
        <v>54</v>
      </c>
      <c r="AC33" s="4" t="s">
        <v>10</v>
      </c>
      <c r="AD33" s="8" t="s">
        <v>11</v>
      </c>
      <c r="AE33" s="8" t="s">
        <v>14</v>
      </c>
      <c r="AF33" s="8" t="s">
        <v>29</v>
      </c>
      <c r="AG33" s="3" t="s">
        <v>16</v>
      </c>
      <c r="AH33" s="52" t="s">
        <v>90</v>
      </c>
      <c r="AI33" s="10" t="s">
        <v>22</v>
      </c>
      <c r="AJ33" s="12" t="s">
        <v>91</v>
      </c>
    </row>
    <row r="34" spans="1:36" ht="16" thickTop="1" thickBot="1">
      <c r="A34" s="7"/>
      <c r="B34" s="53"/>
      <c r="C34" s="53"/>
      <c r="D34" s="54" t="s">
        <v>92</v>
      </c>
      <c r="E34" s="55"/>
      <c r="F34" s="56"/>
      <c r="G34" s="56"/>
      <c r="H34" s="57" t="s">
        <v>93</v>
      </c>
      <c r="I34" s="58"/>
      <c r="J34" s="59"/>
      <c r="K34" s="59"/>
      <c r="L34" s="59"/>
      <c r="M34" s="60"/>
      <c r="N34" s="26"/>
      <c r="O34" s="7"/>
      <c r="P34" s="7"/>
      <c r="Q34" s="61"/>
      <c r="R34" s="7"/>
      <c r="S34" s="61"/>
      <c r="T34" s="7"/>
      <c r="U34" s="61"/>
      <c r="V34" s="7"/>
      <c r="W34" s="61"/>
      <c r="X34" s="7"/>
      <c r="Y34" s="7"/>
      <c r="Z34" s="62">
        <v>5</v>
      </c>
      <c r="AA34" s="4">
        <f>N37</f>
        <v>23.94736842105263</v>
      </c>
      <c r="AB34" s="4">
        <f>AH24</f>
        <v>3.9336604086431151</v>
      </c>
      <c r="AC34" s="4">
        <f>A12</f>
        <v>6</v>
      </c>
      <c r="AD34" s="4">
        <f>B12</f>
        <v>27</v>
      </c>
      <c r="AE34" s="4">
        <f>E12</f>
        <v>131</v>
      </c>
      <c r="AF34" s="47">
        <f>D32</f>
        <v>4.5</v>
      </c>
      <c r="AG34" s="47">
        <f>G12</f>
        <v>0.05</v>
      </c>
      <c r="AH34" s="47">
        <f>AG34/2</f>
        <v>2.5000000000000001E-2</v>
      </c>
      <c r="AI34" s="14">
        <f>AC34-2</f>
        <v>4</v>
      </c>
      <c r="AJ34" s="63">
        <f>_xlfn.T.INV(1-AH34,AI34)</f>
        <v>2.776445105197793</v>
      </c>
    </row>
    <row r="35" spans="1:36" ht="41" customHeight="1" thickTop="1" thickBot="1">
      <c r="A35" s="7"/>
      <c r="B35" s="53"/>
      <c r="C35" s="53"/>
      <c r="D35" s="64"/>
      <c r="E35" s="65"/>
      <c r="F35" s="66"/>
      <c r="G35" s="65"/>
      <c r="H35" s="67" t="s">
        <v>94</v>
      </c>
      <c r="I35" s="68" t="s">
        <v>95</v>
      </c>
      <c r="J35" s="69">
        <f>L24</f>
        <v>4.473684210526315</v>
      </c>
      <c r="K35" s="70" t="s">
        <v>96</v>
      </c>
      <c r="L35" s="71">
        <f>J24</f>
        <v>3.8947368421052633</v>
      </c>
      <c r="M35" s="72" t="s">
        <v>88</v>
      </c>
      <c r="N35" s="7"/>
      <c r="O35" s="7"/>
      <c r="P35" s="7"/>
      <c r="Q35" s="61"/>
      <c r="R35" s="7"/>
      <c r="S35" s="61"/>
      <c r="T35" s="7"/>
      <c r="U35" s="61"/>
      <c r="V35" s="7"/>
      <c r="W35" s="61"/>
      <c r="X35" s="7"/>
      <c r="Y35" s="7"/>
      <c r="Z35" s="4" t="s">
        <v>97</v>
      </c>
      <c r="AA35" s="4"/>
      <c r="AB35" s="4"/>
      <c r="AC35" s="4"/>
      <c r="AD35" s="4" t="s">
        <v>98</v>
      </c>
      <c r="AE35" s="4" t="s">
        <v>99</v>
      </c>
    </row>
    <row r="36" spans="1:36" ht="41.5" thickTop="1">
      <c r="B36" s="73"/>
      <c r="C36" s="73"/>
      <c r="D36" s="73"/>
      <c r="E36" s="73"/>
      <c r="H36" s="73"/>
      <c r="I36" s="73"/>
      <c r="M36" s="5" t="s">
        <v>88</v>
      </c>
      <c r="N36" s="5" t="s">
        <v>89</v>
      </c>
      <c r="Z36" s="4">
        <f>(Z34-AF34)^2</f>
        <v>0.25</v>
      </c>
      <c r="AA36" s="4">
        <f>(E12)-((B12)^2/AC34)</f>
        <v>9.5</v>
      </c>
      <c r="AB36" s="4">
        <f>SQRT((1/AC34)+(Z36/AA36))</f>
        <v>0.43929768510697942</v>
      </c>
      <c r="AC36" s="4">
        <f>AJ34*AB34</f>
        <v>10.921592187087526</v>
      </c>
      <c r="AD36" s="4">
        <f>AA34-(AC36*AB36)</f>
        <v>19.149538255582605</v>
      </c>
      <c r="AE36" s="4">
        <f>AA34+(AC36*AB36)</f>
        <v>28.745198586522655</v>
      </c>
    </row>
    <row r="37" spans="1:36">
      <c r="M37" s="74">
        <v>5</v>
      </c>
      <c r="N37" s="4">
        <f>L32+(J32*M37)</f>
        <v>23.94736842105263</v>
      </c>
    </row>
    <row r="38" spans="1:36" ht="110">
      <c r="Z38" s="5" t="s">
        <v>100</v>
      </c>
      <c r="AA38" s="5" t="s">
        <v>101</v>
      </c>
      <c r="AB38" s="5" t="s">
        <v>29</v>
      </c>
      <c r="AC38" s="5" t="s">
        <v>102</v>
      </c>
      <c r="AD38" s="5" t="s">
        <v>103</v>
      </c>
      <c r="AE38" s="5" t="s">
        <v>104</v>
      </c>
      <c r="AF38" s="5" t="s">
        <v>105</v>
      </c>
      <c r="AG38" s="36" t="s">
        <v>61</v>
      </c>
      <c r="AH38" s="41" t="s">
        <v>106</v>
      </c>
      <c r="AI38" s="5" t="s">
        <v>107</v>
      </c>
      <c r="AJ38" s="5" t="s">
        <v>108</v>
      </c>
    </row>
    <row r="39" spans="1:36">
      <c r="F39" s="75"/>
      <c r="Z39" s="74">
        <v>5</v>
      </c>
      <c r="AA39" s="4">
        <f>L32+(J32*Z39)</f>
        <v>23.94736842105263</v>
      </c>
      <c r="AB39" s="5">
        <f>D32</f>
        <v>4.5</v>
      </c>
      <c r="AC39" s="4">
        <f>(Z39-AB39)^2</f>
        <v>0.25</v>
      </c>
      <c r="AD39" s="4">
        <f>((1/Z24)+(AC39/I32))</f>
        <v>0.19298245614035087</v>
      </c>
      <c r="AE39" s="5">
        <f>AG24*AD39</f>
        <v>2.986149584487535</v>
      </c>
      <c r="AF39" s="4">
        <f>AH24*SQRT(AD39)</f>
        <v>1.7280479115138951</v>
      </c>
      <c r="AG39" s="37">
        <f>AA27</f>
        <v>2.776445105197793</v>
      </c>
      <c r="AH39" s="76">
        <f>AG39*AF39</f>
        <v>4.7978301654700228</v>
      </c>
      <c r="AI39" s="77">
        <f>AA39-AH39</f>
        <v>19.149538255582605</v>
      </c>
      <c r="AJ39" s="77">
        <f>AA39+AH39</f>
        <v>28.745198586522655</v>
      </c>
    </row>
    <row r="40" spans="1:36">
      <c r="J40" s="61"/>
    </row>
    <row r="41" spans="1:36">
      <c r="AD41" s="1" t="s">
        <v>109</v>
      </c>
    </row>
    <row r="42" spans="1:36" ht="121.5"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D42" s="5" t="s">
        <v>110</v>
      </c>
      <c r="AE42" s="5" t="s">
        <v>111</v>
      </c>
      <c r="AF42" s="5" t="s">
        <v>112</v>
      </c>
      <c r="AG42" s="36" t="s">
        <v>61</v>
      </c>
      <c r="AH42" s="5" t="s">
        <v>113</v>
      </c>
      <c r="AI42" s="5" t="s">
        <v>107</v>
      </c>
      <c r="AJ42" s="5" t="s">
        <v>108</v>
      </c>
    </row>
    <row r="43" spans="1:36" ht="14.5">
      <c r="A43" t="s">
        <v>114</v>
      </c>
      <c r="B43"/>
      <c r="C43"/>
      <c r="D43"/>
      <c r="E43"/>
      <c r="F43"/>
      <c r="G43"/>
      <c r="H43"/>
      <c r="I43"/>
      <c r="K43" t="s">
        <v>114</v>
      </c>
      <c r="L43"/>
      <c r="N43" s="75"/>
      <c r="O43" s="75"/>
      <c r="R43" s="75"/>
      <c r="S43" s="75"/>
      <c r="T43" s="75"/>
      <c r="U43" s="75"/>
      <c r="V43" s="75"/>
      <c r="W43" s="75"/>
      <c r="X43" s="75"/>
      <c r="Y43" s="75"/>
      <c r="AD43" s="4">
        <f>1+AD39</f>
        <v>1.1929824561403508</v>
      </c>
      <c r="AE43" s="4">
        <f>AG24*AD43</f>
        <v>18.459833795013854</v>
      </c>
      <c r="AF43" s="4">
        <f>AH24*SQRT(AD43)</f>
        <v>4.2964908698860116</v>
      </c>
      <c r="AG43" s="37">
        <f>AA27</f>
        <v>2.776445105197793</v>
      </c>
      <c r="AH43" s="40">
        <f>AG43*AF43</f>
        <v>11.928971045222024</v>
      </c>
      <c r="AI43" s="77">
        <f>AA39-AH43</f>
        <v>12.018397375830606</v>
      </c>
      <c r="AJ43" s="77">
        <f>AA39+AH43</f>
        <v>35.876339466274658</v>
      </c>
    </row>
    <row r="44" spans="1:36" ht="15" thickBot="1">
      <c r="A44"/>
      <c r="B44"/>
      <c r="C44"/>
      <c r="D44"/>
      <c r="E44"/>
      <c r="F44"/>
      <c r="G44"/>
      <c r="H44"/>
      <c r="I44"/>
      <c r="K44"/>
      <c r="L44"/>
      <c r="N44" s="75"/>
      <c r="O44" s="75"/>
      <c r="R44" s="75"/>
      <c r="S44" s="75"/>
      <c r="T44" s="75"/>
      <c r="U44" s="75"/>
      <c r="V44" s="75"/>
      <c r="W44" s="75"/>
      <c r="X44" s="75"/>
      <c r="Y44" s="75"/>
      <c r="AD44" s="7"/>
      <c r="AE44" s="7"/>
      <c r="AF44" s="7"/>
      <c r="AG44" s="78"/>
      <c r="AH44" s="78"/>
      <c r="AI44" s="79"/>
      <c r="AJ44" s="79"/>
    </row>
    <row r="45" spans="1:36" ht="14.5">
      <c r="A45" s="80" t="s">
        <v>115</v>
      </c>
      <c r="B45" s="80"/>
      <c r="C45"/>
      <c r="D45"/>
      <c r="E45"/>
      <c r="F45"/>
      <c r="G45"/>
      <c r="H45"/>
      <c r="I45"/>
      <c r="K45" s="81" t="s">
        <v>115</v>
      </c>
      <c r="L45" s="82"/>
      <c r="N45" s="75"/>
      <c r="O45" s="75"/>
      <c r="R45" s="75"/>
      <c r="S45" s="75"/>
      <c r="T45" s="75"/>
      <c r="U45" s="75"/>
      <c r="V45" s="75"/>
      <c r="W45" s="75"/>
      <c r="X45" s="75"/>
      <c r="Y45" s="75"/>
      <c r="AD45" s="7"/>
      <c r="AE45" s="7"/>
      <c r="AF45" s="7"/>
      <c r="AG45" s="78"/>
      <c r="AH45" s="78"/>
      <c r="AI45" s="79"/>
      <c r="AJ45" s="79"/>
    </row>
    <row r="46" spans="1:36" ht="56">
      <c r="A46" s="83" t="s">
        <v>116</v>
      </c>
      <c r="B46" s="83">
        <v>0.93658581158169396</v>
      </c>
      <c r="C46"/>
      <c r="D46"/>
      <c r="E46"/>
      <c r="F46"/>
      <c r="G46"/>
      <c r="H46"/>
      <c r="I46"/>
      <c r="K46" s="5" t="s">
        <v>117</v>
      </c>
      <c r="L46" s="5">
        <f>X32</f>
        <v>0.83638514598058522</v>
      </c>
      <c r="N46" s="75"/>
      <c r="O46" s="75"/>
      <c r="V46" s="75"/>
      <c r="W46" s="75"/>
      <c r="X46" s="75"/>
      <c r="Y46" s="75"/>
      <c r="AD46" s="7"/>
      <c r="AE46" s="7"/>
      <c r="AF46" s="7"/>
      <c r="AG46" s="78"/>
      <c r="AH46" s="78"/>
      <c r="AI46" s="79"/>
      <c r="AJ46" s="79"/>
    </row>
    <row r="47" spans="1:36" ht="41">
      <c r="A47" s="83" t="s">
        <v>118</v>
      </c>
      <c r="B47" s="83">
        <v>0.8771929824561403</v>
      </c>
      <c r="C47"/>
      <c r="D47"/>
      <c r="E47"/>
      <c r="F47"/>
      <c r="G47"/>
      <c r="H47"/>
      <c r="I47"/>
      <c r="K47" s="5" t="s">
        <v>119</v>
      </c>
      <c r="L47" s="5">
        <f>W32</f>
        <v>0.6995401124169649</v>
      </c>
      <c r="N47" s="75"/>
      <c r="O47" s="75"/>
      <c r="V47" s="75"/>
      <c r="W47" s="75"/>
      <c r="X47" s="75"/>
      <c r="Y47" s="75"/>
      <c r="AD47" s="7"/>
      <c r="AE47" s="7"/>
      <c r="AF47" s="7"/>
      <c r="AG47" s="78"/>
      <c r="AH47" s="78"/>
      <c r="AI47" s="79"/>
      <c r="AJ47" s="79"/>
    </row>
    <row r="48" spans="1:36" ht="14.5">
      <c r="A48" s="83" t="s">
        <v>120</v>
      </c>
      <c r="B48" s="83">
        <v>0.83625730994152037</v>
      </c>
      <c r="C48"/>
      <c r="D48"/>
      <c r="E48"/>
      <c r="F48"/>
      <c r="G48"/>
      <c r="H48"/>
      <c r="I48"/>
      <c r="K48" s="5" t="s">
        <v>120</v>
      </c>
      <c r="L48" s="5"/>
      <c r="N48" s="75"/>
      <c r="O48" s="75"/>
      <c r="V48" s="75"/>
      <c r="AD48" s="7"/>
      <c r="AE48" s="7"/>
      <c r="AF48" s="7"/>
      <c r="AG48" s="78"/>
      <c r="AH48" s="78"/>
      <c r="AI48" s="79"/>
      <c r="AJ48" s="79"/>
    </row>
    <row r="49" spans="1:36" ht="39.5">
      <c r="A49" s="83" t="s">
        <v>121</v>
      </c>
      <c r="B49" s="83">
        <v>2.1602468994692869</v>
      </c>
      <c r="C49"/>
      <c r="D49"/>
      <c r="E49"/>
      <c r="F49"/>
      <c r="G49"/>
      <c r="H49"/>
      <c r="I49"/>
      <c r="K49" s="5" t="s">
        <v>122</v>
      </c>
      <c r="L49" s="5">
        <f>AH24</f>
        <v>3.9336604086431151</v>
      </c>
      <c r="N49" s="75"/>
      <c r="O49" s="75"/>
      <c r="V49" s="75"/>
      <c r="AD49" s="7"/>
      <c r="AE49" s="7"/>
      <c r="AF49" s="7"/>
      <c r="AG49" s="78"/>
      <c r="AH49" s="78"/>
      <c r="AI49" s="79"/>
      <c r="AJ49" s="79"/>
    </row>
    <row r="50" spans="1:36" ht="27" thickBot="1">
      <c r="A50" s="84" t="s">
        <v>123</v>
      </c>
      <c r="B50" s="84">
        <v>5</v>
      </c>
      <c r="C50"/>
      <c r="D50"/>
      <c r="E50"/>
      <c r="F50"/>
      <c r="G50"/>
      <c r="H50"/>
      <c r="I50"/>
      <c r="K50" s="5" t="s">
        <v>124</v>
      </c>
      <c r="L50" s="5">
        <f>Z24</f>
        <v>6</v>
      </c>
      <c r="N50" s="75"/>
      <c r="O50" s="75"/>
      <c r="V50" s="75"/>
      <c r="AD50" s="7"/>
      <c r="AE50" s="7"/>
      <c r="AF50" s="7"/>
      <c r="AG50" s="78"/>
      <c r="AH50" s="78"/>
      <c r="AI50" s="79"/>
      <c r="AJ50" s="79"/>
    </row>
    <row r="51" spans="1:36" ht="14.5">
      <c r="A51"/>
      <c r="B51"/>
      <c r="C51"/>
      <c r="D51"/>
      <c r="E51"/>
      <c r="F51"/>
      <c r="G51"/>
      <c r="H51"/>
      <c r="I51"/>
      <c r="N51" s="75"/>
      <c r="O51" s="75"/>
      <c r="V51" s="75"/>
      <c r="AD51" s="7"/>
      <c r="AE51" s="7"/>
      <c r="AF51" s="7"/>
      <c r="AG51" s="78"/>
      <c r="AH51" s="78"/>
      <c r="AI51" s="79"/>
      <c r="AJ51" s="79"/>
    </row>
    <row r="52" spans="1:36" ht="15" thickBot="1">
      <c r="A52" t="s">
        <v>125</v>
      </c>
      <c r="B52"/>
      <c r="C52"/>
      <c r="D52"/>
      <c r="E52"/>
      <c r="F52"/>
      <c r="G52"/>
      <c r="H52"/>
      <c r="I52"/>
      <c r="K52" s="1" t="s">
        <v>126</v>
      </c>
      <c r="O52" s="7"/>
      <c r="P52" s="7"/>
      <c r="S52" s="1" t="s">
        <v>126</v>
      </c>
      <c r="AF52" s="7"/>
      <c r="AG52" s="78"/>
      <c r="AH52" s="78"/>
      <c r="AI52" s="79"/>
      <c r="AJ52" s="79"/>
    </row>
    <row r="53" spans="1:36" ht="39.5">
      <c r="A53" s="85"/>
      <c r="B53" s="85" t="s">
        <v>127</v>
      </c>
      <c r="C53" s="85" t="s">
        <v>128</v>
      </c>
      <c r="D53" s="85" t="s">
        <v>129</v>
      </c>
      <c r="E53" s="85" t="s">
        <v>130</v>
      </c>
      <c r="F53" s="85" t="s">
        <v>131</v>
      </c>
      <c r="G53"/>
      <c r="H53"/>
      <c r="I53"/>
      <c r="K53" s="5" t="s">
        <v>132</v>
      </c>
      <c r="L53" s="5" t="s">
        <v>133</v>
      </c>
      <c r="M53" s="5" t="s">
        <v>134</v>
      </c>
      <c r="N53" s="5" t="s">
        <v>135</v>
      </c>
      <c r="O53" s="4"/>
      <c r="P53" s="5" t="s">
        <v>130</v>
      </c>
      <c r="Q53" s="5" t="s">
        <v>136</v>
      </c>
      <c r="S53" s="5" t="s">
        <v>132</v>
      </c>
      <c r="T53" s="5" t="s">
        <v>133</v>
      </c>
      <c r="U53" s="5" t="s">
        <v>134</v>
      </c>
      <c r="V53" s="5" t="s">
        <v>135</v>
      </c>
      <c r="W53" s="5" t="s">
        <v>130</v>
      </c>
      <c r="X53" s="5" t="s">
        <v>136</v>
      </c>
      <c r="Y53" s="75"/>
      <c r="AF53" s="7"/>
      <c r="AG53" s="78"/>
      <c r="AH53" s="78"/>
      <c r="AI53" s="79"/>
      <c r="AJ53" s="79"/>
    </row>
    <row r="54" spans="1:36" ht="78.5">
      <c r="A54" s="83" t="s">
        <v>137</v>
      </c>
      <c r="B54" s="83">
        <v>1</v>
      </c>
      <c r="C54" s="83">
        <v>100</v>
      </c>
      <c r="D54" s="83">
        <v>100</v>
      </c>
      <c r="E54" s="83">
        <v>21.428571428571427</v>
      </c>
      <c r="F54" s="83">
        <v>1.8986231249961436E-2</v>
      </c>
      <c r="G54"/>
      <c r="H54"/>
      <c r="I54"/>
      <c r="K54" s="5" t="s">
        <v>137</v>
      </c>
      <c r="L54" s="5">
        <v>1</v>
      </c>
      <c r="M54" s="5">
        <f>U32</f>
        <v>144.10526315789477</v>
      </c>
      <c r="N54" s="5">
        <f>AJ24</f>
        <v>144.10526315789477</v>
      </c>
      <c r="O54" s="4"/>
      <c r="P54" s="5">
        <f>Z30</f>
        <v>9.3129251700680271</v>
      </c>
      <c r="Q54" s="86">
        <f>AD27</f>
        <v>3.796476055069125E-2</v>
      </c>
      <c r="S54" s="5" t="s">
        <v>137</v>
      </c>
      <c r="T54" s="30">
        <v>1</v>
      </c>
      <c r="U54" s="5" t="s">
        <v>138</v>
      </c>
      <c r="V54" s="5" t="s">
        <v>139</v>
      </c>
      <c r="W54" s="5" t="s">
        <v>140</v>
      </c>
      <c r="X54" s="11" t="s">
        <v>75</v>
      </c>
      <c r="Y54" s="75"/>
      <c r="AF54" s="7"/>
      <c r="AG54" s="78"/>
      <c r="AH54" s="78"/>
      <c r="AI54" s="79"/>
      <c r="AJ54" s="79"/>
    </row>
    <row r="55" spans="1:36" ht="26.5">
      <c r="A55" s="83" t="s">
        <v>141</v>
      </c>
      <c r="B55" s="83">
        <v>3</v>
      </c>
      <c r="C55" s="83">
        <v>14.000000000000002</v>
      </c>
      <c r="D55" s="83">
        <v>4.666666666666667</v>
      </c>
      <c r="E55" s="83"/>
      <c r="F55" s="83"/>
      <c r="G55"/>
      <c r="H55"/>
      <c r="I55"/>
      <c r="K55" s="5" t="s">
        <v>142</v>
      </c>
      <c r="L55" s="5">
        <f>AA24</f>
        <v>4</v>
      </c>
      <c r="M55" s="5">
        <f>Q32</f>
        <v>61.894736842105274</v>
      </c>
      <c r="N55" s="5">
        <f>AG24</f>
        <v>15.473684210526319</v>
      </c>
      <c r="O55" s="4"/>
      <c r="P55" s="5"/>
      <c r="Q55" s="5"/>
      <c r="S55" s="5" t="s">
        <v>142</v>
      </c>
      <c r="T55" s="5" t="s">
        <v>143</v>
      </c>
      <c r="U55" s="5" t="s">
        <v>144</v>
      </c>
      <c r="V55" s="5" t="s">
        <v>145</v>
      </c>
      <c r="W55" s="5"/>
      <c r="X55" s="5"/>
      <c r="Y55" s="75"/>
      <c r="AF55" s="7"/>
      <c r="AG55" s="78"/>
      <c r="AH55" s="78"/>
      <c r="AI55" s="79"/>
      <c r="AJ55" s="79"/>
    </row>
    <row r="56" spans="1:36" ht="15" thickBot="1">
      <c r="A56" s="84" t="s">
        <v>146</v>
      </c>
      <c r="B56" s="84">
        <v>4</v>
      </c>
      <c r="C56" s="84">
        <v>114</v>
      </c>
      <c r="D56" s="84"/>
      <c r="E56" s="84"/>
      <c r="F56" s="84"/>
      <c r="G56"/>
      <c r="H56"/>
      <c r="I56"/>
      <c r="K56" s="5" t="s">
        <v>146</v>
      </c>
      <c r="L56" s="5">
        <f>L54+L55</f>
        <v>5</v>
      </c>
      <c r="M56" s="5">
        <f>S32</f>
        <v>206</v>
      </c>
      <c r="N56" s="5"/>
      <c r="O56" s="4"/>
      <c r="P56" s="5"/>
      <c r="Q56" s="5"/>
      <c r="S56" s="5" t="s">
        <v>146</v>
      </c>
      <c r="T56" s="5" t="s">
        <v>147</v>
      </c>
      <c r="U56" s="5" t="s">
        <v>148</v>
      </c>
      <c r="V56" s="5"/>
      <c r="W56" s="5"/>
      <c r="X56" s="5"/>
      <c r="Y56" s="75"/>
      <c r="AF56" s="7"/>
      <c r="AG56" s="78"/>
      <c r="AH56" s="78"/>
      <c r="AI56" s="79"/>
      <c r="AJ56" s="79"/>
    </row>
    <row r="57" spans="1:36" ht="15" thickBot="1">
      <c r="A57"/>
      <c r="B57"/>
      <c r="C57"/>
      <c r="D57"/>
      <c r="E57"/>
      <c r="F57"/>
      <c r="G57"/>
      <c r="H57"/>
      <c r="I57"/>
      <c r="N57" s="75"/>
      <c r="P57" s="75"/>
      <c r="W57" s="75"/>
      <c r="X57" s="75"/>
      <c r="Y57" s="75"/>
      <c r="Z57" s="75"/>
      <c r="AA57" s="75"/>
      <c r="AB57" s="75"/>
      <c r="AF57" s="7"/>
      <c r="AG57" s="78"/>
      <c r="AH57" s="78"/>
      <c r="AI57" s="79"/>
      <c r="AJ57" s="79"/>
    </row>
    <row r="58" spans="1:36" ht="29">
      <c r="A58" s="85"/>
      <c r="B58" s="87" t="s">
        <v>149</v>
      </c>
      <c r="C58" s="87" t="s">
        <v>121</v>
      </c>
      <c r="D58" s="87" t="s">
        <v>150</v>
      </c>
      <c r="E58" s="87" t="s">
        <v>151</v>
      </c>
      <c r="F58" s="87" t="s">
        <v>152</v>
      </c>
      <c r="G58" s="87" t="s">
        <v>153</v>
      </c>
      <c r="H58" s="87" t="s">
        <v>154</v>
      </c>
      <c r="I58" s="87" t="s">
        <v>155</v>
      </c>
      <c r="K58" s="5"/>
      <c r="L58" s="5" t="s">
        <v>149</v>
      </c>
      <c r="M58" s="5" t="s">
        <v>121</v>
      </c>
      <c r="N58" s="5" t="s">
        <v>150</v>
      </c>
      <c r="O58" s="4"/>
      <c r="P58" s="5" t="s">
        <v>156</v>
      </c>
      <c r="S58" s="5"/>
      <c r="T58" s="5" t="s">
        <v>149</v>
      </c>
      <c r="U58" s="5" t="s">
        <v>121</v>
      </c>
      <c r="V58" s="5" t="s">
        <v>150</v>
      </c>
      <c r="W58" s="5" t="s">
        <v>156</v>
      </c>
      <c r="Y58" s="75"/>
      <c r="AD58" s="7"/>
      <c r="AE58" s="7"/>
      <c r="AF58" s="7"/>
      <c r="AG58" s="78"/>
      <c r="AH58" s="78"/>
      <c r="AI58" s="79"/>
      <c r="AJ58" s="79"/>
    </row>
    <row r="59" spans="1:36" ht="15">
      <c r="A59" s="83" t="s">
        <v>157</v>
      </c>
      <c r="B59" s="83">
        <v>10</v>
      </c>
      <c r="C59" s="83">
        <v>2.3664319132398464</v>
      </c>
      <c r="D59" s="83">
        <v>4.2257712736425832</v>
      </c>
      <c r="E59" s="83">
        <v>2.4236011770214717E-2</v>
      </c>
      <c r="F59" s="83">
        <v>2.4689575010043923</v>
      </c>
      <c r="G59" s="83">
        <v>17.531042498995607</v>
      </c>
      <c r="H59" s="83">
        <v>2.4689575010043923</v>
      </c>
      <c r="I59" s="83">
        <v>17.531042498995607</v>
      </c>
      <c r="K59" s="5" t="s">
        <v>158</v>
      </c>
      <c r="L59" s="5">
        <f>L32</f>
        <v>4.473684210526315</v>
      </c>
      <c r="M59" s="5"/>
      <c r="N59" s="5"/>
      <c r="O59" s="4"/>
      <c r="P59" s="5"/>
      <c r="S59" s="5" t="s">
        <v>158</v>
      </c>
      <c r="T59" s="5" t="s">
        <v>159</v>
      </c>
      <c r="U59" s="5"/>
      <c r="V59" s="5"/>
      <c r="W59" s="5"/>
      <c r="Y59" s="75"/>
      <c r="AD59" s="7"/>
      <c r="AE59" s="7"/>
      <c r="AF59" s="7"/>
      <c r="AG59" s="78"/>
      <c r="AH59" s="78"/>
      <c r="AI59" s="79"/>
      <c r="AJ59" s="79"/>
    </row>
    <row r="60" spans="1:36" ht="54" thickBot="1">
      <c r="A60" s="84" t="s">
        <v>160</v>
      </c>
      <c r="B60" s="84">
        <v>5</v>
      </c>
      <c r="C60" s="84">
        <v>1.0801234497346435</v>
      </c>
      <c r="D60" s="84">
        <v>4.6291004988627567</v>
      </c>
      <c r="E60" s="84">
        <v>1.8986231249961436E-2</v>
      </c>
      <c r="F60" s="84">
        <v>1.56256511814169</v>
      </c>
      <c r="G60" s="84">
        <v>8.4374348818583105</v>
      </c>
      <c r="H60" s="84">
        <v>1.56256511814169</v>
      </c>
      <c r="I60" s="84">
        <v>8.4374348818583105</v>
      </c>
      <c r="K60" s="5" t="s">
        <v>161</v>
      </c>
      <c r="L60" s="5">
        <f>J32</f>
        <v>3.8947368421052633</v>
      </c>
      <c r="M60" s="5">
        <f>AI24</f>
        <v>1.2762479634718045</v>
      </c>
      <c r="N60" s="5">
        <f>Z27</f>
        <v>3.0517085657165932</v>
      </c>
      <c r="O60" s="4"/>
      <c r="P60" s="86">
        <f>AD27</f>
        <v>3.796476055069125E-2</v>
      </c>
      <c r="S60" s="5" t="s">
        <v>161</v>
      </c>
      <c r="T60" s="5" t="s">
        <v>162</v>
      </c>
      <c r="U60" s="34" t="s">
        <v>163</v>
      </c>
      <c r="V60" s="5" t="s">
        <v>164</v>
      </c>
      <c r="W60" s="5" t="s">
        <v>165</v>
      </c>
      <c r="Y60" s="75"/>
      <c r="AD60" s="7"/>
      <c r="AE60" s="7"/>
      <c r="AF60" s="7"/>
      <c r="AG60" s="78"/>
      <c r="AH60" s="78"/>
      <c r="AI60" s="79"/>
      <c r="AJ60" s="79"/>
    </row>
    <row r="61" spans="1:36" ht="14.5">
      <c r="A61"/>
      <c r="B61"/>
      <c r="C61"/>
      <c r="D61"/>
      <c r="E61"/>
      <c r="F61"/>
      <c r="G61"/>
      <c r="H61"/>
      <c r="I61"/>
      <c r="N61" s="75"/>
      <c r="O61" s="75"/>
      <c r="V61" s="75"/>
      <c r="W61" s="75"/>
      <c r="X61" s="75"/>
      <c r="Y61" s="75"/>
      <c r="AD61" s="7"/>
      <c r="AE61" s="7"/>
      <c r="AF61" s="7"/>
      <c r="AG61" s="78"/>
      <c r="AH61" s="78"/>
      <c r="AI61" s="79"/>
      <c r="AJ61" s="79"/>
    </row>
    <row r="62" spans="1:36" ht="14.5">
      <c r="A62"/>
      <c r="B62"/>
      <c r="C62"/>
      <c r="D62"/>
      <c r="E62"/>
      <c r="F62"/>
      <c r="G62"/>
      <c r="H62"/>
      <c r="I62"/>
      <c r="N62"/>
      <c r="O62"/>
      <c r="P62"/>
      <c r="Q62"/>
      <c r="R62"/>
    </row>
    <row r="63" spans="1:36" ht="14.5">
      <c r="A63"/>
      <c r="B63"/>
      <c r="C63"/>
      <c r="D63"/>
      <c r="E63"/>
      <c r="F63"/>
      <c r="G63"/>
      <c r="H63"/>
      <c r="I63"/>
    </row>
    <row r="64" spans="1:36" ht="14.5">
      <c r="A64" t="s">
        <v>166</v>
      </c>
      <c r="B64"/>
      <c r="C64"/>
      <c r="D64"/>
      <c r="E64"/>
      <c r="F64"/>
      <c r="G64"/>
      <c r="H64"/>
      <c r="I64"/>
    </row>
    <row r="65" spans="1:9" ht="15" thickBot="1">
      <c r="A65"/>
      <c r="B65"/>
      <c r="C65"/>
      <c r="D65"/>
      <c r="E65"/>
      <c r="F65"/>
      <c r="G65"/>
      <c r="H65"/>
      <c r="I65"/>
    </row>
    <row r="66" spans="1:9" ht="14.5">
      <c r="A66" s="85" t="s">
        <v>167</v>
      </c>
      <c r="B66" s="85" t="s">
        <v>168</v>
      </c>
      <c r="C66" s="85" t="s">
        <v>169</v>
      </c>
      <c r="D66"/>
      <c r="E66"/>
      <c r="F66"/>
      <c r="G66"/>
      <c r="H66"/>
      <c r="I66"/>
    </row>
    <row r="67" spans="1:9" ht="14.5">
      <c r="A67" s="83">
        <v>1</v>
      </c>
      <c r="B67" s="83">
        <v>15</v>
      </c>
      <c r="C67" s="83">
        <v>-1</v>
      </c>
      <c r="D67"/>
      <c r="E67"/>
      <c r="F67"/>
      <c r="G67"/>
      <c r="H67"/>
      <c r="I67"/>
    </row>
    <row r="68" spans="1:9" ht="14.5">
      <c r="A68" s="83">
        <v>2</v>
      </c>
      <c r="B68" s="83">
        <v>25</v>
      </c>
      <c r="C68" s="83">
        <v>-1</v>
      </c>
      <c r="D68"/>
      <c r="E68"/>
      <c r="F68"/>
      <c r="G68"/>
      <c r="H68"/>
      <c r="I68"/>
    </row>
    <row r="69" spans="1:9" ht="14.5">
      <c r="A69" s="83">
        <v>3</v>
      </c>
      <c r="B69" s="83">
        <v>20</v>
      </c>
      <c r="C69" s="83">
        <v>-2</v>
      </c>
      <c r="D69"/>
      <c r="E69"/>
      <c r="F69"/>
      <c r="G69"/>
      <c r="H69"/>
      <c r="I69"/>
    </row>
    <row r="70" spans="1:9" ht="14.5">
      <c r="A70" s="83">
        <v>4</v>
      </c>
      <c r="B70" s="83">
        <v>15</v>
      </c>
      <c r="C70" s="83">
        <v>2</v>
      </c>
      <c r="D70"/>
      <c r="E70"/>
      <c r="F70"/>
      <c r="G70"/>
      <c r="H70"/>
      <c r="I70"/>
    </row>
    <row r="71" spans="1:9" ht="15" thickBot="1">
      <c r="A71" s="84">
        <v>5</v>
      </c>
      <c r="B71" s="84">
        <v>25</v>
      </c>
      <c r="C71" s="84">
        <v>2</v>
      </c>
      <c r="D71"/>
      <c r="E71"/>
      <c r="F71"/>
      <c r="G71"/>
      <c r="H71"/>
      <c r="I71"/>
    </row>
  </sheetData>
  <mergeCells count="1">
    <mergeCell ref="K45:L4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7</xdr:col>
                <xdr:colOff>120650</xdr:colOff>
                <xdr:row>16</xdr:row>
                <xdr:rowOff>57150</xdr:rowOff>
              </from>
              <to>
                <xdr:col>10</xdr:col>
                <xdr:colOff>6350</xdr:colOff>
                <xdr:row>21</xdr:row>
                <xdr:rowOff>101600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11</xdr:col>
                <xdr:colOff>0</xdr:colOff>
                <xdr:row>16</xdr:row>
                <xdr:rowOff>44450</xdr:rowOff>
              </from>
              <to>
                <xdr:col>13</xdr:col>
                <xdr:colOff>577850</xdr:colOff>
                <xdr:row>21</xdr:row>
                <xdr:rowOff>107950</xdr:rowOff>
              </to>
            </anchor>
          </objectPr>
        </oleObject>
      </mc:Choice>
      <mc:Fallback>
        <oleObject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Ch14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Min Jin</dc:creator>
  <cp:lastModifiedBy>Kim, Min Jin</cp:lastModifiedBy>
  <dcterms:created xsi:type="dcterms:W3CDTF">2022-04-14T02:24:53Z</dcterms:created>
  <dcterms:modified xsi:type="dcterms:W3CDTF">2022-04-14T02:26:04Z</dcterms:modified>
</cp:coreProperties>
</file>