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wnloads/"/>
    </mc:Choice>
  </mc:AlternateContent>
  <xr:revisionPtr revIDLastSave="0" documentId="13_ncr:1_{8F71A8EE-54A8-DF4D-A5B3-BA2101220C9C}" xr6:coauthVersionLast="47" xr6:coauthVersionMax="47" xr10:uidLastSave="{00000000-0000-0000-0000-000000000000}"/>
  <bookViews>
    <workbookView xWindow="45640" yWindow="8480" windowWidth="54420" windowHeight="21780" tabRatio="500" activeTab="2" xr2:uid="{00000000-000D-0000-FFFF-FFFF00000000}"/>
  </bookViews>
  <sheets>
    <sheet name="Steel EI_per_Fe_Ton" sheetId="1" r:id="rId1"/>
    <sheet name="Steel Fe_tons" sheetId="2" r:id="rId2"/>
    <sheet name="Steel CO2e S1" sheetId="3" r:id="rId3"/>
    <sheet name="Steel CO2e S2" sheetId="4" r:id="rId4"/>
    <sheet name="Steel CO2e S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2" i="3" l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Y2" i="1"/>
  <c r="X2" i="1"/>
  <c r="W2" i="1"/>
  <c r="V2" i="1"/>
  <c r="U2" i="1"/>
  <c r="T2" i="1"/>
  <c r="S2" i="1"/>
  <c r="R2" i="1"/>
  <c r="Q2" i="1"/>
  <c r="P2" i="1"/>
  <c r="O2" i="1"/>
  <c r="N2" i="1"/>
  <c r="M2" i="1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I16" i="4" l="1"/>
  <c r="J16" i="4"/>
  <c r="I16" i="1"/>
  <c r="J16" i="1"/>
  <c r="I16" i="5"/>
  <c r="J16" i="5"/>
  <c r="U16" i="3"/>
  <c r="H7" i="4"/>
  <c r="G7" i="4"/>
  <c r="F7" i="4"/>
  <c r="E7" i="4"/>
  <c r="I7" i="4"/>
  <c r="H7" i="3"/>
  <c r="G7" i="3"/>
  <c r="F7" i="3"/>
  <c r="E7" i="3"/>
  <c r="I7" i="3"/>
  <c r="G18" i="5"/>
  <c r="F18" i="5" s="1"/>
  <c r="E18" i="5" s="1"/>
  <c r="G15" i="5"/>
  <c r="F15" i="5" s="1"/>
  <c r="E15" i="5" s="1"/>
  <c r="U3" i="1" l="1"/>
  <c r="K3" i="1"/>
  <c r="H3" i="1"/>
  <c r="G3" i="1"/>
  <c r="F3" i="1"/>
  <c r="E3" i="1"/>
  <c r="AO3" i="4"/>
  <c r="U3" i="4"/>
  <c r="AN3" i="4" s="1"/>
  <c r="J3" i="4"/>
  <c r="J3" i="1" s="1"/>
  <c r="I3" i="4"/>
  <c r="I3" i="1" s="1"/>
  <c r="H3" i="4"/>
  <c r="G3" i="4"/>
  <c r="F3" i="4"/>
  <c r="E3" i="4"/>
  <c r="K3" i="4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L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E3" i="2"/>
  <c r="F3" i="2"/>
  <c r="G3" i="2"/>
  <c r="H3" i="2"/>
  <c r="I3" i="2"/>
  <c r="J3" i="2"/>
  <c r="K3" i="2"/>
  <c r="U3" i="3"/>
  <c r="V3" i="3" s="1"/>
  <c r="U3" i="5"/>
  <c r="AN3" i="5" s="1"/>
  <c r="AM3" i="3"/>
  <c r="AL3" i="3"/>
  <c r="AK3" i="3"/>
  <c r="AJ3" i="3"/>
  <c r="AI3" i="3"/>
  <c r="AH3" i="3"/>
  <c r="W3" i="3"/>
  <c r="T3" i="3"/>
  <c r="S3" i="3"/>
  <c r="R3" i="3"/>
  <c r="Q3" i="3"/>
  <c r="P3" i="3"/>
  <c r="O3" i="3"/>
  <c r="N3" i="3"/>
  <c r="M3" i="3"/>
  <c r="L3" i="3"/>
  <c r="K3" i="3"/>
  <c r="K3" i="5"/>
  <c r="K26" i="4"/>
  <c r="J26" i="4"/>
  <c r="I26" i="4"/>
  <c r="U26" i="4" s="1"/>
  <c r="AN26" i="4" s="1"/>
  <c r="H26" i="4"/>
  <c r="G26" i="4"/>
  <c r="F26" i="4"/>
  <c r="E26" i="4" s="1"/>
  <c r="K26" i="3"/>
  <c r="J26" i="3"/>
  <c r="I26" i="3"/>
  <c r="U26" i="3" s="1"/>
  <c r="AN26" i="3" s="1"/>
  <c r="H26" i="3"/>
  <c r="G26" i="3"/>
  <c r="F26" i="3"/>
  <c r="E26" i="3" s="1"/>
  <c r="G24" i="4"/>
  <c r="K24" i="3"/>
  <c r="J24" i="3"/>
  <c r="G24" i="3"/>
  <c r="F24" i="3" s="1"/>
  <c r="E24" i="3" s="1"/>
  <c r="H24" i="3"/>
  <c r="I24" i="3"/>
  <c r="U24" i="3" s="1"/>
  <c r="AN24" i="2"/>
  <c r="AM24" i="2"/>
  <c r="AL24" i="2"/>
  <c r="AK24" i="2"/>
  <c r="AJ24" i="2"/>
  <c r="AI24" i="2"/>
  <c r="AH24" i="2"/>
  <c r="AG24" i="2"/>
  <c r="T24" i="2"/>
  <c r="S24" i="2"/>
  <c r="R24" i="2"/>
  <c r="Q24" i="2"/>
  <c r="J24" i="2"/>
  <c r="AF24" i="2" s="1"/>
  <c r="K24" i="2"/>
  <c r="I24" i="2"/>
  <c r="H24" i="2" s="1"/>
  <c r="G24" i="2" s="1"/>
  <c r="F24" i="2" s="1"/>
  <c r="E24" i="2" s="1"/>
  <c r="H22" i="4"/>
  <c r="G22" i="4"/>
  <c r="F22" i="4" s="1"/>
  <c r="E22" i="4" s="1"/>
  <c r="H22" i="3"/>
  <c r="H21" i="3"/>
  <c r="G21" i="3" s="1"/>
  <c r="F21" i="3" s="1"/>
  <c r="E21" i="3" s="1"/>
  <c r="H21" i="4"/>
  <c r="G21" i="4" s="1"/>
  <c r="F21" i="4" s="1"/>
  <c r="E21" i="4" s="1"/>
  <c r="H21" i="5"/>
  <c r="G21" i="5" s="1"/>
  <c r="F21" i="5" s="1"/>
  <c r="E21" i="5" s="1"/>
  <c r="U21" i="5"/>
  <c r="R21" i="5" s="1"/>
  <c r="P21" i="5"/>
  <c r="O21" i="5"/>
  <c r="L21" i="5"/>
  <c r="R20" i="3"/>
  <c r="Q20" i="3"/>
  <c r="P20" i="3"/>
  <c r="O20" i="3"/>
  <c r="N20" i="3"/>
  <c r="M20" i="3"/>
  <c r="T7" i="4"/>
  <c r="S7" i="4"/>
  <c r="R7" i="4"/>
  <c r="Q7" i="4"/>
  <c r="P7" i="4"/>
  <c r="O7" i="4"/>
  <c r="N7" i="4"/>
  <c r="M7" i="4"/>
  <c r="L7" i="4"/>
  <c r="R7" i="1"/>
  <c r="T7" i="3"/>
  <c r="S7" i="3"/>
  <c r="R7" i="3"/>
  <c r="Q7" i="3"/>
  <c r="P7" i="3"/>
  <c r="O7" i="3"/>
  <c r="N7" i="3"/>
  <c r="M7" i="3"/>
  <c r="L7" i="3"/>
  <c r="U21" i="4"/>
  <c r="AN21" i="4" s="1"/>
  <c r="AM21" i="3"/>
  <c r="AL21" i="3"/>
  <c r="AK21" i="3"/>
  <c r="AJ21" i="3"/>
  <c r="U21" i="3"/>
  <c r="T21" i="3" s="1"/>
  <c r="K23" i="2"/>
  <c r="K21" i="1" s="1"/>
  <c r="J23" i="2"/>
  <c r="I23" i="2"/>
  <c r="L20" i="1"/>
  <c r="K20" i="1"/>
  <c r="J20" i="1"/>
  <c r="I20" i="1" s="1"/>
  <c r="H20" i="1" s="1"/>
  <c r="G20" i="1" s="1"/>
  <c r="F20" i="1" s="1"/>
  <c r="E20" i="1" s="1"/>
  <c r="E22" i="2"/>
  <c r="F22" i="2"/>
  <c r="G22" i="2"/>
  <c r="H22" i="2"/>
  <c r="I22" i="2"/>
  <c r="U20" i="5"/>
  <c r="T20" i="5" s="1"/>
  <c r="M20" i="5"/>
  <c r="U20" i="4"/>
  <c r="AN20" i="4" s="1"/>
  <c r="AM20" i="3"/>
  <c r="U20" i="3"/>
  <c r="AC20" i="3" s="1"/>
  <c r="K18" i="1"/>
  <c r="U18" i="1"/>
  <c r="J18" i="1"/>
  <c r="J19" i="4"/>
  <c r="I19" i="4"/>
  <c r="H19" i="4"/>
  <c r="U19" i="4" s="1"/>
  <c r="AN19" i="4" s="1"/>
  <c r="J19" i="3"/>
  <c r="I19" i="3"/>
  <c r="I19" i="1" s="1"/>
  <c r="H19" i="3"/>
  <c r="G19" i="3" s="1"/>
  <c r="F19" i="3" s="1"/>
  <c r="E19" i="3" s="1"/>
  <c r="G18" i="1"/>
  <c r="F18" i="1"/>
  <c r="E18" i="1"/>
  <c r="AC18" i="3"/>
  <c r="AB18" i="3"/>
  <c r="AA18" i="3"/>
  <c r="S18" i="5"/>
  <c r="R18" i="5"/>
  <c r="O18" i="5"/>
  <c r="N18" i="5"/>
  <c r="M18" i="5"/>
  <c r="L18" i="5"/>
  <c r="AE18" i="5"/>
  <c r="AN18" i="5" s="1"/>
  <c r="AE18" i="4"/>
  <c r="AA18" i="4" s="1"/>
  <c r="AN18" i="3"/>
  <c r="AM18" i="3"/>
  <c r="AL18" i="3"/>
  <c r="AK18" i="3"/>
  <c r="AJ18" i="3"/>
  <c r="AI18" i="3"/>
  <c r="AE18" i="3"/>
  <c r="AH18" i="3" s="1"/>
  <c r="U18" i="5"/>
  <c r="U18" i="3"/>
  <c r="Z18" i="3" s="1"/>
  <c r="U18" i="4"/>
  <c r="M18" i="4"/>
  <c r="L18" i="4"/>
  <c r="T18" i="3"/>
  <c r="S18" i="3"/>
  <c r="R18" i="3"/>
  <c r="Q18" i="3"/>
  <c r="I18" i="1"/>
  <c r="H18" i="1"/>
  <c r="K16" i="1"/>
  <c r="U7" i="1"/>
  <c r="T7" i="1"/>
  <c r="S7" i="1"/>
  <c r="U15" i="3"/>
  <c r="AD15" i="3" s="1"/>
  <c r="T15" i="3"/>
  <c r="S15" i="3"/>
  <c r="G15" i="3"/>
  <c r="F15" i="3" s="1"/>
  <c r="E15" i="3" s="1"/>
  <c r="G15" i="4"/>
  <c r="F15" i="4" s="1"/>
  <c r="E15" i="4" s="1"/>
  <c r="U15" i="4"/>
  <c r="T15" i="4"/>
  <c r="AK7" i="4"/>
  <c r="AK7" i="1" s="1"/>
  <c r="AJ7" i="4"/>
  <c r="AJ7" i="1" s="1"/>
  <c r="AI7" i="4"/>
  <c r="AH7" i="4"/>
  <c r="AH7" i="1" s="1"/>
  <c r="AG7" i="4"/>
  <c r="AF7" i="4"/>
  <c r="AE7" i="4"/>
  <c r="AD7" i="4"/>
  <c r="AC7" i="4"/>
  <c r="U7" i="4"/>
  <c r="AB7" i="4" s="1"/>
  <c r="AN7" i="3"/>
  <c r="AM7" i="3"/>
  <c r="AL7" i="3"/>
  <c r="AK7" i="3"/>
  <c r="AJ7" i="3"/>
  <c r="AI7" i="3"/>
  <c r="AH7" i="3"/>
  <c r="AG7" i="3"/>
  <c r="AF7" i="3"/>
  <c r="AE7" i="3"/>
  <c r="AD7" i="3"/>
  <c r="U7" i="3"/>
  <c r="AC7" i="3" s="1"/>
  <c r="K15" i="1"/>
  <c r="J15" i="1"/>
  <c r="I15" i="1"/>
  <c r="H15" i="1"/>
  <c r="G15" i="1" s="1"/>
  <c r="K15" i="5"/>
  <c r="J15" i="5"/>
  <c r="I15" i="5"/>
  <c r="H15" i="5"/>
  <c r="U15" i="5" s="1"/>
  <c r="AN15" i="5" s="1"/>
  <c r="K7" i="1"/>
  <c r="J7" i="1"/>
  <c r="L9" i="2"/>
  <c r="W4" i="3"/>
  <c r="I4" i="3"/>
  <c r="H4" i="3" s="1"/>
  <c r="G4" i="3" s="1"/>
  <c r="F4" i="3" s="1"/>
  <c r="E4" i="3" s="1"/>
  <c r="L4" i="1"/>
  <c r="K4" i="1"/>
  <c r="J4" i="1"/>
  <c r="I4" i="1" s="1"/>
  <c r="U22" i="5"/>
  <c r="H20" i="5"/>
  <c r="G20" i="5" s="1"/>
  <c r="F20" i="5" s="1"/>
  <c r="E20" i="5" s="1"/>
  <c r="H16" i="5"/>
  <c r="U16" i="5" s="1"/>
  <c r="F1" i="5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U22" i="4"/>
  <c r="T22" i="4" s="1"/>
  <c r="H20" i="4"/>
  <c r="G20" i="4" s="1"/>
  <c r="F20" i="4" s="1"/>
  <c r="E20" i="4" s="1"/>
  <c r="H16" i="4"/>
  <c r="U16" i="4" s="1"/>
  <c r="U4" i="4"/>
  <c r="T4" i="4" s="1"/>
  <c r="F1" i="4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H20" i="3"/>
  <c r="G20" i="3" s="1"/>
  <c r="F20" i="3" s="1"/>
  <c r="E20" i="3" s="1"/>
  <c r="I26" i="1"/>
  <c r="U22" i="3"/>
  <c r="H16" i="3"/>
  <c r="G16" i="3" s="1"/>
  <c r="F16" i="3" s="1"/>
  <c r="E16" i="3" s="1"/>
  <c r="U4" i="3"/>
  <c r="Y4" i="3" s="1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I9" i="2"/>
  <c r="G9" i="2"/>
  <c r="F9" i="2" s="1"/>
  <c r="E9" i="2" s="1"/>
  <c r="I6" i="2"/>
  <c r="H6" i="2" s="1"/>
  <c r="G6" i="2" s="1"/>
  <c r="F6" i="2" s="1"/>
  <c r="E6" i="2" s="1"/>
  <c r="H4" i="2"/>
  <c r="G4" i="2" s="1"/>
  <c r="F4" i="2" s="1"/>
  <c r="E4" i="2" s="1"/>
  <c r="F1" i="2"/>
  <c r="G1" i="2" s="1"/>
  <c r="H1" i="2" s="1"/>
  <c r="I1" i="2" s="1"/>
  <c r="J1" i="2" s="1"/>
  <c r="K1" i="2" s="1"/>
  <c r="L1" i="2" s="1"/>
  <c r="K26" i="1"/>
  <c r="J26" i="1"/>
  <c r="H26" i="1"/>
  <c r="G26" i="1"/>
  <c r="F26" i="1"/>
  <c r="E26" i="1"/>
  <c r="K22" i="1"/>
  <c r="J22" i="1"/>
  <c r="I22" i="1"/>
  <c r="G7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S3" i="1" l="1"/>
  <c r="AI3" i="1"/>
  <c r="AM3" i="1"/>
  <c r="Q3" i="1"/>
  <c r="R3" i="1"/>
  <c r="AJ3" i="1"/>
  <c r="AL3" i="1"/>
  <c r="AN3" i="3"/>
  <c r="AN3" i="1" s="1"/>
  <c r="AE15" i="3"/>
  <c r="X15" i="3"/>
  <c r="U15" i="1"/>
  <c r="AN20" i="5"/>
  <c r="V15" i="3"/>
  <c r="W15" i="3"/>
  <c r="AF15" i="3"/>
  <c r="AL15" i="4"/>
  <c r="AB4" i="4"/>
  <c r="L15" i="3"/>
  <c r="AG20" i="3"/>
  <c r="AA4" i="4"/>
  <c r="Z3" i="3"/>
  <c r="Z3" i="1" s="1"/>
  <c r="AC3" i="3"/>
  <c r="AC3" i="1" s="1"/>
  <c r="T15" i="1"/>
  <c r="AG15" i="3"/>
  <c r="Z4" i="4"/>
  <c r="AA3" i="3"/>
  <c r="AA3" i="1" s="1"/>
  <c r="O15" i="3"/>
  <c r="AH15" i="3"/>
  <c r="AI15" i="3"/>
  <c r="AI15" i="1" s="1"/>
  <c r="AE20" i="3"/>
  <c r="AK15" i="3"/>
  <c r="AF20" i="3"/>
  <c r="AF20" i="1" s="1"/>
  <c r="AC4" i="4"/>
  <c r="M15" i="3"/>
  <c r="AB3" i="3"/>
  <c r="AM15" i="3"/>
  <c r="AD22" i="4"/>
  <c r="AE4" i="4"/>
  <c r="AN15" i="3"/>
  <c r="AF21" i="3"/>
  <c r="AE22" i="4"/>
  <c r="AF4" i="4"/>
  <c r="P15" i="3"/>
  <c r="AD18" i="3"/>
  <c r="AJ20" i="3"/>
  <c r="AG21" i="3"/>
  <c r="AF22" i="4"/>
  <c r="AE3" i="3"/>
  <c r="AE3" i="1" s="1"/>
  <c r="AK15" i="4"/>
  <c r="AJ15" i="3"/>
  <c r="AL15" i="3"/>
  <c r="AD4" i="4"/>
  <c r="N15" i="3"/>
  <c r="AH20" i="3"/>
  <c r="AI20" i="3"/>
  <c r="AD3" i="3"/>
  <c r="AG4" i="4"/>
  <c r="Q15" i="3"/>
  <c r="AD18" i="5"/>
  <c r="AK20" i="3"/>
  <c r="AH21" i="3"/>
  <c r="AG22" i="4"/>
  <c r="AF3" i="3"/>
  <c r="AF3" i="1" s="1"/>
  <c r="Y15" i="3"/>
  <c r="X3" i="3"/>
  <c r="AD20" i="3"/>
  <c r="Y3" i="3"/>
  <c r="Y3" i="1" s="1"/>
  <c r="AH4" i="4"/>
  <c r="R15" i="3"/>
  <c r="AL20" i="3"/>
  <c r="AI21" i="3"/>
  <c r="AH22" i="4"/>
  <c r="AG3" i="3"/>
  <c r="W3" i="4"/>
  <c r="W3" i="1" s="1"/>
  <c r="Y3" i="4"/>
  <c r="Z3" i="4"/>
  <c r="AA3" i="4"/>
  <c r="AB3" i="4"/>
  <c r="AC3" i="4"/>
  <c r="AG3" i="4"/>
  <c r="AF3" i="4"/>
  <c r="M3" i="4"/>
  <c r="M3" i="1" s="1"/>
  <c r="N3" i="4"/>
  <c r="N3" i="1" s="1"/>
  <c r="AK3" i="4"/>
  <c r="AK3" i="1" s="1"/>
  <c r="AE3" i="4"/>
  <c r="V3" i="4"/>
  <c r="V3" i="1" s="1"/>
  <c r="X3" i="4"/>
  <c r="AD3" i="4"/>
  <c r="L3" i="4"/>
  <c r="L3" i="1" s="1"/>
  <c r="AH3" i="4"/>
  <c r="AH3" i="1" s="1"/>
  <c r="O3" i="4"/>
  <c r="O3" i="1" s="1"/>
  <c r="P3" i="4"/>
  <c r="P3" i="1" s="1"/>
  <c r="S3" i="4"/>
  <c r="AM3" i="4"/>
  <c r="AI3" i="4"/>
  <c r="AJ3" i="4"/>
  <c r="Q3" i="4"/>
  <c r="R3" i="4"/>
  <c r="AL3" i="4"/>
  <c r="T3" i="4"/>
  <c r="T3" i="1" s="1"/>
  <c r="V3" i="5"/>
  <c r="Y3" i="5"/>
  <c r="AA3" i="5"/>
  <c r="AE3" i="5"/>
  <c r="X3" i="5"/>
  <c r="AB3" i="5"/>
  <c r="M3" i="5"/>
  <c r="Z3" i="5"/>
  <c r="AF3" i="5"/>
  <c r="AH3" i="5"/>
  <c r="AI3" i="5"/>
  <c r="Q3" i="5"/>
  <c r="AK3" i="5"/>
  <c r="W3" i="5"/>
  <c r="AC3" i="5"/>
  <c r="N3" i="5"/>
  <c r="P3" i="5"/>
  <c r="R3" i="5"/>
  <c r="AL3" i="5"/>
  <c r="AD3" i="5"/>
  <c r="L3" i="5"/>
  <c r="AJ3" i="5"/>
  <c r="S3" i="5"/>
  <c r="AM3" i="5"/>
  <c r="AG3" i="5"/>
  <c r="O3" i="5"/>
  <c r="T3" i="5"/>
  <c r="G16" i="5"/>
  <c r="F16" i="5" s="1"/>
  <c r="E16" i="5" s="1"/>
  <c r="AN16" i="5"/>
  <c r="P18" i="5"/>
  <c r="M21" i="5"/>
  <c r="Q18" i="5"/>
  <c r="N21" i="5"/>
  <c r="T18" i="5"/>
  <c r="N20" i="5"/>
  <c r="Q21" i="5"/>
  <c r="V18" i="5"/>
  <c r="O20" i="5"/>
  <c r="W18" i="5"/>
  <c r="P20" i="5"/>
  <c r="T21" i="5"/>
  <c r="X18" i="5"/>
  <c r="Q20" i="5"/>
  <c r="Y18" i="5"/>
  <c r="R20" i="5"/>
  <c r="Z18" i="5"/>
  <c r="S20" i="5"/>
  <c r="AA18" i="5"/>
  <c r="AB18" i="5"/>
  <c r="AC18" i="5"/>
  <c r="AN21" i="5"/>
  <c r="G16" i="4"/>
  <c r="F16" i="4" s="1"/>
  <c r="E16" i="4" s="1"/>
  <c r="AM15" i="4"/>
  <c r="AM15" i="1" s="1"/>
  <c r="AN15" i="4"/>
  <c r="L7" i="1"/>
  <c r="L21" i="4"/>
  <c r="M21" i="4"/>
  <c r="AI22" i="4"/>
  <c r="N21" i="4"/>
  <c r="AJ22" i="4"/>
  <c r="U20" i="1"/>
  <c r="O21" i="4"/>
  <c r="AK22" i="4"/>
  <c r="AL22" i="4"/>
  <c r="AM22" i="4"/>
  <c r="AN22" i="4"/>
  <c r="L15" i="1"/>
  <c r="AD7" i="1"/>
  <c r="Z15" i="4"/>
  <c r="Q21" i="4"/>
  <c r="AG7" i="1"/>
  <c r="N20" i="4"/>
  <c r="S21" i="4"/>
  <c r="L22" i="4"/>
  <c r="P21" i="4"/>
  <c r="AF7" i="1"/>
  <c r="M4" i="4"/>
  <c r="V22" i="4"/>
  <c r="M22" i="4"/>
  <c r="AF15" i="1"/>
  <c r="AN18" i="1"/>
  <c r="Q7" i="1"/>
  <c r="AM7" i="4"/>
  <c r="AM7" i="1" s="1"/>
  <c r="G19" i="4"/>
  <c r="F19" i="4" s="1"/>
  <c r="E19" i="4" s="1"/>
  <c r="AB15" i="4"/>
  <c r="N4" i="4"/>
  <c r="P20" i="4"/>
  <c r="P20" i="1" s="1"/>
  <c r="W22" i="4"/>
  <c r="N22" i="4"/>
  <c r="AC7" i="1"/>
  <c r="X15" i="4"/>
  <c r="AN18" i="4"/>
  <c r="AA15" i="4"/>
  <c r="R21" i="4"/>
  <c r="AL4" i="4"/>
  <c r="AN4" i="4"/>
  <c r="AE15" i="4"/>
  <c r="Q18" i="4"/>
  <c r="Q18" i="1" s="1"/>
  <c r="O4" i="4"/>
  <c r="Q20" i="4"/>
  <c r="Q20" i="1" s="1"/>
  <c r="L24" i="2"/>
  <c r="X22" i="4"/>
  <c r="O22" i="4"/>
  <c r="V15" i="4"/>
  <c r="V15" i="1" s="1"/>
  <c r="AI4" i="4"/>
  <c r="Y18" i="4"/>
  <c r="L15" i="4"/>
  <c r="AE18" i="1"/>
  <c r="AD15" i="4"/>
  <c r="W7" i="4"/>
  <c r="AF15" i="4"/>
  <c r="Y22" i="4"/>
  <c r="P22" i="4"/>
  <c r="P7" i="1"/>
  <c r="AC15" i="4"/>
  <c r="T21" i="4"/>
  <c r="T21" i="1" s="1"/>
  <c r="V7" i="4"/>
  <c r="P18" i="4"/>
  <c r="N15" i="4"/>
  <c r="N15" i="1" s="1"/>
  <c r="O15" i="4"/>
  <c r="O15" i="1" s="1"/>
  <c r="Y7" i="4"/>
  <c r="Q4" i="4"/>
  <c r="S20" i="4"/>
  <c r="Z22" i="4"/>
  <c r="X18" i="4"/>
  <c r="M20" i="4"/>
  <c r="N18" i="4"/>
  <c r="O20" i="4"/>
  <c r="AM4" i="4"/>
  <c r="AD15" i="1"/>
  <c r="P4" i="4"/>
  <c r="AG15" i="4"/>
  <c r="AG15" i="1" s="1"/>
  <c r="W4" i="4"/>
  <c r="W4" i="1" s="1"/>
  <c r="Z7" i="4"/>
  <c r="Q15" i="4"/>
  <c r="Q15" i="1" s="1"/>
  <c r="AH15" i="4"/>
  <c r="AH15" i="1" s="1"/>
  <c r="T18" i="4"/>
  <c r="T18" i="1" s="1"/>
  <c r="AA18" i="1"/>
  <c r="R4" i="4"/>
  <c r="T20" i="4"/>
  <c r="N24" i="2"/>
  <c r="AA22" i="4"/>
  <c r="R22" i="4"/>
  <c r="W15" i="4"/>
  <c r="W15" i="1" s="1"/>
  <c r="Y15" i="4"/>
  <c r="V18" i="4"/>
  <c r="AJ4" i="4"/>
  <c r="O18" i="4"/>
  <c r="Z18" i="4"/>
  <c r="Z18" i="1" s="1"/>
  <c r="AB18" i="4"/>
  <c r="AB18" i="1" s="1"/>
  <c r="AC18" i="4"/>
  <c r="AC18" i="1" s="1"/>
  <c r="V4" i="4"/>
  <c r="AD18" i="4"/>
  <c r="AD18" i="1" s="1"/>
  <c r="M24" i="2"/>
  <c r="X4" i="4"/>
  <c r="AA7" i="4"/>
  <c r="R15" i="4"/>
  <c r="R15" i="1" s="1"/>
  <c r="AI15" i="4"/>
  <c r="S4" i="4"/>
  <c r="M20" i="1"/>
  <c r="O24" i="2"/>
  <c r="AB22" i="4"/>
  <c r="S22" i="4"/>
  <c r="O20" i="1"/>
  <c r="AE7" i="1"/>
  <c r="AL7" i="4"/>
  <c r="AL7" i="1" s="1"/>
  <c r="W18" i="4"/>
  <c r="AK4" i="4"/>
  <c r="AN7" i="4"/>
  <c r="AN7" i="1" s="1"/>
  <c r="AI7" i="1"/>
  <c r="M15" i="4"/>
  <c r="M15" i="1" s="1"/>
  <c r="X7" i="4"/>
  <c r="R18" i="4"/>
  <c r="R18" i="1" s="1"/>
  <c r="R20" i="4"/>
  <c r="R20" i="1" s="1"/>
  <c r="P15" i="4"/>
  <c r="S18" i="4"/>
  <c r="S18" i="1" s="1"/>
  <c r="Q22" i="4"/>
  <c r="Y4" i="4"/>
  <c r="Y4" i="1" s="1"/>
  <c r="S15" i="4"/>
  <c r="S15" i="1" s="1"/>
  <c r="AJ15" i="4"/>
  <c r="N20" i="1"/>
  <c r="P24" i="2"/>
  <c r="AC22" i="4"/>
  <c r="AN4" i="3"/>
  <c r="H22" i="1"/>
  <c r="W22" i="3"/>
  <c r="S22" i="3"/>
  <c r="P22" i="3"/>
  <c r="AC22" i="3"/>
  <c r="V22" i="3"/>
  <c r="AL22" i="3"/>
  <c r="T22" i="3"/>
  <c r="AN22" i="3"/>
  <c r="O22" i="3"/>
  <c r="AM22" i="3"/>
  <c r="R22" i="3"/>
  <c r="Q22" i="3"/>
  <c r="AJ22" i="3"/>
  <c r="AG22" i="3"/>
  <c r="L22" i="3"/>
  <c r="AK22" i="3"/>
  <c r="AI22" i="3"/>
  <c r="N22" i="3"/>
  <c r="AH22" i="3"/>
  <c r="M22" i="3"/>
  <c r="AE22" i="3"/>
  <c r="AD22" i="3"/>
  <c r="AF22" i="3"/>
  <c r="Y22" i="3"/>
  <c r="X22" i="3"/>
  <c r="Z22" i="3"/>
  <c r="AA22" i="3"/>
  <c r="AE23" i="2"/>
  <c r="Y23" i="2"/>
  <c r="AL23" i="2"/>
  <c r="R23" i="2"/>
  <c r="AD23" i="2"/>
  <c r="AB23" i="2"/>
  <c r="J21" i="1"/>
  <c r="AO23" i="2"/>
  <c r="AM23" i="2"/>
  <c r="AM21" i="1" s="1"/>
  <c r="AC23" i="2"/>
  <c r="AA23" i="2"/>
  <c r="Z23" i="2"/>
  <c r="W23" i="2"/>
  <c r="X23" i="2"/>
  <c r="U23" i="2"/>
  <c r="U21" i="1" s="1"/>
  <c r="V23" i="2"/>
  <c r="AN23" i="2"/>
  <c r="T23" i="2"/>
  <c r="AK23" i="2"/>
  <c r="Q23" i="2"/>
  <c r="S23" i="2"/>
  <c r="AF23" i="2"/>
  <c r="M23" i="2"/>
  <c r="L23" i="2" s="1"/>
  <c r="AB22" i="3"/>
  <c r="N23" i="2"/>
  <c r="O23" i="2"/>
  <c r="AM4" i="3"/>
  <c r="AM4" i="1" s="1"/>
  <c r="AL4" i="3"/>
  <c r="AL4" i="1" s="1"/>
  <c r="AK4" i="3"/>
  <c r="AK4" i="1" s="1"/>
  <c r="T4" i="3"/>
  <c r="T4" i="1" s="1"/>
  <c r="R4" i="3"/>
  <c r="Q4" i="3"/>
  <c r="AJ4" i="3"/>
  <c r="AE4" i="3"/>
  <c r="AE4" i="1" s="1"/>
  <c r="AD4" i="3"/>
  <c r="AD4" i="1" s="1"/>
  <c r="M4" i="3"/>
  <c r="M4" i="1" s="1"/>
  <c r="AI4" i="3"/>
  <c r="AI4" i="1" s="1"/>
  <c r="AH4" i="3"/>
  <c r="AG4" i="3"/>
  <c r="AG4" i="1" s="1"/>
  <c r="P4" i="3"/>
  <c r="AF4" i="3"/>
  <c r="AF4" i="1" s="1"/>
  <c r="S4" i="3"/>
  <c r="S4" i="1" s="1"/>
  <c r="O4" i="3"/>
  <c r="AA4" i="3"/>
  <c r="AA4" i="1" s="1"/>
  <c r="N4" i="3"/>
  <c r="AC4" i="3"/>
  <c r="AC4" i="1" s="1"/>
  <c r="Z4" i="3"/>
  <c r="Z4" i="1" s="1"/>
  <c r="AB4" i="3"/>
  <c r="AB4" i="1" s="1"/>
  <c r="P23" i="2"/>
  <c r="AG23" i="2"/>
  <c r="AH23" i="2"/>
  <c r="H23" i="2"/>
  <c r="G23" i="2" s="1"/>
  <c r="F23" i="2" s="1"/>
  <c r="E23" i="2" s="1"/>
  <c r="I21" i="1"/>
  <c r="H21" i="1" s="1"/>
  <c r="G21" i="1" s="1"/>
  <c r="F21" i="1" s="1"/>
  <c r="E21" i="1" s="1"/>
  <c r="AI23" i="2"/>
  <c r="AJ23" i="2"/>
  <c r="X4" i="3"/>
  <c r="X4" i="1" s="1"/>
  <c r="V4" i="3"/>
  <c r="AN24" i="3"/>
  <c r="AN21" i="3"/>
  <c r="AN21" i="1" s="1"/>
  <c r="G22" i="3"/>
  <c r="U24" i="2"/>
  <c r="AO24" i="2"/>
  <c r="AN20" i="3"/>
  <c r="AN20" i="1" s="1"/>
  <c r="V21" i="3"/>
  <c r="O7" i="1"/>
  <c r="S20" i="3"/>
  <c r="W24" i="2"/>
  <c r="H19" i="1"/>
  <c r="G19" i="1" s="1"/>
  <c r="N7" i="1"/>
  <c r="V24" i="2"/>
  <c r="W21" i="3"/>
  <c r="X24" i="2"/>
  <c r="V7" i="3"/>
  <c r="M21" i="3"/>
  <c r="M21" i="1" s="1"/>
  <c r="T20" i="3"/>
  <c r="T20" i="1" s="1"/>
  <c r="V20" i="3"/>
  <c r="V20" i="1" s="1"/>
  <c r="X21" i="3"/>
  <c r="Y24" i="2"/>
  <c r="W20" i="3"/>
  <c r="N21" i="3"/>
  <c r="N21" i="1" s="1"/>
  <c r="Z24" i="2"/>
  <c r="X7" i="3"/>
  <c r="X7" i="1" s="1"/>
  <c r="X20" i="3"/>
  <c r="X20" i="1" s="1"/>
  <c r="O21" i="3"/>
  <c r="AA24" i="2"/>
  <c r="Z15" i="3"/>
  <c r="L18" i="3"/>
  <c r="L18" i="1" s="1"/>
  <c r="Y20" i="3"/>
  <c r="AA21" i="3"/>
  <c r="P21" i="3"/>
  <c r="AB24" i="2"/>
  <c r="AA15" i="3"/>
  <c r="AA15" i="1" s="1"/>
  <c r="AC24" i="2"/>
  <c r="AB15" i="3"/>
  <c r="R21" i="3"/>
  <c r="R21" i="1" s="1"/>
  <c r="AD24" i="2"/>
  <c r="L21" i="3"/>
  <c r="L21" i="1" s="1"/>
  <c r="V18" i="3"/>
  <c r="V18" i="1" s="1"/>
  <c r="Z7" i="3"/>
  <c r="Z7" i="1" s="1"/>
  <c r="U19" i="3"/>
  <c r="L19" i="3" s="1"/>
  <c r="Q21" i="3"/>
  <c r="Q21" i="1" s="1"/>
  <c r="N18" i="3"/>
  <c r="N18" i="1" s="1"/>
  <c r="K19" i="3"/>
  <c r="AA20" i="3"/>
  <c r="AC21" i="3"/>
  <c r="AB7" i="3"/>
  <c r="AB7" i="1" s="1"/>
  <c r="AC15" i="3"/>
  <c r="AC15" i="1" s="1"/>
  <c r="O18" i="3"/>
  <c r="AG18" i="3"/>
  <c r="Y18" i="3"/>
  <c r="Y18" i="1" s="1"/>
  <c r="AB20" i="3"/>
  <c r="AD21" i="3"/>
  <c r="S21" i="3"/>
  <c r="AE24" i="2"/>
  <c r="W7" i="3"/>
  <c r="W7" i="1" s="1"/>
  <c r="Y21" i="3"/>
  <c r="Y21" i="1" s="1"/>
  <c r="Z21" i="3"/>
  <c r="Y7" i="3"/>
  <c r="M18" i="3"/>
  <c r="M18" i="1" s="1"/>
  <c r="W18" i="3"/>
  <c r="J19" i="1"/>
  <c r="Z20" i="3"/>
  <c r="AB21" i="3"/>
  <c r="AA7" i="3"/>
  <c r="AA7" i="1" s="1"/>
  <c r="AF18" i="3"/>
  <c r="AF18" i="1" s="1"/>
  <c r="X18" i="3"/>
  <c r="X18" i="1" s="1"/>
  <c r="P18" i="3"/>
  <c r="AE21" i="3"/>
  <c r="Y26" i="3"/>
  <c r="AD26" i="3"/>
  <c r="Z26" i="3"/>
  <c r="AB26" i="3"/>
  <c r="AE26" i="3"/>
  <c r="L26" i="3"/>
  <c r="AF26" i="3"/>
  <c r="AA26" i="3"/>
  <c r="M26" i="3"/>
  <c r="AG26" i="3"/>
  <c r="W26" i="3"/>
  <c r="O26" i="3"/>
  <c r="AI26" i="3"/>
  <c r="AH26" i="3"/>
  <c r="P26" i="3"/>
  <c r="AJ26" i="3"/>
  <c r="Q26" i="3"/>
  <c r="AK26" i="3"/>
  <c r="R26" i="3"/>
  <c r="AL26" i="3"/>
  <c r="V26" i="3"/>
  <c r="X26" i="3"/>
  <c r="AC26" i="3"/>
  <c r="S26" i="3"/>
  <c r="AM26" i="3"/>
  <c r="N26" i="3"/>
  <c r="T26" i="3"/>
  <c r="W26" i="4"/>
  <c r="X26" i="4"/>
  <c r="Y26" i="4"/>
  <c r="Z26" i="4"/>
  <c r="AA26" i="4"/>
  <c r="AB26" i="4"/>
  <c r="AC26" i="4"/>
  <c r="AD26" i="4"/>
  <c r="AE26" i="4"/>
  <c r="L26" i="4"/>
  <c r="AF26" i="4"/>
  <c r="M26" i="4"/>
  <c r="AG26" i="4"/>
  <c r="AH26" i="4"/>
  <c r="AI26" i="4"/>
  <c r="V26" i="4"/>
  <c r="O26" i="4"/>
  <c r="P26" i="4"/>
  <c r="AJ26" i="4"/>
  <c r="N26" i="4"/>
  <c r="Q26" i="4"/>
  <c r="AK26" i="4"/>
  <c r="R26" i="4"/>
  <c r="AL26" i="4"/>
  <c r="S26" i="4"/>
  <c r="AM26" i="4"/>
  <c r="T26" i="4"/>
  <c r="V24" i="3"/>
  <c r="W24" i="3"/>
  <c r="X24" i="3"/>
  <c r="Y24" i="3"/>
  <c r="Z24" i="3"/>
  <c r="AA24" i="3"/>
  <c r="AB24" i="3"/>
  <c r="AC24" i="3"/>
  <c r="AD24" i="3"/>
  <c r="AE24" i="3"/>
  <c r="AF24" i="3"/>
  <c r="M24" i="3"/>
  <c r="AG24" i="3"/>
  <c r="N24" i="3"/>
  <c r="AH24" i="3"/>
  <c r="O24" i="3"/>
  <c r="AI24" i="3"/>
  <c r="L24" i="3"/>
  <c r="P24" i="3"/>
  <c r="AJ24" i="3"/>
  <c r="Q24" i="3"/>
  <c r="AK24" i="3"/>
  <c r="R24" i="3"/>
  <c r="AL24" i="3"/>
  <c r="S24" i="3"/>
  <c r="AM24" i="3"/>
  <c r="T24" i="3"/>
  <c r="S21" i="5"/>
  <c r="M7" i="1"/>
  <c r="W21" i="5"/>
  <c r="X21" i="5"/>
  <c r="V21" i="5"/>
  <c r="AD21" i="5"/>
  <c r="AB21" i="5"/>
  <c r="AC21" i="5"/>
  <c r="AE21" i="5"/>
  <c r="Z21" i="5"/>
  <c r="AF21" i="5"/>
  <c r="AG21" i="5"/>
  <c r="AH21" i="5"/>
  <c r="AA21" i="5"/>
  <c r="AI21" i="5"/>
  <c r="AJ21" i="5"/>
  <c r="AK21" i="5"/>
  <c r="AL21" i="5"/>
  <c r="Y21" i="5"/>
  <c r="AM21" i="5"/>
  <c r="V21" i="4"/>
  <c r="W21" i="4"/>
  <c r="X21" i="4"/>
  <c r="Y21" i="4"/>
  <c r="Z21" i="4"/>
  <c r="AA21" i="4"/>
  <c r="AC21" i="4"/>
  <c r="AD21" i="4"/>
  <c r="AB21" i="4"/>
  <c r="AE21" i="4"/>
  <c r="AF21" i="4"/>
  <c r="AF21" i="1" s="1"/>
  <c r="AG21" i="4"/>
  <c r="AH21" i="4"/>
  <c r="AI21" i="4"/>
  <c r="AJ21" i="4"/>
  <c r="AK21" i="4"/>
  <c r="AL21" i="4"/>
  <c r="AM21" i="4"/>
  <c r="AC20" i="5"/>
  <c r="AD20" i="5"/>
  <c r="AE20" i="5"/>
  <c r="X20" i="5"/>
  <c r="AF20" i="5"/>
  <c r="AB20" i="5"/>
  <c r="AG20" i="5"/>
  <c r="AH20" i="5"/>
  <c r="AI20" i="5"/>
  <c r="AJ20" i="5"/>
  <c r="AK20" i="5"/>
  <c r="W20" i="5"/>
  <c r="Y20" i="5"/>
  <c r="AA20" i="5"/>
  <c r="AL20" i="5"/>
  <c r="Z20" i="5"/>
  <c r="AM20" i="5"/>
  <c r="V20" i="5"/>
  <c r="AC20" i="4"/>
  <c r="AC20" i="1" s="1"/>
  <c r="AD20" i="4"/>
  <c r="AD20" i="1" s="1"/>
  <c r="Y20" i="4"/>
  <c r="AE20" i="4"/>
  <c r="AE20" i="1" s="1"/>
  <c r="AF20" i="4"/>
  <c r="V20" i="4"/>
  <c r="AG20" i="4"/>
  <c r="AG20" i="1" s="1"/>
  <c r="AH20" i="4"/>
  <c r="AH20" i="1" s="1"/>
  <c r="AI20" i="4"/>
  <c r="AI20" i="1" s="1"/>
  <c r="AA20" i="4"/>
  <c r="AJ20" i="4"/>
  <c r="AJ20" i="1" s="1"/>
  <c r="X20" i="4"/>
  <c r="AB20" i="4"/>
  <c r="AK20" i="4"/>
  <c r="AK20" i="1" s="1"/>
  <c r="AL20" i="4"/>
  <c r="AL20" i="1" s="1"/>
  <c r="W20" i="4"/>
  <c r="AM20" i="4"/>
  <c r="AM20" i="1" s="1"/>
  <c r="Z20" i="4"/>
  <c r="V19" i="4"/>
  <c r="X19" i="4"/>
  <c r="AA19" i="4"/>
  <c r="M19" i="4"/>
  <c r="P19" i="4"/>
  <c r="AJ19" i="4"/>
  <c r="W19" i="4"/>
  <c r="Z19" i="4"/>
  <c r="AC19" i="4"/>
  <c r="K19" i="4"/>
  <c r="AG19" i="4"/>
  <c r="Q19" i="4"/>
  <c r="AK19" i="4"/>
  <c r="AL19" i="4"/>
  <c r="L19" i="4"/>
  <c r="S19" i="4"/>
  <c r="Y19" i="4"/>
  <c r="AB19" i="4"/>
  <c r="AD19" i="4"/>
  <c r="AE19" i="4"/>
  <c r="AF19" i="4"/>
  <c r="N19" i="4"/>
  <c r="AH19" i="4"/>
  <c r="O19" i="4"/>
  <c r="AI19" i="4"/>
  <c r="R19" i="4"/>
  <c r="AM19" i="4"/>
  <c r="T19" i="4"/>
  <c r="AG18" i="5"/>
  <c r="AH18" i="5"/>
  <c r="AF18" i="5"/>
  <c r="AI18" i="5"/>
  <c r="AJ18" i="5"/>
  <c r="AK18" i="5"/>
  <c r="AL18" i="5"/>
  <c r="AM18" i="5"/>
  <c r="AF18" i="4"/>
  <c r="AJ18" i="4"/>
  <c r="AJ18" i="1" s="1"/>
  <c r="AK18" i="4"/>
  <c r="AK18" i="1" s="1"/>
  <c r="AH18" i="4"/>
  <c r="AH18" i="1" s="1"/>
  <c r="AL18" i="4"/>
  <c r="AL18" i="1" s="1"/>
  <c r="AG18" i="4"/>
  <c r="AI18" i="4"/>
  <c r="AI18" i="1" s="1"/>
  <c r="AM18" i="4"/>
  <c r="AM18" i="1" s="1"/>
  <c r="W15" i="5"/>
  <c r="AA15" i="5"/>
  <c r="V15" i="5"/>
  <c r="X15" i="5"/>
  <c r="Z15" i="5"/>
  <c r="AB15" i="5"/>
  <c r="L15" i="5"/>
  <c r="M15" i="5"/>
  <c r="N15" i="5"/>
  <c r="AI15" i="5"/>
  <c r="P15" i="5"/>
  <c r="Q15" i="5"/>
  <c r="R15" i="5"/>
  <c r="AL15" i="5"/>
  <c r="Y15" i="5"/>
  <c r="AD15" i="5"/>
  <c r="AF15" i="5"/>
  <c r="AG15" i="5"/>
  <c r="O15" i="5"/>
  <c r="AJ15" i="5"/>
  <c r="S15" i="5"/>
  <c r="AM15" i="5"/>
  <c r="AC15" i="5"/>
  <c r="AE15" i="5"/>
  <c r="AH15" i="5"/>
  <c r="AK15" i="5"/>
  <c r="T15" i="5"/>
  <c r="W16" i="5"/>
  <c r="Z16" i="5"/>
  <c r="AB16" i="5"/>
  <c r="AE16" i="5"/>
  <c r="V16" i="5"/>
  <c r="AC16" i="5"/>
  <c r="Y16" i="5"/>
  <c r="AD16" i="5"/>
  <c r="AF16" i="5"/>
  <c r="M16" i="5"/>
  <c r="N16" i="5"/>
  <c r="AI16" i="5"/>
  <c r="P16" i="5"/>
  <c r="AK16" i="5"/>
  <c r="R16" i="5"/>
  <c r="S16" i="5"/>
  <c r="AM16" i="5"/>
  <c r="X16" i="5"/>
  <c r="AA16" i="5"/>
  <c r="L16" i="5"/>
  <c r="AG16" i="5"/>
  <c r="AH16" i="5"/>
  <c r="O16" i="5"/>
  <c r="AJ16" i="5"/>
  <c r="Q16" i="5"/>
  <c r="AL16" i="5"/>
  <c r="T16" i="5"/>
  <c r="U4" i="1"/>
  <c r="H4" i="1"/>
  <c r="G4" i="1" s="1"/>
  <c r="I4" i="4"/>
  <c r="F19" i="1"/>
  <c r="G21" i="2"/>
  <c r="F21" i="2" s="1"/>
  <c r="E21" i="2" s="1"/>
  <c r="M1" i="2"/>
  <c r="M9" i="2" s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G17" i="2"/>
  <c r="F17" i="2" s="1"/>
  <c r="E17" i="2" s="1"/>
  <c r="U26" i="1"/>
  <c r="M26" i="1" s="1"/>
  <c r="U22" i="1"/>
  <c r="S22" i="1" s="1"/>
  <c r="F15" i="1"/>
  <c r="F7" i="1"/>
  <c r="AK15" i="1" l="1"/>
  <c r="Q4" i="1"/>
  <c r="R4" i="1"/>
  <c r="X3" i="1"/>
  <c r="AE15" i="1"/>
  <c r="S20" i="1"/>
  <c r="AA20" i="1"/>
  <c r="N4" i="1"/>
  <c r="K19" i="1"/>
  <c r="AJ15" i="1"/>
  <c r="O4" i="1"/>
  <c r="AL21" i="1"/>
  <c r="L19" i="1"/>
  <c r="Y15" i="1"/>
  <c r="AD3" i="1"/>
  <c r="AL15" i="1"/>
  <c r="P4" i="1"/>
  <c r="X15" i="1"/>
  <c r="AN15" i="1"/>
  <c r="AB3" i="1"/>
  <c r="P15" i="1"/>
  <c r="X21" i="1"/>
  <c r="AH4" i="1"/>
  <c r="AG3" i="1"/>
  <c r="Z20" i="1"/>
  <c r="W18" i="1"/>
  <c r="W20" i="1"/>
  <c r="Y7" i="1"/>
  <c r="Z21" i="1"/>
  <c r="V4" i="1"/>
  <c r="AK21" i="1"/>
  <c r="AB15" i="1"/>
  <c r="S21" i="1"/>
  <c r="V7" i="1"/>
  <c r="AJ21" i="1"/>
  <c r="AD21" i="1"/>
  <c r="AI21" i="1"/>
  <c r="AB20" i="1"/>
  <c r="W21" i="1"/>
  <c r="AJ4" i="1"/>
  <c r="AG18" i="1"/>
  <c r="AH21" i="1"/>
  <c r="O18" i="1"/>
  <c r="Y20" i="1"/>
  <c r="AG21" i="1"/>
  <c r="AN4" i="1"/>
  <c r="AN16" i="4"/>
  <c r="AH16" i="4"/>
  <c r="AG16" i="4"/>
  <c r="AM16" i="4"/>
  <c r="AE16" i="4"/>
  <c r="AL16" i="4"/>
  <c r="AK16" i="4"/>
  <c r="AC16" i="4"/>
  <c r="W16" i="4"/>
  <c r="AJ16" i="4"/>
  <c r="AI16" i="4"/>
  <c r="Z16" i="4"/>
  <c r="AD16" i="4"/>
  <c r="AF16" i="4"/>
  <c r="Y16" i="4"/>
  <c r="X16" i="4"/>
  <c r="AB16" i="4"/>
  <c r="AA16" i="4"/>
  <c r="V16" i="4"/>
  <c r="P18" i="1"/>
  <c r="Z15" i="1"/>
  <c r="AM16" i="3"/>
  <c r="AJ16" i="3"/>
  <c r="AI16" i="3"/>
  <c r="AL16" i="3"/>
  <c r="AK16" i="3"/>
  <c r="AC16" i="3"/>
  <c r="AH16" i="3"/>
  <c r="AF16" i="3"/>
  <c r="AE16" i="3"/>
  <c r="AG16" i="3"/>
  <c r="AD16" i="3"/>
  <c r="Z16" i="3"/>
  <c r="AB16" i="3"/>
  <c r="AA16" i="3"/>
  <c r="V16" i="3"/>
  <c r="X16" i="3"/>
  <c r="AN16" i="3"/>
  <c r="Y16" i="3"/>
  <c r="W16" i="3"/>
  <c r="AH19" i="3"/>
  <c r="AH19" i="1" s="1"/>
  <c r="AF19" i="3"/>
  <c r="AF19" i="1" s="1"/>
  <c r="AE19" i="3"/>
  <c r="AE19" i="1" s="1"/>
  <c r="AB19" i="3"/>
  <c r="AB19" i="1" s="1"/>
  <c r="T19" i="3"/>
  <c r="T19" i="1" s="1"/>
  <c r="S19" i="3"/>
  <c r="S19" i="1" s="1"/>
  <c r="AG19" i="3"/>
  <c r="AG19" i="1" s="1"/>
  <c r="AD19" i="3"/>
  <c r="AD19" i="1" s="1"/>
  <c r="AC19" i="3"/>
  <c r="AC19" i="1" s="1"/>
  <c r="AA19" i="3"/>
  <c r="AA19" i="1" s="1"/>
  <c r="Z19" i="3"/>
  <c r="Z19" i="1" s="1"/>
  <c r="Y19" i="3"/>
  <c r="Y19" i="1" s="1"/>
  <c r="U19" i="1"/>
  <c r="X19" i="3"/>
  <c r="X19" i="1" s="1"/>
  <c r="V19" i="3"/>
  <c r="V19" i="1" s="1"/>
  <c r="W19" i="3"/>
  <c r="W19" i="1" s="1"/>
  <c r="AN19" i="3"/>
  <c r="AN19" i="1" s="1"/>
  <c r="AL19" i="3"/>
  <c r="AL19" i="1" s="1"/>
  <c r="AK19" i="3"/>
  <c r="AK19" i="1" s="1"/>
  <c r="AM19" i="3"/>
  <c r="AM19" i="1" s="1"/>
  <c r="AJ19" i="3"/>
  <c r="AJ19" i="1" s="1"/>
  <c r="AI19" i="3"/>
  <c r="AI19" i="1" s="1"/>
  <c r="R19" i="3"/>
  <c r="R19" i="1" s="1"/>
  <c r="O19" i="3"/>
  <c r="O19" i="1" s="1"/>
  <c r="Q19" i="3"/>
  <c r="Q19" i="1" s="1"/>
  <c r="P19" i="3"/>
  <c r="P19" i="1" s="1"/>
  <c r="N19" i="3"/>
  <c r="N19" i="1" s="1"/>
  <c r="P21" i="1"/>
  <c r="G22" i="1"/>
  <c r="F22" i="3"/>
  <c r="M19" i="3"/>
  <c r="M19" i="1" s="1"/>
  <c r="AE21" i="1"/>
  <c r="AA21" i="1"/>
  <c r="AC21" i="1"/>
  <c r="AB21" i="1"/>
  <c r="O21" i="1"/>
  <c r="V21" i="1"/>
  <c r="AC26" i="1"/>
  <c r="N26" i="1"/>
  <c r="O26" i="1"/>
  <c r="S26" i="1"/>
  <c r="Q26" i="1"/>
  <c r="T22" i="1"/>
  <c r="M17" i="2"/>
  <c r="L17" i="2" s="1"/>
  <c r="L21" i="2"/>
  <c r="K21" i="2"/>
  <c r="M21" i="2"/>
  <c r="G4" i="4"/>
  <c r="H4" i="4"/>
  <c r="AI26" i="1"/>
  <c r="AH26" i="1"/>
  <c r="E19" i="1"/>
  <c r="AL26" i="1"/>
  <c r="V26" i="1"/>
  <c r="AM26" i="1"/>
  <c r="AJ26" i="1"/>
  <c r="P26" i="1"/>
  <c r="AG26" i="1"/>
  <c r="AK26" i="1"/>
  <c r="X26" i="1"/>
  <c r="E15" i="1"/>
  <c r="Y26" i="1"/>
  <c r="AA26" i="1"/>
  <c r="AB26" i="1"/>
  <c r="AE22" i="1"/>
  <c r="Z22" i="1"/>
  <c r="X22" i="1"/>
  <c r="AN22" i="1"/>
  <c r="AM22" i="1"/>
  <c r="AL22" i="1"/>
  <c r="AK22" i="1"/>
  <c r="AJ22" i="1"/>
  <c r="AI22" i="1"/>
  <c r="Q22" i="1"/>
  <c r="AH22" i="1"/>
  <c r="AG22" i="1"/>
  <c r="AF22" i="1"/>
  <c r="AD22" i="1"/>
  <c r="AC22" i="1"/>
  <c r="AB22" i="1"/>
  <c r="AA22" i="1"/>
  <c r="N22" i="1"/>
  <c r="Y22" i="1"/>
  <c r="W22" i="1"/>
  <c r="V22" i="1"/>
  <c r="R22" i="1"/>
  <c r="P22" i="1"/>
  <c r="O22" i="1"/>
  <c r="M22" i="1"/>
  <c r="T26" i="1"/>
  <c r="M26" i="2"/>
  <c r="L26" i="2" s="1"/>
  <c r="M20" i="2"/>
  <c r="L20" i="2" s="1"/>
  <c r="M6" i="2"/>
  <c r="N1" i="2"/>
  <c r="N21" i="2" s="1"/>
  <c r="AD26" i="1"/>
  <c r="AN26" i="1"/>
  <c r="L26" i="1"/>
  <c r="E7" i="1"/>
  <c r="L22" i="1"/>
  <c r="F4" i="1"/>
  <c r="R26" i="1"/>
  <c r="AF26" i="1"/>
  <c r="AE26" i="1"/>
  <c r="Z26" i="1"/>
  <c r="W26" i="1"/>
  <c r="F22" i="1" l="1"/>
  <c r="E22" i="3"/>
  <c r="E22" i="1" s="1"/>
  <c r="M2" i="3"/>
  <c r="M22" i="5"/>
  <c r="F4" i="4"/>
  <c r="L22" i="5"/>
  <c r="E4" i="1"/>
  <c r="H2" i="3"/>
  <c r="N2" i="3"/>
  <c r="N26" i="2"/>
  <c r="N20" i="2"/>
  <c r="O1" i="2"/>
  <c r="N6" i="2"/>
  <c r="N9" i="2"/>
  <c r="N17" i="2"/>
  <c r="N22" i="5" l="1"/>
  <c r="O21" i="2"/>
  <c r="E4" i="4"/>
  <c r="O26" i="2"/>
  <c r="O20" i="2"/>
  <c r="O6" i="2"/>
  <c r="P1" i="2"/>
  <c r="O17" i="2"/>
  <c r="O9" i="2"/>
  <c r="G2" i="3"/>
  <c r="F2" i="1"/>
  <c r="O2" i="3" l="1"/>
  <c r="O22" i="5"/>
  <c r="P21" i="2"/>
  <c r="F2" i="3"/>
  <c r="E2" i="1"/>
  <c r="P26" i="2"/>
  <c r="P20" i="2"/>
  <c r="P6" i="2"/>
  <c r="Q1" i="2"/>
  <c r="P9" i="2"/>
  <c r="P17" i="2"/>
  <c r="Q21" i="2" l="1"/>
  <c r="P2" i="3"/>
  <c r="P22" i="5"/>
  <c r="E2" i="3"/>
  <c r="Q6" i="2"/>
  <c r="R1" i="2"/>
  <c r="Q26" i="2"/>
  <c r="Q20" i="2"/>
  <c r="Q17" i="2"/>
  <c r="Q9" i="2"/>
  <c r="R21" i="2" l="1"/>
  <c r="Q22" i="5"/>
  <c r="Q2" i="3"/>
  <c r="R26" i="2"/>
  <c r="R20" i="2"/>
  <c r="R6" i="2"/>
  <c r="S1" i="2"/>
  <c r="R9" i="2"/>
  <c r="R17" i="2"/>
  <c r="S21" i="2" l="1"/>
  <c r="R22" i="5"/>
  <c r="R2" i="3"/>
  <c r="S26" i="2"/>
  <c r="S20" i="2"/>
  <c r="T1" i="2"/>
  <c r="S17" i="2"/>
  <c r="S6" i="2"/>
  <c r="S9" i="2"/>
  <c r="S2" i="3" l="1"/>
  <c r="S22" i="5"/>
  <c r="T21" i="2"/>
  <c r="T6" i="2"/>
  <c r="T26" i="2"/>
  <c r="T20" i="2"/>
  <c r="U1" i="2"/>
  <c r="T9" i="2"/>
  <c r="T17" i="2"/>
  <c r="T2" i="3" l="1"/>
  <c r="U21" i="2"/>
  <c r="T22" i="5"/>
  <c r="V1" i="2"/>
  <c r="U26" i="2"/>
  <c r="U20" i="2"/>
  <c r="U6" i="2"/>
  <c r="U17" i="2"/>
  <c r="U9" i="2"/>
  <c r="V21" i="2" l="1"/>
  <c r="W21" i="2"/>
  <c r="V6" i="2"/>
  <c r="V20" i="2"/>
  <c r="W9" i="2"/>
  <c r="V9" i="2"/>
  <c r="W17" i="2"/>
  <c r="V17" i="2"/>
  <c r="V26" i="2"/>
  <c r="W1" i="2"/>
  <c r="V22" i="5" l="1"/>
  <c r="V2" i="3"/>
  <c r="W26" i="2"/>
  <c r="W2" i="3"/>
  <c r="X1" i="2"/>
  <c r="W20" i="2"/>
  <c r="W6" i="2"/>
  <c r="W22" i="5" l="1"/>
  <c r="X21" i="2"/>
  <c r="Y1" i="2"/>
  <c r="X20" i="2"/>
  <c r="X26" i="2"/>
  <c r="X6" i="2"/>
  <c r="X9" i="2"/>
  <c r="X17" i="2"/>
  <c r="X2" i="3" l="1"/>
  <c r="X22" i="5"/>
  <c r="Y21" i="2"/>
  <c r="Z1" i="2"/>
  <c r="Y26" i="2"/>
  <c r="Y17" i="2"/>
  <c r="Y9" i="2"/>
  <c r="Y20" i="2"/>
  <c r="Y6" i="2"/>
  <c r="Y2" i="3" l="1"/>
  <c r="Y22" i="5"/>
  <c r="Z21" i="2"/>
  <c r="AA1" i="2"/>
  <c r="Z26" i="2"/>
  <c r="Z20" i="2"/>
  <c r="Z9" i="2"/>
  <c r="Z17" i="2"/>
  <c r="Z6" i="2"/>
  <c r="Z2" i="3" l="1"/>
  <c r="AA21" i="2"/>
  <c r="Z22" i="5"/>
  <c r="AB1" i="2"/>
  <c r="AA20" i="2"/>
  <c r="AA26" i="2"/>
  <c r="AA17" i="2"/>
  <c r="AA6" i="2"/>
  <c r="AA9" i="2"/>
  <c r="AA2" i="3" l="1"/>
  <c r="AB21" i="2"/>
  <c r="AA22" i="5"/>
  <c r="AC1" i="2"/>
  <c r="AB26" i="2"/>
  <c r="AB9" i="2"/>
  <c r="AB20" i="2"/>
  <c r="AB17" i="2"/>
  <c r="AB6" i="2"/>
  <c r="AC21" i="2" l="1"/>
  <c r="AB22" i="5"/>
  <c r="AB2" i="3"/>
  <c r="AD1" i="2"/>
  <c r="AC26" i="2"/>
  <c r="AC9" i="2"/>
  <c r="AC6" i="2"/>
  <c r="AC17" i="2"/>
  <c r="AC20" i="2"/>
  <c r="AC22" i="5" l="1"/>
  <c r="AD21" i="2"/>
  <c r="AC2" i="3"/>
  <c r="AE1" i="2"/>
  <c r="AD9" i="2"/>
  <c r="AD17" i="2"/>
  <c r="AD6" i="2"/>
  <c r="AD26" i="2"/>
  <c r="AD20" i="2"/>
  <c r="AD22" i="5" l="1"/>
  <c r="AE21" i="2"/>
  <c r="AD2" i="3"/>
  <c r="AF1" i="2"/>
  <c r="AE6" i="2"/>
  <c r="AE9" i="2"/>
  <c r="AE20" i="2"/>
  <c r="AE17" i="2"/>
  <c r="AE26" i="2"/>
  <c r="AF21" i="2" l="1"/>
  <c r="AE22" i="5"/>
  <c r="AE2" i="3"/>
  <c r="AG1" i="2"/>
  <c r="AF20" i="2"/>
  <c r="AF17" i="2"/>
  <c r="AF9" i="2"/>
  <c r="AF26" i="2"/>
  <c r="AF6" i="2"/>
  <c r="AG21" i="2" l="1"/>
  <c r="AF22" i="5"/>
  <c r="AF2" i="3"/>
  <c r="AH1" i="2"/>
  <c r="AG20" i="2"/>
  <c r="AG9" i="2"/>
  <c r="AG6" i="2"/>
  <c r="AG26" i="2"/>
  <c r="AG17" i="2"/>
  <c r="AG22" i="5" l="1"/>
  <c r="AG2" i="3"/>
  <c r="AH21" i="2"/>
  <c r="AI1" i="2"/>
  <c r="AH20" i="2"/>
  <c r="AH9" i="2"/>
  <c r="AH17" i="2"/>
  <c r="AH6" i="2"/>
  <c r="AH26" i="2"/>
  <c r="AH22" i="5" l="1"/>
  <c r="AH2" i="3"/>
  <c r="AI21" i="2"/>
  <c r="AJ1" i="2"/>
  <c r="AI20" i="2"/>
  <c r="AI17" i="2"/>
  <c r="AI9" i="2"/>
  <c r="AI26" i="2"/>
  <c r="AI6" i="2"/>
  <c r="AI22" i="5" l="1"/>
  <c r="AI2" i="3"/>
  <c r="AJ21" i="2"/>
  <c r="AK1" i="2"/>
  <c r="AJ9" i="2"/>
  <c r="AJ17" i="2"/>
  <c r="AJ26" i="2"/>
  <c r="AJ20" i="2"/>
  <c r="AJ6" i="2"/>
  <c r="AK21" i="2" l="1"/>
  <c r="AJ22" i="5"/>
  <c r="AJ2" i="3"/>
  <c r="AL1" i="2"/>
  <c r="AK20" i="2"/>
  <c r="AK17" i="2"/>
  <c r="AK6" i="2"/>
  <c r="AK9" i="2"/>
  <c r="AK26" i="2"/>
  <c r="AK22" i="5" l="1"/>
  <c r="AK2" i="3"/>
  <c r="AL21" i="2"/>
  <c r="AM1" i="2"/>
  <c r="AL17" i="2"/>
  <c r="AL9" i="2"/>
  <c r="AL20" i="2"/>
  <c r="AL6" i="2"/>
  <c r="AL26" i="2"/>
  <c r="AL2" i="3" l="1"/>
  <c r="AM21" i="2"/>
  <c r="AL22" i="5"/>
  <c r="AN1" i="2"/>
  <c r="AM17" i="2"/>
  <c r="AM26" i="2"/>
  <c r="AM20" i="2"/>
  <c r="AM9" i="2"/>
  <c r="AM6" i="2"/>
  <c r="AM2" i="3" l="1"/>
  <c r="AM22" i="5"/>
  <c r="AN21" i="2"/>
  <c r="AO1" i="2"/>
  <c r="AN26" i="2"/>
  <c r="AN17" i="2"/>
  <c r="AN9" i="2"/>
  <c r="AN6" i="2"/>
  <c r="AN20" i="2"/>
  <c r="AN22" i="5" l="1"/>
  <c r="AO21" i="2"/>
  <c r="AN2" i="3"/>
  <c r="AO26" i="2"/>
  <c r="AO9" i="2"/>
  <c r="AO17" i="2"/>
  <c r="AO6" i="2"/>
  <c r="AO20" i="2"/>
  <c r="AO2" i="3" l="1"/>
  <c r="AO2" i="4"/>
  <c r="AO4" i="3"/>
  <c r="AO4" i="4"/>
  <c r="AO19" i="4"/>
  <c r="AO19" i="3"/>
  <c r="AO7" i="3"/>
  <c r="AO7" i="4"/>
  <c r="AO15" i="3"/>
  <c r="AO15" i="4"/>
  <c r="AO15" i="5"/>
  <c r="N16" i="3" l="1"/>
  <c r="L16" i="3"/>
  <c r="S16" i="3"/>
  <c r="R16" i="3"/>
  <c r="T16" i="3"/>
  <c r="O16" i="3"/>
  <c r="Q16" i="3"/>
  <c r="P16" i="3"/>
  <c r="M16" i="3"/>
  <c r="L16" i="4"/>
  <c r="N16" i="4"/>
  <c r="M16" i="4"/>
  <c r="O16" i="4"/>
  <c r="S16" i="4"/>
  <c r="Q16" i="4"/>
  <c r="T16" i="4"/>
  <c r="P16" i="4"/>
  <c r="R16" i="4"/>
  <c r="H18" i="2"/>
  <c r="G18" i="2" s="1"/>
  <c r="F18" i="2" s="1"/>
  <c r="E18" i="2" s="1"/>
  <c r="AD18" i="2"/>
  <c r="AD16" i="1" s="1"/>
  <c r="M18" i="2"/>
  <c r="L18" i="2" s="1"/>
  <c r="O18" i="2"/>
  <c r="W18" i="2"/>
  <c r="W16" i="1" s="1"/>
  <c r="T18" i="2"/>
  <c r="P18" i="2"/>
  <c r="X18" i="2"/>
  <c r="X16" i="1" s="1"/>
  <c r="V18" i="2"/>
  <c r="V16" i="1" s="1"/>
  <c r="AC18" i="2"/>
  <c r="AC16" i="1" s="1"/>
  <c r="S18" i="2"/>
  <c r="AI18" i="2"/>
  <c r="AI16" i="1" s="1"/>
  <c r="N18" i="2"/>
  <c r="AM18" i="2"/>
  <c r="AM16" i="1" s="1"/>
  <c r="Q18" i="2"/>
  <c r="AJ18" i="2"/>
  <c r="AJ16" i="1" s="1"/>
  <c r="R18" i="2"/>
  <c r="Y18" i="2"/>
  <c r="Y16" i="1" s="1"/>
  <c r="AH18" i="2"/>
  <c r="AH16" i="1" s="1"/>
  <c r="U18" i="2"/>
  <c r="AF18" i="2" s="1"/>
  <c r="AF16" i="1" s="1"/>
  <c r="AA18" i="2" l="1"/>
  <c r="AA16" i="1" s="1"/>
  <c r="AB18" i="2"/>
  <c r="AB16" i="1" s="1"/>
  <c r="AO18" i="2"/>
  <c r="AK18" i="2"/>
  <c r="AK16" i="1" s="1"/>
  <c r="U16" i="1"/>
  <c r="AG18" i="2"/>
  <c r="AG16" i="1" s="1"/>
  <c r="R16" i="1"/>
  <c r="P16" i="1"/>
  <c r="T16" i="1"/>
  <c r="L16" i="1"/>
  <c r="M16" i="1"/>
  <c r="Q16" i="1"/>
  <c r="O16" i="1"/>
  <c r="S16" i="1"/>
  <c r="N16" i="1"/>
  <c r="AO16" i="5"/>
  <c r="AL18" i="2"/>
  <c r="AL16" i="1" s="1"/>
  <c r="Z18" i="2"/>
  <c r="Z16" i="1" s="1"/>
  <c r="AE18" i="2"/>
  <c r="AE16" i="1" s="1"/>
  <c r="AN18" i="2"/>
  <c r="AN16" i="1" s="1"/>
  <c r="U22" i="2"/>
  <c r="AG22" i="2" s="1"/>
  <c r="P22" i="2"/>
  <c r="AO16" i="3" l="1"/>
  <c r="AO16" i="4"/>
  <c r="AJ22" i="2"/>
  <c r="W22" i="2"/>
  <c r="Y22" i="2"/>
  <c r="AI22" i="2"/>
  <c r="M22" i="2"/>
  <c r="AH22" i="2"/>
  <c r="AF22" i="2"/>
  <c r="AK22" i="2"/>
  <c r="AM22" i="2"/>
  <c r="Z22" i="2"/>
  <c r="AD22" i="2"/>
  <c r="Q22" i="2"/>
  <c r="O22" i="2"/>
  <c r="V22" i="2"/>
  <c r="T22" i="2"/>
  <c r="AB22" i="2"/>
  <c r="X22" i="2"/>
  <c r="S22" i="2"/>
  <c r="AA22" i="2"/>
  <c r="N22" i="2"/>
  <c r="AL22" i="2"/>
  <c r="R22" i="2"/>
  <c r="AN22" i="2"/>
  <c r="AE22" i="2"/>
  <c r="AO22" i="2"/>
  <c r="AC22" i="2"/>
  <c r="F24" i="4"/>
  <c r="E24" i="4" s="1"/>
  <c r="G24" i="1"/>
  <c r="F24" i="1" s="1"/>
  <c r="E24" i="1" s="1"/>
  <c r="H24" i="1"/>
  <c r="I24" i="1"/>
  <c r="U24" i="4"/>
  <c r="AI24" i="4" s="1"/>
  <c r="AI24" i="1" s="1"/>
  <c r="AM24" i="4" l="1"/>
  <c r="AM24" i="1" s="1"/>
  <c r="AC24" i="4"/>
  <c r="AC24" i="1" s="1"/>
  <c r="AB24" i="4"/>
  <c r="AB24" i="1" s="1"/>
  <c r="AH24" i="4"/>
  <c r="AH24" i="1" s="1"/>
  <c r="AN24" i="4"/>
  <c r="AN24" i="1" s="1"/>
  <c r="U24" i="1"/>
  <c r="Z24" i="4"/>
  <c r="Z24" i="1" s="1"/>
  <c r="AL24" i="4"/>
  <c r="AL24" i="1" s="1"/>
  <c r="AJ24" i="4"/>
  <c r="AJ24" i="1" s="1"/>
  <c r="W24" i="4"/>
  <c r="W24" i="1" s="1"/>
  <c r="AA24" i="4"/>
  <c r="AA24" i="1" s="1"/>
  <c r="AE24" i="4"/>
  <c r="AE24" i="1" s="1"/>
  <c r="AD24" i="4"/>
  <c r="AD24" i="1" s="1"/>
  <c r="AF24" i="4"/>
  <c r="AF24" i="1" s="1"/>
  <c r="X24" i="4"/>
  <c r="X24" i="1" s="1"/>
  <c r="V24" i="4"/>
  <c r="V24" i="1" s="1"/>
  <c r="AK24" i="4"/>
  <c r="AK24" i="1" s="1"/>
  <c r="Y24" i="4"/>
  <c r="Y24" i="1" s="1"/>
  <c r="AG24" i="4"/>
  <c r="AG24" i="1" s="1"/>
  <c r="J24" i="1" l="1"/>
  <c r="T24" i="4"/>
  <c r="T24" i="1" s="1"/>
  <c r="Q24" i="4"/>
  <c r="Q24" i="1" s="1"/>
  <c r="R24" i="4"/>
  <c r="R24" i="1" s="1"/>
  <c r="L24" i="4"/>
  <c r="L24" i="1" s="1"/>
  <c r="P24" i="4"/>
  <c r="P24" i="1" s="1"/>
  <c r="O24" i="4"/>
  <c r="O24" i="1" s="1"/>
  <c r="N24" i="4"/>
  <c r="N24" i="1" s="1"/>
  <c r="S24" i="4"/>
  <c r="S24" i="1" s="1"/>
  <c r="K24" i="1"/>
  <c r="M24" i="4"/>
  <c r="M24" i="1" s="1"/>
</calcChain>
</file>

<file path=xl/sharedStrings.xml><?xml version="1.0" encoding="utf-8"?>
<sst xmlns="http://schemas.openxmlformats.org/spreadsheetml/2006/main" count="396" uniqueCount="84">
  <si>
    <t>company_name</t>
  </si>
  <si>
    <t>company_lei</t>
  </si>
  <si>
    <t>company_id</t>
  </si>
  <si>
    <t>AK STEEL HOLDING CORP</t>
  </si>
  <si>
    <t>529900DT4E7ZNETMVC04</t>
  </si>
  <si>
    <t>US0015471081</t>
  </si>
  <si>
    <t>ARCELORMITTAL</t>
  </si>
  <si>
    <t>2EULGUTUI56JI9SAL165</t>
  </si>
  <si>
    <t>LU0140205948</t>
  </si>
  <si>
    <t>CARPENTER TECHNOLOGY CORP</t>
  </si>
  <si>
    <t>DX6I6ZD3X5WNNCDJKP85</t>
  </si>
  <si>
    <t>US1442851036</t>
  </si>
  <si>
    <t>COMMERCIAL METALS CO</t>
  </si>
  <si>
    <t>549300OQS2LO07ZJ7N73</t>
  </si>
  <si>
    <t>US2017231034</t>
  </si>
  <si>
    <t>FRIEDMAN INDUSTRIES INC</t>
  </si>
  <si>
    <t>LEI05</t>
  </si>
  <si>
    <t>US3584351056</t>
  </si>
  <si>
    <t>GENERAL STEEL HOLDINGS INC</t>
  </si>
  <si>
    <t>5493008ZKBIR02ICY091</t>
  </si>
  <si>
    <t>US3708532029</t>
  </si>
  <si>
    <t>GERDAU S.A.</t>
  </si>
  <si>
    <t>254900YDV6SEQQPZVG24</t>
  </si>
  <si>
    <t>US3737371050</t>
  </si>
  <si>
    <t>GIBRALTAR INDUSTRIES, INC.</t>
  </si>
  <si>
    <t>LEI08</t>
  </si>
  <si>
    <t>US3746891072</t>
  </si>
  <si>
    <t>GROUP SIMEC SA DE CV</t>
  </si>
  <si>
    <t>529900LCYCXPA0TZEU09</t>
  </si>
  <si>
    <t>MXP4984U1083</t>
  </si>
  <si>
    <t>HAYNES INTERNATIONAL INC</t>
  </si>
  <si>
    <t>549300I9MS5UZLRFDO40</t>
  </si>
  <si>
    <t>US4208772016</t>
  </si>
  <si>
    <t>INSTEEL INDUSTRIES INC</t>
  </si>
  <si>
    <t>52990026LKY4MOX3L174</t>
  </si>
  <si>
    <t>US45774W1080</t>
  </si>
  <si>
    <t>LEGATO MERGER CORP.</t>
  </si>
  <si>
    <t>5493006RXIB5GVHWJS53</t>
  </si>
  <si>
    <t>CA0156581070</t>
  </si>
  <si>
    <t>MECHEL PAO</t>
  </si>
  <si>
    <t>253400C9GSPBSKERRP65</t>
  </si>
  <si>
    <t>US5838406081</t>
  </si>
  <si>
    <t>NATIONAL STEEL CO</t>
  </si>
  <si>
    <t>335800Y6L4X95L2FEF64</t>
  </si>
  <si>
    <t>INE088B01015</t>
  </si>
  <si>
    <t>NIPPON STEEL CORP</t>
  </si>
  <si>
    <t>35380065QWQ4U2V3PA33</t>
  </si>
  <si>
    <t>JP3381000003</t>
  </si>
  <si>
    <t>NUCOR CORP</t>
  </si>
  <si>
    <t>549300GGJCRSI2TIEJ46</t>
  </si>
  <si>
    <t>US6703461052</t>
  </si>
  <si>
    <t>OSSEN INNOVATION CO. LTD.</t>
  </si>
  <si>
    <t>LEI17</t>
  </si>
  <si>
    <t>US6884102087</t>
  </si>
  <si>
    <t>POSCO</t>
  </si>
  <si>
    <t>988400E5HRVX81AYLM04</t>
  </si>
  <si>
    <t>KR7005490008</t>
  </si>
  <si>
    <t>STEEL DYNAMICS INC</t>
  </si>
  <si>
    <t>549300HGGKEL4FYTTQ83</t>
  </si>
  <si>
    <t>US8581191009</t>
  </si>
  <si>
    <t>TENARIS SA</t>
  </si>
  <si>
    <t>549300Y7C05BKC4HZB40</t>
  </si>
  <si>
    <t>US88031M1099</t>
  </si>
  <si>
    <t>TERNIUM S.A.</t>
  </si>
  <si>
    <t>529900QG4KU23TEI2E46</t>
  </si>
  <si>
    <t>US8808901081</t>
  </si>
  <si>
    <t>TIMKENSTEEL CORP</t>
  </si>
  <si>
    <t>549300QZTZWHDE9HJL14</t>
  </si>
  <si>
    <t>US8873991033</t>
  </si>
  <si>
    <t>TITAN INTERNATIONAL INC</t>
  </si>
  <si>
    <t>254900CXRGBE7C4B5A06</t>
  </si>
  <si>
    <t>US88830M1027</t>
  </si>
  <si>
    <t>UNITED STATES STEEL CORP</t>
  </si>
  <si>
    <t>JNLUVFYJT1OZSIQ24U47</t>
  </si>
  <si>
    <t>US9129091081</t>
  </si>
  <si>
    <t>UNIVERSAL STAINLESS &amp; ALLOY PRODUCTS INC</t>
  </si>
  <si>
    <t>5493001OEIZDUGXZDE09</t>
  </si>
  <si>
    <t>US9138371003</t>
  </si>
  <si>
    <t>WORTHINGTON INDUSTRIES INC</t>
  </si>
  <si>
    <t>1WRCIANKYOIK6KYE5E82</t>
  </si>
  <si>
    <t>US9818111026</t>
  </si>
  <si>
    <t>549300TM2WLI2BJMDD86</t>
  </si>
  <si>
    <t>US1858991011</t>
  </si>
  <si>
    <t>CLEVELAND-CLIFFS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</si>
</sst>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0"/>
      <name val="Times New Roman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wrapText="1"/>
    </xf>
    <xf numFmtId="0" fontId="0" fillId="2" borderId="0" xfId="0" applyFill="1"/>
    <xf numFmtId="3" fontId="0" fillId="0" borderId="0" xfId="0" applyNumberFormat="1"/>
    <xf numFmtId="0" fontId="0" fillId="3" borderId="0" xfId="0" applyFill="1"/>
    <xf numFmtId="0" fontId="1" fillId="3" borderId="0" xfId="0" applyFont="1" applyFill="1"/>
    <xf numFmtId="3" fontId="0" fillId="3" borderId="0" xfId="0" applyNumberFormat="1" applyFill="1"/>
    <xf numFmtId="4" fontId="0" fillId="3" borderId="0" xfId="0" applyNumberFormat="1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2" fillId="3" borderId="0" xfId="0" applyFont="1" applyFill="1"/>
    <xf numFmtId="0" fontId="2" fillId="5" borderId="0" xfId="0" applyFont="1" applyFill="1"/>
    <xf numFmtId="3" fontId="0" fillId="5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"/>
  <sheetViews>
    <sheetView zoomScale="200" zoomScaleNormal="200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A2" sqref="AA2:AN2"/>
    </sheetView>
  </sheetViews>
  <sheetFormatPr baseColWidth="10" defaultColWidth="11.5" defaultRowHeight="13" x14ac:dyDescent="0.15"/>
  <cols>
    <col min="1" max="1" width="34.33203125" customWidth="1"/>
    <col min="2" max="2" width="23.5" customWidth="1"/>
  </cols>
  <sheetData>
    <row r="1" spans="1:41" x14ac:dyDescent="0.15">
      <c r="A1" t="s">
        <v>0</v>
      </c>
      <c r="B1" t="s">
        <v>1</v>
      </c>
      <c r="C1" t="s">
        <v>2</v>
      </c>
      <c r="E1">
        <v>2014</v>
      </c>
      <c r="F1">
        <f t="shared" ref="F1:AO1" si="0">E1+1</f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  <c r="Z1">
        <f t="shared" si="0"/>
        <v>2035</v>
      </c>
      <c r="AA1">
        <f t="shared" si="0"/>
        <v>2036</v>
      </c>
      <c r="AB1">
        <f t="shared" si="0"/>
        <v>2037</v>
      </c>
      <c r="AC1">
        <f t="shared" si="0"/>
        <v>2038</v>
      </c>
      <c r="AD1">
        <f t="shared" si="0"/>
        <v>2039</v>
      </c>
      <c r="AE1">
        <f t="shared" si="0"/>
        <v>2040</v>
      </c>
      <c r="AF1">
        <f t="shared" si="0"/>
        <v>2041</v>
      </c>
      <c r="AG1">
        <f t="shared" si="0"/>
        <v>2042</v>
      </c>
      <c r="AH1">
        <f t="shared" si="0"/>
        <v>2043</v>
      </c>
      <c r="AI1">
        <f t="shared" si="0"/>
        <v>2044</v>
      </c>
      <c r="AJ1">
        <f t="shared" si="0"/>
        <v>2045</v>
      </c>
      <c r="AK1">
        <f t="shared" si="0"/>
        <v>2046</v>
      </c>
      <c r="AL1">
        <f t="shared" si="0"/>
        <v>2047</v>
      </c>
      <c r="AM1">
        <f t="shared" si="0"/>
        <v>2048</v>
      </c>
      <c r="AN1">
        <f t="shared" si="0"/>
        <v>2049</v>
      </c>
      <c r="AO1">
        <f t="shared" si="0"/>
        <v>2050</v>
      </c>
    </row>
    <row r="2" spans="1:41" x14ac:dyDescent="0.15">
      <c r="A2" t="s">
        <v>9</v>
      </c>
      <c r="B2" t="s">
        <v>10</v>
      </c>
      <c r="C2" t="s">
        <v>11</v>
      </c>
      <c r="E2">
        <f t="shared" ref="E2:G4" si="1">F2</f>
        <v>2.7004793886091725</v>
      </c>
      <c r="F2">
        <f t="shared" si="1"/>
        <v>2.7004793886091725</v>
      </c>
      <c r="G2">
        <v>2.7004793886091725</v>
      </c>
      <c r="H2">
        <v>2.7004793886091725</v>
      </c>
      <c r="I2">
        <v>2.7004793886091725</v>
      </c>
      <c r="J2">
        <v>2.93</v>
      </c>
      <c r="K2">
        <v>2.82</v>
      </c>
      <c r="L2">
        <v>3.98</v>
      </c>
      <c r="M2">
        <f>($J2-$Z2)*($Z$1-M$1)/($Z$1-$J$1)+$Z2</f>
        <v>2.7650000000000001</v>
      </c>
      <c r="N2">
        <f t="shared" ref="N2:Y2" si="2">($J2-$Z2)*($Z$1-N$1)/($Z$1-$J$1)+$Z2</f>
        <v>2.71</v>
      </c>
      <c r="O2">
        <f t="shared" si="2"/>
        <v>2.6550000000000002</v>
      </c>
      <c r="P2">
        <f t="shared" si="2"/>
        <v>2.6</v>
      </c>
      <c r="Q2">
        <f t="shared" si="2"/>
        <v>2.5449999999999999</v>
      </c>
      <c r="R2">
        <f t="shared" si="2"/>
        <v>2.4900000000000002</v>
      </c>
      <c r="S2">
        <f t="shared" si="2"/>
        <v>2.4350000000000001</v>
      </c>
      <c r="T2">
        <f t="shared" si="2"/>
        <v>2.38</v>
      </c>
      <c r="U2">
        <f t="shared" si="2"/>
        <v>2.3250000000000002</v>
      </c>
      <c r="V2">
        <f t="shared" si="2"/>
        <v>2.27</v>
      </c>
      <c r="W2">
        <f t="shared" si="2"/>
        <v>2.2149999999999999</v>
      </c>
      <c r="X2">
        <f t="shared" si="2"/>
        <v>2.1599999999999997</v>
      </c>
      <c r="Y2">
        <f t="shared" si="2"/>
        <v>2.105</v>
      </c>
      <c r="Z2">
        <v>2.0499999999999998</v>
      </c>
      <c r="AA2">
        <f>$Z2*($AO$1-AA$1)/($AO$1-$Z$1)</f>
        <v>1.9133333333333331</v>
      </c>
      <c r="AB2">
        <f t="shared" ref="AB2:AN2" si="3">$Z2*($AO$1-AB$1)/($AO$1-$Z$1)</f>
        <v>1.7766666666666666</v>
      </c>
      <c r="AC2">
        <f t="shared" si="3"/>
        <v>1.64</v>
      </c>
      <c r="AD2">
        <f t="shared" si="3"/>
        <v>1.5033333333333332</v>
      </c>
      <c r="AE2">
        <f t="shared" si="3"/>
        <v>1.3666666666666667</v>
      </c>
      <c r="AF2">
        <f t="shared" si="3"/>
        <v>1.23</v>
      </c>
      <c r="AG2">
        <f t="shared" si="3"/>
        <v>1.0933333333333333</v>
      </c>
      <c r="AH2">
        <f t="shared" si="3"/>
        <v>0.95666666666666655</v>
      </c>
      <c r="AI2">
        <f t="shared" si="3"/>
        <v>0.82</v>
      </c>
      <c r="AJ2">
        <f t="shared" si="3"/>
        <v>0.68333333333333335</v>
      </c>
      <c r="AK2">
        <f t="shared" si="3"/>
        <v>0.54666666666666663</v>
      </c>
      <c r="AL2">
        <f t="shared" si="3"/>
        <v>0.41</v>
      </c>
      <c r="AM2">
        <f t="shared" si="3"/>
        <v>0.27333333333333332</v>
      </c>
      <c r="AN2">
        <f t="shared" si="3"/>
        <v>0.13666666666666666</v>
      </c>
      <c r="AO2">
        <v>0</v>
      </c>
    </row>
    <row r="3" spans="1:41" x14ac:dyDescent="0.15">
      <c r="A3" s="2" t="s">
        <v>83</v>
      </c>
      <c r="B3" s="2" t="s">
        <v>81</v>
      </c>
      <c r="C3" s="2" t="s">
        <v>82</v>
      </c>
      <c r="E3" s="8">
        <f>('Steel CO2e S1'!E3+'Steel CO2e S2'!E3)/'Steel Fe_tons'!E5</f>
        <v>0.43398399632997853</v>
      </c>
      <c r="F3" s="8">
        <f>('Steel CO2e S1'!F3+'Steel CO2e S2'!F3)/'Steel Fe_tons'!F5</f>
        <v>0.40668896738276888</v>
      </c>
      <c r="G3" s="8">
        <f>('Steel CO2e S1'!G3+'Steel CO2e S2'!G3)/'Steel Fe_tons'!G5</f>
        <v>0.41845709969837325</v>
      </c>
      <c r="H3" s="8">
        <f>('Steel CO2e S1'!H3+'Steel CO2e S2'!H3)/'Steel Fe_tons'!H5</f>
        <v>0.40564327684625545</v>
      </c>
      <c r="I3" s="8">
        <f>('Steel CO2e S1'!I3+'Steel CO2e S2'!I3)/'Steel Fe_tons'!I5</f>
        <v>0.39570207240912586</v>
      </c>
      <c r="J3" s="8">
        <f>('Steel CO2e S1'!J3+'Steel CO2e S2'!J3)/'Steel Fe_tons'!J5</f>
        <v>0.3870787857572705</v>
      </c>
      <c r="K3" s="8">
        <f>('Steel CO2e S1'!K3+'Steel CO2e S2'!K3)/'Steel Fe_tons'!K5</f>
        <v>0.39289026122570081</v>
      </c>
      <c r="L3" s="8">
        <f>('Steel CO2e S1'!L3+'Steel CO2e S2'!L3)/'Steel Fe_tons'!L5</f>
        <v>0.42500251059543775</v>
      </c>
      <c r="M3" s="8">
        <f>('Steel CO2e S1'!M3+'Steel CO2e S2'!M3)/'Steel Fe_tons'!M5</f>
        <v>0.4157349493948016</v>
      </c>
      <c r="N3" s="8">
        <f>('Steel CO2e S1'!N3+'Steel CO2e S2'!N3)/'Steel Fe_tons'!N5</f>
        <v>0.4066484861811831</v>
      </c>
      <c r="O3" s="8">
        <f>('Steel CO2e S1'!O3+'Steel CO2e S2'!O3)/'Steel Fe_tons'!O5</f>
        <v>0.39773979232983109</v>
      </c>
      <c r="P3" s="8">
        <f>('Steel CO2e S1'!P3+'Steel CO2e S2'!P3)/'Steel Fe_tons'!P5</f>
        <v>0.38900559804739154</v>
      </c>
      <c r="Q3" s="8">
        <f>('Steel CO2e S1'!Q3+'Steel CO2e S2'!Q3)/'Steel Fe_tons'!Q5</f>
        <v>0.38044269136001713</v>
      </c>
      <c r="R3" s="8">
        <f>('Steel CO2e S1'!R3+'Steel CO2e S2'!R3)/'Steel Fe_tons'!R5</f>
        <v>0.37204791711853563</v>
      </c>
      <c r="S3" s="8">
        <f>('Steel CO2e S1'!S3+'Steel CO2e S2'!S3)/'Steel Fe_tons'!S5</f>
        <v>0.36381817602039362</v>
      </c>
      <c r="T3" s="8">
        <f>('Steel CO2e S1'!T3+'Steel CO2e S2'!T3)/'Steel Fe_tons'!T5</f>
        <v>0.35575042364809978</v>
      </c>
      <c r="U3" s="8">
        <f>('Steel CO2e S1'!U3+'Steel CO2e S2'!U3)/'Steel Fe_tons'!U5</f>
        <v>0.34784166952388929</v>
      </c>
      <c r="V3" s="8">
        <f>('Steel CO2e S1'!V3+'Steel CO2e S2'!V3)/'Steel Fe_tons'!V5</f>
        <v>0.3255660946282708</v>
      </c>
      <c r="W3" s="8">
        <f>('Steel CO2e S1'!W3+'Steel CO2e S2'!W3)/'Steel Fe_tons'!W5</f>
        <v>0.30387294287315919</v>
      </c>
      <c r="X3" s="8">
        <f>('Steel CO2e S1'!X3+'Steel CO2e S2'!X3)/'Steel Fe_tons'!X5</f>
        <v>0.28274986474240321</v>
      </c>
      <c r="Y3" s="8">
        <f>('Steel CO2e S1'!Y3+'Steel CO2e S2'!Y3)/'Steel Fe_tons'!Y5</f>
        <v>0.26218474852961182</v>
      </c>
      <c r="Z3" s="8">
        <f>('Steel CO2e S1'!Z3+'Steel CO2e S2'!Z3)/'Steel Fe_tons'!Z5</f>
        <v>0.24216571600641493</v>
      </c>
      <c r="AA3" s="8">
        <f>('Steel CO2e S1'!AA3+'Steel CO2e S2'!AA3)/'Steel Fe_tons'!AA5</f>
        <v>0.22268111816681835</v>
      </c>
      <c r="AB3" s="8">
        <f>('Steel CO2e S1'!AB3+'Steel CO2e S2'!AB3)/'Steel Fe_tons'!AB5</f>
        <v>0.20371953104635043</v>
      </c>
      <c r="AC3" s="8">
        <f>('Steel CO2e S1'!AC3+'Steel CO2e S2'!AC3)/'Steel Fe_tons'!AC5</f>
        <v>0.18526975161471809</v>
      </c>
      <c r="AD3" s="8">
        <f>('Steel CO2e S1'!AD3+'Steel CO2e S2'!AD3)/'Steel Fe_tons'!AD5</f>
        <v>0.16732079374071421</v>
      </c>
      <c r="AE3" s="8">
        <f>('Steel CO2e S1'!AE3+'Steel CO2e S2'!AE3)/'Steel Fe_tons'!AE5</f>
        <v>0.14986188422813632</v>
      </c>
      <c r="AF3" s="8">
        <f>('Steel CO2e S1'!AF3+'Steel CO2e S2'!AF3)/'Steel Fe_tons'!AF5</f>
        <v>0.13288245892150025</v>
      </c>
      <c r="AG3" s="8">
        <f>('Steel CO2e S1'!AG3+'Steel CO2e S2'!AG3)/'Steel Fe_tons'!AG5</f>
        <v>0.1163721588803505</v>
      </c>
      <c r="AH3" s="8">
        <f>('Steel CO2e S1'!AH3+'Steel CO2e S2'!AH3)/'Steel Fe_tons'!AH5</f>
        <v>0.10032082662099184</v>
      </c>
      <c r="AI3" s="8">
        <f>('Steel CO2e S1'!AI3+'Steel CO2e S2'!AI3)/'Steel Fe_tons'!AI5</f>
        <v>8.4718502424482922E-2</v>
      </c>
      <c r="AJ3" s="8">
        <f>('Steel CO2e S1'!AJ3+'Steel CO2e S2'!AJ3)/'Steel Fe_tons'!AJ5</f>
        <v>6.9555420709756108E-2</v>
      </c>
      <c r="AK3" s="8">
        <f>('Steel CO2e S1'!AK3+'Steel CO2e S2'!AK3)/'Steel Fe_tons'!AK5</f>
        <v>5.4822006470743721E-2</v>
      </c>
      <c r="AL3" s="8">
        <f>('Steel CO2e S1'!AL3+'Steel CO2e S2'!AL3)/'Steel Fe_tons'!AL5</f>
        <v>4.0508871776411624E-2</v>
      </c>
      <c r="AM3" s="8">
        <f>('Steel CO2e S1'!AM3+'Steel CO2e S2'!AM3)/'Steel Fe_tons'!AM5</f>
        <v>2.6606812332618475E-2</v>
      </c>
      <c r="AN3" s="8">
        <f>('Steel CO2e S1'!AN3+'Steel CO2e S2'!AN3)/'Steel Fe_tons'!AN5</f>
        <v>1.3106804104738169E-2</v>
      </c>
      <c r="AO3">
        <v>0</v>
      </c>
    </row>
    <row r="4" spans="1:41" x14ac:dyDescent="0.15">
      <c r="A4" t="s">
        <v>12</v>
      </c>
      <c r="B4" t="s">
        <v>13</v>
      </c>
      <c r="C4" t="s">
        <v>14</v>
      </c>
      <c r="E4">
        <f t="shared" si="1"/>
        <v>0.48072687473968234</v>
      </c>
      <c r="F4">
        <f t="shared" si="1"/>
        <v>0.48072687473968234</v>
      </c>
      <c r="G4">
        <f t="shared" si="1"/>
        <v>0.48072687473968234</v>
      </c>
      <c r="H4">
        <f>I4</f>
        <v>0.48072687473968234</v>
      </c>
      <c r="I4">
        <f>J4</f>
        <v>0.48072687473968234</v>
      </c>
      <c r="J4" s="4">
        <f>('Steel CO2e S1'!J4+'Steel CO2e S2'!J4)/'Steel Fe_tons'!J6</f>
        <v>0.48072687473968234</v>
      </c>
      <c r="K4" s="4">
        <f>('Steel CO2e S1'!K4+'Steel CO2e S2'!K4)/'Steel Fe_tons'!K6</f>
        <v>0.46412985460733014</v>
      </c>
      <c r="L4" s="4">
        <f>('Steel CO2e S1'!L4+'Steel CO2e S2'!L4)/'Steel Fe_tons'!L6</f>
        <v>0.45117211198456225</v>
      </c>
      <c r="M4" s="8">
        <f>('Steel CO2e S1'!M4+'Steel CO2e S2'!M4)/'Steel Fe_tons'!M6</f>
        <v>0.43762735941522923</v>
      </c>
      <c r="N4" s="8">
        <f>('Steel CO2e S1'!N4+'Steel CO2e S2'!N4)/'Steel Fe_tons'!N6</f>
        <v>0.42165049173948277</v>
      </c>
      <c r="O4" s="8">
        <f>('Steel CO2e S1'!O4+'Steel CO2e S2'!O4)/'Steel Fe_tons'!O6</f>
        <v>0.40605026942262212</v>
      </c>
      <c r="P4" s="8">
        <f>('Steel CO2e S1'!P4+'Steel CO2e S2'!P4)/'Steel Fe_tons'!P6</f>
        <v>0.39081904941972873</v>
      </c>
      <c r="Q4" s="8">
        <f>('Steel CO2e S1'!Q4+'Steel CO2e S2'!Q4)/'Steel Fe_tons'!Q6</f>
        <v>0.3759493323297603</v>
      </c>
      <c r="R4" s="8">
        <f>('Steel CO2e S1'!R4+'Steel CO2e S2'!R4)/'Steel Fe_tons'!R6</f>
        <v>0.36143375981915082</v>
      </c>
      <c r="S4" s="8">
        <f>('Steel CO2e S1'!S4+'Steel CO2e S2'!S4)/'Steel Fe_tons'!S6</f>
        <v>0.34726511209018984</v>
      </c>
      <c r="T4" s="8">
        <f>('Steel CO2e S1'!T4+'Steel CO2e S2'!T4)/'Steel Fe_tons'!T6</f>
        <v>0.33343630539341845</v>
      </c>
      <c r="U4" s="4">
        <f>('Steel CO2e S1'!U4+'Steel CO2e S2'!U4)/'Steel Fe_tons'!U6</f>
        <v>0.31994038958329457</v>
      </c>
      <c r="V4" s="8">
        <f>('Steel CO2e S1'!V4+'Steel CO2e S2'!V4)/'Steel Fe_tons'!V6</f>
        <v>0.2994515961617043</v>
      </c>
      <c r="W4" s="8">
        <f>('Steel CO2e S1'!W4+'Steel CO2e S2'!W4)/'Steel Fe_tons'!W6</f>
        <v>0.27949850821419125</v>
      </c>
      <c r="X4" s="8">
        <f>('Steel CO2e S1'!X4+'Steel CO2e S2'!X4)/'Steel Fe_tons'!X6</f>
        <v>0.26006976681123434</v>
      </c>
      <c r="Y4" s="8">
        <f>('Steel CO2e S1'!Y4+'Steel CO2e S2'!Y4)/'Steel Fe_tons'!Y6</f>
        <v>0.24115423175773693</v>
      </c>
      <c r="Z4" s="8">
        <f>('Steel CO2e S1'!Z4+'Steel CO2e S2'!Z4)/'Steel Fe_tons'!Z6</f>
        <v>0.2227409776087472</v>
      </c>
      <c r="AA4" s="8">
        <f>('Steel CO2e S1'!AA4+'Steel CO2e S2'!AA4)/'Steel Fe_tons'!AA6</f>
        <v>0.20481928975516989</v>
      </c>
      <c r="AB4" s="8">
        <f>('Steel CO2e S1'!AB4+'Steel CO2e S2'!AB4)/'Steel Fe_tons'!AB6</f>
        <v>0.18737866057826943</v>
      </c>
      <c r="AC4" s="8">
        <f>('Steel CO2e S1'!AC4+'Steel CO2e S2'!AC4)/'Steel Fe_tons'!AC6</f>
        <v>0.17040878567178733</v>
      </c>
      <c r="AD4" s="8">
        <f>('Steel CO2e S1'!AD4+'Steel CO2e S2'!AD4)/'Steel Fe_tons'!AD6</f>
        <v>0.15389956013051398</v>
      </c>
      <c r="AE4" s="8">
        <f>('Steel CO2e S1'!AE4+'Steel CO2e S2'!AE4)/'Steel Fe_tons'!AE6</f>
        <v>0.13784107490417735</v>
      </c>
      <c r="AF4" s="8">
        <f>('Steel CO2e S1'!AF4+'Steel CO2e S2'!AF4)/'Steel Fe_tons'!AF6</f>
        <v>0.12222361321552673</v>
      </c>
      <c r="AG4" s="8">
        <f>('Steel CO2e S1'!AG4+'Steel CO2e S2'!AG4)/'Steel Fe_tons'!AG6</f>
        <v>0.10703764704151221</v>
      </c>
      <c r="AH4" s="8">
        <f>('Steel CO2e S1'!AH4+'Steel CO2e S2'!AH4)/'Steel Fe_tons'!AH6</f>
        <v>9.2273833656476067E-2</v>
      </c>
      <c r="AI4" s="8">
        <f>('Steel CO2e S1'!AI4+'Steel CO2e S2'!AI4)/'Steel Fe_tons'!AI6</f>
        <v>7.7923012236292263E-2</v>
      </c>
      <c r="AJ4" s="8">
        <f>('Steel CO2e S1'!AJ4+'Steel CO2e S2'!AJ4)/'Steel Fe_tons'!AJ6</f>
        <v>6.3976200522407448E-2</v>
      </c>
      <c r="AK4" s="8">
        <f>('Steel CO2e S1'!AK4+'Steel CO2e S2'!AK4)/'Steel Fe_tons'!AK6</f>
        <v>5.0424591544754642E-2</v>
      </c>
      <c r="AL4" s="8">
        <f>('Steel CO2e S1'!AL4+'Steel CO2e S2'!AL4)/'Steel Fe_tons'!AL6</f>
        <v>3.7259550402528069E-2</v>
      </c>
      <c r="AM4" s="8">
        <f>('Steel CO2e S1'!AM4+'Steel CO2e S2'!AM4)/'Steel Fe_tons'!AM6</f>
        <v>2.4472611101824675E-2</v>
      </c>
      <c r="AN4" s="8">
        <f>('Steel CO2e S1'!AN4+'Steel CO2e S2'!AN4)/'Steel Fe_tons'!AN6</f>
        <v>1.2055473449174717E-2</v>
      </c>
      <c r="AO4">
        <v>0</v>
      </c>
    </row>
    <row r="5" spans="1:41" x14ac:dyDescent="0.15">
      <c r="A5" t="s">
        <v>15</v>
      </c>
      <c r="B5" t="s">
        <v>16</v>
      </c>
      <c r="C5" t="s">
        <v>17</v>
      </c>
    </row>
    <row r="6" spans="1:41" x14ac:dyDescent="0.15">
      <c r="A6" t="s">
        <v>18</v>
      </c>
      <c r="B6" t="s">
        <v>19</v>
      </c>
      <c r="C6" t="s">
        <v>20</v>
      </c>
    </row>
    <row r="7" spans="1:41" x14ac:dyDescent="0.15">
      <c r="A7" t="s">
        <v>21</v>
      </c>
      <c r="B7" t="s">
        <v>22</v>
      </c>
      <c r="C7" t="s">
        <v>23</v>
      </c>
      <c r="E7">
        <f>F7</f>
        <v>1</v>
      </c>
      <c r="F7">
        <f>G7</f>
        <v>1</v>
      </c>
      <c r="G7">
        <f>H7</f>
        <v>1</v>
      </c>
      <c r="H7">
        <v>1</v>
      </c>
      <c r="I7">
        <v>1</v>
      </c>
      <c r="J7" s="4">
        <f>('Steel CO2e S1'!J7+'Steel CO2e S2'!J7)/'Steel Fe_tons'!J9</f>
        <v>0.95940014610017954</v>
      </c>
      <c r="K7" s="4">
        <f>('Steel CO2e S1'!K7+'Steel CO2e S2'!K7)/'Steel Fe_tons'!K9</f>
        <v>0.85836386255391084</v>
      </c>
      <c r="L7" s="8">
        <f>('Steel CO2e S1'!L7+'Steel CO2e S2'!L7)/'Steel Fe_tons'!L9</f>
        <v>0.86171002779103867</v>
      </c>
      <c r="M7" s="8">
        <f>('Steel CO2e S1'!M7+'Steel CO2e S2'!M7)/'Steel Fe_tons'!M9</f>
        <v>0.83164936833155467</v>
      </c>
      <c r="N7" s="8">
        <f>('Steel CO2e S1'!N7+'Steel CO2e S2'!N7)/'Steel Fe_tons'!N9</f>
        <v>0.80228900475334708</v>
      </c>
      <c r="O7" s="8">
        <f>('Steel CO2e S1'!O7+'Steel CO2e S2'!O7)/'Steel Fe_tons'!O9</f>
        <v>0.77361480387074677</v>
      </c>
      <c r="P7" s="8">
        <f>('Steel CO2e S1'!P7+'Steel CO2e S2'!P7)/'Steel Fe_tons'!P9</f>
        <v>0.74561289728386404</v>
      </c>
      <c r="Q7" s="8">
        <f>('Steel CO2e S1'!Q7+'Steel CO2e S2'!Q7)/'Steel Fe_tons'!Q9</f>
        <v>0.71826967663908081</v>
      </c>
      <c r="R7" s="8">
        <f>('Steel CO2e S1'!R7+'Steel CO2e S2'!R7)/'Steel Fe_tons'!R9</f>
        <v>0.6915717889717975</v>
      </c>
      <c r="S7" s="8">
        <f>('Steel CO2e S1'!S7+'Steel CO2e S2'!S7)/'Steel Fe_tons'!S9</f>
        <v>0.66550613213003784</v>
      </c>
      <c r="T7" s="8">
        <f>('Steel CO2e S1'!T7+'Steel CO2e S2'!T7)/'Steel Fe_tons'!T9</f>
        <v>0.64005985027754064</v>
      </c>
      <c r="U7" s="8">
        <f>('Steel CO2e S1'!U7+'Steel CO2e S2'!U7)/'Steel Fe_tons'!U9</f>
        <v>0.61522032947498806</v>
      </c>
      <c r="V7" s="8">
        <f>('Steel CO2e S1'!V7+'Steel CO2e S2'!V7)/'Steel Fe_tons'!V9</f>
        <v>0.57582198325245193</v>
      </c>
      <c r="W7" s="8">
        <f>('Steel CO2e S1'!W7+'Steel CO2e S2'!W7)/'Steel Fe_tons'!W9</f>
        <v>0.5374537567303157</v>
      </c>
      <c r="X7" s="8">
        <f>('Steel CO2e S1'!X7+'Steel CO2e S2'!X7)/'Steel Fe_tons'!X9</f>
        <v>0.500093807576101</v>
      </c>
      <c r="Y7" s="8">
        <f>('Steel CO2e S1'!Y7+'Steel CO2e S2'!Y7)/'Steel Fe_tons'!Y9</f>
        <v>0.46372071406650928</v>
      </c>
      <c r="Z7" s="8">
        <f>('Steel CO2e S1'!Z7+'Steel CO2e S2'!Z7)/'Steel Fe_tons'!Z9</f>
        <v>0.42831346742596316</v>
      </c>
      <c r="AA7" s="8">
        <f>('Steel CO2e S1'!AA7+'Steel CO2e S2'!AA7)/'Steel Fe_tons'!AA9</f>
        <v>0.39385146429973622</v>
      </c>
      <c r="AB7" s="8">
        <f>('Steel CO2e S1'!AB7+'Steel CO2e S2'!AB7)/'Steel Fe_tons'!AB9</f>
        <v>0.36031449935936471</v>
      </c>
      <c r="AC7" s="8">
        <f>('Steel CO2e S1'!AC7+'Steel CO2e S2'!AC7)/'Steel Fe_tons'!AC9</f>
        <v>0.32768275803807329</v>
      </c>
      <c r="AD7" s="8">
        <f>('Steel CO2e S1'!AD7+'Steel CO2e S2'!AD7)/'Steel Fe_tons'!AD9</f>
        <v>0.2959368093939907</v>
      </c>
      <c r="AE7" s="8">
        <f>('Steel CO2e S1'!AE7+'Steel CO2e S2'!AE7)/'Steel Fe_tons'!AE9</f>
        <v>0.26505759909896165</v>
      </c>
      <c r="AF7" s="8">
        <f>('Steel CO2e S1'!AF7+'Steel CO2e S2'!AF7)/'Steel Fe_tons'!AF9</f>
        <v>0.23502644255080346</v>
      </c>
      <c r="AG7" s="8">
        <f>('Steel CO2e S1'!AG7+'Steel CO2e S2'!AG7)/'Steel Fe_tons'!AG9</f>
        <v>0.20582501810688869</v>
      </c>
      <c r="AH7" s="8">
        <f>('Steel CO2e S1'!AH7+'Steel CO2e S2'!AH7)/'Steel Fe_tons'!AH9</f>
        <v>0.177435360436973</v>
      </c>
      <c r="AI7" s="8">
        <f>('Steel CO2e S1'!AI7+'Steel CO2e S2'!AI7)/'Steel Fe_tons'!AI9</f>
        <v>0.14983985399322144</v>
      </c>
      <c r="AJ7" s="8">
        <f>('Steel CO2e S1'!AJ7+'Steel CO2e S2'!AJ7)/'Steel Fe_tons'!AJ9</f>
        <v>0.12302122659541991</v>
      </c>
      <c r="AK7" s="8">
        <f>('Steel CO2e S1'!AK7+'Steel CO2e S2'!AK7)/'Steel Fe_tons'!AK9</f>
        <v>9.6962543129395021E-2</v>
      </c>
      <c r="AL7" s="8">
        <f>('Steel CO2e S1'!AL7+'Steel CO2e S2'!AL7)/'Steel Fe_tons'!AL9</f>
        <v>7.1647199356695848E-2</v>
      </c>
      <c r="AM7" s="8">
        <f>('Steel CO2e S1'!AM7+'Steel CO2e S2'!AM7)/'Steel Fe_tons'!AM9</f>
        <v>4.7058915833626168E-2</v>
      </c>
      <c r="AN7" s="8">
        <f>('Steel CO2e S1'!AN7+'Steel CO2e S2'!AN7)/'Steel Fe_tons'!AN9</f>
        <v>2.3181731937746881E-2</v>
      </c>
      <c r="AO7">
        <v>0</v>
      </c>
    </row>
    <row r="8" spans="1:41" x14ac:dyDescent="0.15">
      <c r="A8" t="s">
        <v>24</v>
      </c>
      <c r="B8" t="s">
        <v>25</v>
      </c>
      <c r="C8" t="s">
        <v>26</v>
      </c>
    </row>
    <row r="9" spans="1:41" x14ac:dyDescent="0.15">
      <c r="A9" t="s">
        <v>27</v>
      </c>
      <c r="B9" t="s">
        <v>28</v>
      </c>
      <c r="C9" t="s">
        <v>29</v>
      </c>
    </row>
    <row r="10" spans="1:41" x14ac:dyDescent="0.15">
      <c r="A10" t="s">
        <v>30</v>
      </c>
      <c r="B10" t="s">
        <v>31</v>
      </c>
      <c r="C10" t="s">
        <v>32</v>
      </c>
    </row>
    <row r="11" spans="1:41" x14ac:dyDescent="0.15">
      <c r="A11" t="s">
        <v>33</v>
      </c>
      <c r="B11" t="s">
        <v>34</v>
      </c>
      <c r="C11" t="s">
        <v>35</v>
      </c>
    </row>
    <row r="12" spans="1:41" x14ac:dyDescent="0.15">
      <c r="A12" t="s">
        <v>36</v>
      </c>
      <c r="B12" t="s">
        <v>37</v>
      </c>
      <c r="C12" t="s">
        <v>38</v>
      </c>
    </row>
    <row r="13" spans="1:41" x14ac:dyDescent="0.15">
      <c r="A13" t="s">
        <v>39</v>
      </c>
      <c r="B13" t="s">
        <v>40</v>
      </c>
      <c r="C13" t="s">
        <v>41</v>
      </c>
    </row>
    <row r="14" spans="1:41" x14ac:dyDescent="0.15">
      <c r="A14" t="s">
        <v>42</v>
      </c>
      <c r="B14" t="s">
        <v>43</v>
      </c>
      <c r="C14" t="s">
        <v>44</v>
      </c>
    </row>
    <row r="15" spans="1:41" x14ac:dyDescent="0.15">
      <c r="A15" t="s">
        <v>45</v>
      </c>
      <c r="B15" t="s">
        <v>46</v>
      </c>
      <c r="C15" t="s">
        <v>47</v>
      </c>
      <c r="E15">
        <f>F15</f>
        <v>1.8753327954820491</v>
      </c>
      <c r="F15">
        <f>G15</f>
        <v>1.8753327954820491</v>
      </c>
      <c r="G15">
        <f>H15</f>
        <v>1.8753327954820491</v>
      </c>
      <c r="H15" s="4">
        <f>('Steel CO2e S1'!H15+'Steel CO2e S2'!H15)/'Steel Fe_tons'!H17</f>
        <v>1.8753327954820491</v>
      </c>
      <c r="I15" s="4">
        <f>('Steel CO2e S1'!I15+'Steel CO2e S2'!I15)/'Steel Fe_tons'!I17</f>
        <v>1.9311752577319587</v>
      </c>
      <c r="J15" s="4">
        <f>('Steel CO2e S1'!J15+'Steel CO2e S2'!J15)/'Steel Fe_tons'!J17</f>
        <v>1.9669208977990849</v>
      </c>
      <c r="K15" s="4">
        <f>('Steel CO2e S1'!K15+'Steel CO2e S2'!K15)/'Steel Fe_tons'!K17</f>
        <v>2.012175812175812</v>
      </c>
      <c r="L15" s="8">
        <f>('Steel CO2e S1'!L15+'Steel CO2e S2'!L15)/'Steel Fe_tons'!L17</f>
        <v>1.7217494209434896</v>
      </c>
      <c r="M15" s="8">
        <f>('Steel CO2e S1'!M15+'Steel CO2e S2'!M15)/'Steel Fe_tons'!M17</f>
        <v>1.5000539542185085</v>
      </c>
      <c r="N15" s="8">
        <f>('Steel CO2e S1'!N15+'Steel CO2e S2'!N15)/'Steel Fe_tons'!N17</f>
        <v>1.4601861974134556</v>
      </c>
      <c r="O15" s="8">
        <f>('Steel CO2e S1'!O15+'Steel CO2e S2'!O15)/'Steel Fe_tons'!O17</f>
        <v>1.4211691878286845</v>
      </c>
      <c r="P15" s="8">
        <f>('Steel CO2e S1'!P15+'Steel CO2e S2'!P15)/'Steel Fe_tons'!P17</f>
        <v>1.3829864873001279</v>
      </c>
      <c r="Q15" s="8">
        <f>('Steel CO2e S1'!Q15+'Steel CO2e S2'!Q15)/'Steel Fe_tons'!Q17</f>
        <v>1.3456219577185324</v>
      </c>
      <c r="R15" s="8">
        <f>('Steel CO2e S1'!R15+'Steel CO2e S2'!R15)/'Steel Fe_tons'!R17</f>
        <v>1.3090597557509209</v>
      </c>
      <c r="S15" s="8">
        <f>('Steel CO2e S1'!S15+'Steel CO2e S2'!S15)/'Steel Fe_tons'!S17</f>
        <v>1.2732843276525392</v>
      </c>
      <c r="T15" s="8">
        <f>('Steel CO2e S1'!T15+'Steel CO2e S2'!T15)/'Steel Fe_tons'!T17</f>
        <v>1.2382804041677631</v>
      </c>
      <c r="U15" s="8">
        <f>('Steel CO2e S1'!U15+'Steel CO2e S2'!U15)/'Steel Fe_tons'!U17</f>
        <v>1.2040329955184739</v>
      </c>
      <c r="V15" s="8">
        <f>('Steel CO2e S1'!V15+'Steel CO2e S2'!V15)/'Steel Fe_tons'!V17</f>
        <v>1.1269274342291136</v>
      </c>
      <c r="W15" s="8">
        <f>('Steel CO2e S1'!W15+'Steel CO2e S2'!W15)/'Steel Fe_tons'!W17</f>
        <v>1.0518378955729351</v>
      </c>
      <c r="X15" s="8">
        <f>('Steel CO2e S1'!X15+'Steel CO2e S2'!X15)/'Steel Fe_tons'!X17</f>
        <v>0.97872163244334409</v>
      </c>
      <c r="Y15" s="8">
        <f>('Steel CO2e S1'!Y15+'Steel CO2e S2'!Y15)/'Steel Fe_tons'!Y17</f>
        <v>0.90753672089791404</v>
      </c>
      <c r="Z15" s="8">
        <f>('Steel CO2e S1'!Z15+'Steel CO2e S2'!Z15)/'Steel Fe_tons'!Z17</f>
        <v>0.83824204516432965</v>
      </c>
      <c r="AA15" s="8">
        <f>('Steel CO2e S1'!AA15+'Steel CO2e S2'!AA15)/'Steel Fe_tons'!AA17</f>
        <v>0.77079728290972849</v>
      </c>
      <c r="AB15" s="8">
        <f>('Steel CO2e S1'!AB15+'Steel CO2e S2'!AB15)/'Steel Fe_tons'!AB17</f>
        <v>0.70516289076892835</v>
      </c>
      <c r="AC15" s="8">
        <f>('Steel CO2e S1'!AC15+'Steel CO2e S2'!AC15)/'Steel Fe_tons'!AC17</f>
        <v>0.64130009012710432</v>
      </c>
      <c r="AD15" s="8">
        <f>('Steel CO2e S1'!AD15+'Steel CO2e S2'!AD15)/'Steel Fe_tons'!AD17</f>
        <v>0.57917085315255734</v>
      </c>
      <c r="AE15" s="8">
        <f>('Steel CO2e S1'!AE15+'Steel CO2e S2'!AE15)/'Steel Fe_tons'!AE17</f>
        <v>0.51873788907528651</v>
      </c>
      <c r="AF15" s="8">
        <f>('Steel CO2e S1'!AF15+'Steel CO2e S2'!AF15)/'Steel Fe_tons'!AF17</f>
        <v>0.45996463070715066</v>
      </c>
      <c r="AG15" s="8">
        <f>('Steel CO2e S1'!AG15+'Steel CO2e S2'!AG15)/'Steel Fe_tons'!AG17</f>
        <v>0.40281522119947522</v>
      </c>
      <c r="AH15" s="8">
        <f>('Steel CO2e S1'!AH15+'Steel CO2e S2'!AH15)/'Steel Fe_tons'!AH17</f>
        <v>0.34725450103403038</v>
      </c>
      <c r="AI15" s="8">
        <f>('Steel CO2e S1'!AI15+'Steel CO2e S2'!AI15)/'Steel Fe_tons'!AI17</f>
        <v>0.29324799524337547</v>
      </c>
      <c r="AJ15" s="8">
        <f>('Steel CO2e S1'!AJ15+'Steel CO2e S2'!AJ15)/'Steel Fe_tons'!AJ17</f>
        <v>0.24076190085663013</v>
      </c>
      <c r="AK15" s="8">
        <f>('Steel CO2e S1'!AK15+'Steel CO2e S2'!AK15)/'Steel Fe_tons'!AK17</f>
        <v>0.18976307456680214</v>
      </c>
      <c r="AL15" s="8">
        <f>('Steel CO2e S1'!AL15+'Steel CO2e S2'!AL15)/'Steel Fe_tons'!AL17</f>
        <v>0.14021902061586364</v>
      </c>
      <c r="AM15" s="8">
        <f>('Steel CO2e S1'!AM15+'Steel CO2e S2'!AM15)/'Steel Fe_tons'!AM17</f>
        <v>9.2097878893834917E-2</v>
      </c>
      <c r="AN15" s="8">
        <f>('Steel CO2e S1'!AN15+'Steel CO2e S2'!AN15)/'Steel Fe_tons'!AN17</f>
        <v>4.5368413248194545E-2</v>
      </c>
      <c r="AO15">
        <v>0</v>
      </c>
    </row>
    <row r="16" spans="1:41" x14ac:dyDescent="0.15">
      <c r="A16" t="s">
        <v>48</v>
      </c>
      <c r="B16" t="s">
        <v>49</v>
      </c>
      <c r="C16" t="s">
        <v>50</v>
      </c>
      <c r="E16">
        <v>0.65</v>
      </c>
      <c r="F16">
        <v>0.6</v>
      </c>
      <c r="G16">
        <v>0.55000000000000004</v>
      </c>
      <c r="H16">
        <v>0.5</v>
      </c>
      <c r="I16" s="4">
        <f>('Steel CO2e S1'!I16+'Steel CO2e S2'!I16)/'Steel Fe_tons'!I18</f>
        <v>0.47047619047619044</v>
      </c>
      <c r="J16" s="4">
        <f>('Steel CO2e S1'!J16+'Steel CO2e S2'!J16)/'Steel Fe_tons'!J18</f>
        <v>0.47342995169082125</v>
      </c>
      <c r="K16" s="4">
        <f>('Steel CO2e S1'!K16+'Steel CO2e S2'!K16)/'Steel Fe_tons'!K18</f>
        <v>0.49753694581280788</v>
      </c>
      <c r="L16" s="8">
        <f>('Steel CO2e S1'!L16+'Steel CO2e S2'!L16)/'Steel Fe_tons'!L18</f>
        <v>0.47450740237769667</v>
      </c>
      <c r="M16" s="8">
        <f>('Steel CO2e S1'!M16+'Steel CO2e S2'!M16)/'Steel Fe_tons'!M18</f>
        <v>0.4521535054764263</v>
      </c>
      <c r="N16" s="8">
        <f>('Steel CO2e S1'!N16+'Steel CO2e S2'!N16)/'Steel Fe_tons'!N18</f>
        <v>0.43030563280298578</v>
      </c>
      <c r="O16" s="8">
        <f>('Steel CO2e S1'!O16+'Steel CO2e S2'!O16)/'Steel Fe_tons'!O18</f>
        <v>0.40900476023551646</v>
      </c>
      <c r="P16" s="8">
        <f>('Steel CO2e S1'!P16+'Steel CO2e S2'!P16)/'Steel Fe_tons'!P18</f>
        <v>0.38823949183441725</v>
      </c>
      <c r="Q16" s="8">
        <f>('Steel CO2e S1'!Q16+'Steel CO2e S2'!Q16)/'Steel Fe_tons'!Q18</f>
        <v>0.36799864902167068</v>
      </c>
      <c r="R16" s="8">
        <f>('Steel CO2e S1'!R16+'Steel CO2e S2'!R16)/'Steel Fe_tons'!R18</f>
        <v>0.3482712666452224</v>
      </c>
      <c r="S16" s="8">
        <f>('Steel CO2e S1'!S16+'Steel CO2e S2'!S16)/'Steel Fe_tons'!S18</f>
        <v>0.32904658911221396</v>
      </c>
      <c r="T16" s="8">
        <f>('Steel CO2e S1'!T16+'Steel CO2e S2'!T16)/'Steel Fe_tons'!T18</f>
        <v>0.31031406658989252</v>
      </c>
      <c r="U16" s="8">
        <f>('Steel CO2e S1'!U16+'Steel CO2e S2'!U16)/'Steel Fe_tons'!U18</f>
        <v>0.29206335127304023</v>
      </c>
      <c r="V16" s="8">
        <f>('Steel CO2e S1'!V16+'Steel CO2e S2'!V16)/'Steel Fe_tons'!V18</f>
        <v>0.27335978690580126</v>
      </c>
      <c r="W16" s="8">
        <f>('Steel CO2e S1'!W16+'Steel CO2e S2'!W16)/'Steel Fe_tons'!W18</f>
        <v>0.25514525093618995</v>
      </c>
      <c r="X16" s="8">
        <f>('Steel CO2e S1'!X16+'Steel CO2e S2'!X16)/'Steel Fe_tons'!X18</f>
        <v>0.23740937416065844</v>
      </c>
      <c r="Y16" s="8">
        <f>('Steel CO2e S1'!Y16+'Steel CO2e S2'!Y16)/'Steel Fe_tons'!Y18</f>
        <v>0.22014198705132054</v>
      </c>
      <c r="Z16" s="8">
        <f>('Steel CO2e S1'!Z16+'Steel CO2e S2'!Z16)/'Steel Fe_tons'!Z18</f>
        <v>0.20333311611883056</v>
      </c>
      <c r="AA16" s="8">
        <f>('Steel CO2e S1'!AA16+'Steel CO2e S2'!AA16)/'Steel Fe_tons'!AA18</f>
        <v>0.1869729803391546</v>
      </c>
      <c r="AB16" s="8">
        <f>('Steel CO2e S1'!AB16+'Steel CO2e S2'!AB16)/'Steel Fe_tons'!AB18</f>
        <v>0.17105198764313934</v>
      </c>
      <c r="AC16" s="8">
        <f>('Steel CO2e S1'!AC16+'Steel CO2e S2'!AC16)/'Steel Fe_tons'!AC18</f>
        <v>0.15556073146780389</v>
      </c>
      <c r="AD16" s="8">
        <f>('Steel CO2e S1'!AD16+'Steel CO2e S2'!AD16)/'Steel Fe_tons'!AD18</f>
        <v>0.14048998736829582</v>
      </c>
      <c r="AE16" s="8">
        <f>('Steel CO2e S1'!AE16+'Steel CO2e S2'!AE16)/'Steel Fe_tons'!AE18</f>
        <v>0.1258307096894723</v>
      </c>
      <c r="AF16" s="8">
        <f>('Steel CO2e S1'!AF16+'Steel CO2e S2'!AF16)/'Steel Fe_tons'!AF18</f>
        <v>0.1115740282960838</v>
      </c>
      <c r="AG16" s="8">
        <f>('Steel CO2e S1'!AG16+'Steel CO2e S2'!AG16)/'Steel Fe_tons'!AG18</f>
        <v>9.7711245360555088E-2</v>
      </c>
      <c r="AH16" s="8">
        <f>('Steel CO2e S1'!AH16+'Steel CO2e S2'!AH16)/'Steel Fe_tons'!AH18</f>
        <v>8.4233832207375084E-2</v>
      </c>
      <c r="AI16" s="8">
        <f>('Steel CO2e S1'!AI16+'Steel CO2e S2'!AI16)/'Steel Fe_tons'!AI18</f>
        <v>7.1133426213124656E-2</v>
      </c>
      <c r="AJ16" s="8">
        <f>('Steel CO2e S1'!AJ16+'Steel CO2e S2'!AJ16)/'Steel Fe_tons'!AJ18</f>
        <v>5.8401827761186083E-2</v>
      </c>
      <c r="AK16" s="8">
        <f>('Steel CO2e S1'!AK16+'Steel CO2e S2'!AK16)/'Steel Fe_tons'!AK18</f>
        <v>4.6030997250195937E-2</v>
      </c>
      <c r="AL16" s="8">
        <f>('Steel CO2e S1'!AL16+'Steel CO2e S2'!AL16)/'Steel Fe_tons'!AL18</f>
        <v>3.4013052155317199E-2</v>
      </c>
      <c r="AM16" s="8">
        <f>('Steel CO2e S1'!AM16+'Steel CO2e S2'!AM16)/'Steel Fe_tons'!AM18</f>
        <v>2.2340264141423451E-2</v>
      </c>
      <c r="AN16" s="8">
        <f>('Steel CO2e S1'!AN16+'Steel CO2e S2'!AN16)/'Steel Fe_tons'!AN18</f>
        <v>1.1005056227302194E-2</v>
      </c>
      <c r="AO16">
        <v>0</v>
      </c>
    </row>
    <row r="17" spans="1:41" x14ac:dyDescent="0.15">
      <c r="A17" t="s">
        <v>51</v>
      </c>
      <c r="B17" t="s">
        <v>52</v>
      </c>
      <c r="C17" t="s">
        <v>53</v>
      </c>
    </row>
    <row r="18" spans="1:41" x14ac:dyDescent="0.15">
      <c r="A18" t="s">
        <v>54</v>
      </c>
      <c r="B18" t="s">
        <v>55</v>
      </c>
      <c r="C18" t="s">
        <v>56</v>
      </c>
      <c r="E18" s="4">
        <f>('Steel CO2e S1'!E18+'Steel CO2e S2'!E18)/'Steel Fe_tons'!E20</f>
        <v>2.1520179588683983</v>
      </c>
      <c r="F18" s="4">
        <f>('Steel CO2e S1'!F18+'Steel CO2e S2'!F18)/'Steel Fe_tons'!F20</f>
        <v>2.0741904014086181</v>
      </c>
      <c r="G18" s="4">
        <f>('Steel CO2e S1'!G18+'Steel CO2e S2'!G18)/'Steel Fe_tons'!G20</f>
        <v>2.0148700206166024</v>
      </c>
      <c r="H18" s="4">
        <f>('Steel CO2e S1'!H18+'Steel CO2e S2'!H18)/'Steel Fe_tons'!H20</f>
        <v>2.0625430967291103</v>
      </c>
      <c r="I18" s="4">
        <f>('Steel CO2e S1'!I18+'Steel CO2e S2'!I18)/'Steel Fe_tons'!I20</f>
        <v>2.0802555452497682</v>
      </c>
      <c r="J18" s="4">
        <f>('Steel CO2e S1'!J18+'Steel CO2e S2'!J18)/'Steel Fe_tons'!J20</f>
        <v>2.1118186123608811</v>
      </c>
      <c r="K18" s="4">
        <f>('Steel CO2e S1'!K18+'Steel CO2e S2'!K18)/'Steel Fe_tons'!K20</f>
        <v>2.1051866425490471</v>
      </c>
      <c r="L18" s="8">
        <f>('Steel CO2e S1'!L18+'Steel CO2e S2'!L18)/'Steel Fe_tons'!L20</f>
        <v>1.9592692290270566</v>
      </c>
      <c r="M18" s="8">
        <f>('Steel CO2e S1'!M18+'Steel CO2e S2'!M18)/'Steel Fe_tons'!M20</f>
        <v>1.8273333075975255</v>
      </c>
      <c r="N18" s="8">
        <f>('Steel CO2e S1'!N18+'Steel CO2e S2'!N18)/'Steel Fe_tons'!N20</f>
        <v>1.7628215405805361</v>
      </c>
      <c r="O18" s="8">
        <f>('Steel CO2e S1'!O18+'Steel CO2e S2'!O18)/'Steel Fe_tons'!O20</f>
        <v>1.6998174377257032</v>
      </c>
      <c r="P18" s="8">
        <f>('Steel CO2e S1'!P18+'Steel CO2e S2'!P18)/'Steel Fe_tons'!P20</f>
        <v>1.6382905268292285</v>
      </c>
      <c r="Q18" s="8">
        <f>('Steel CO2e S1'!Q18+'Steel CO2e S2'!Q18)/'Steel Fe_tons'!Q20</f>
        <v>1.578210907071397</v>
      </c>
      <c r="R18" s="8">
        <f>('Steel CO2e S1'!R18+'Steel CO2e S2'!R18)/'Steel Fe_tons'!R20</f>
        <v>1.5195492387834768</v>
      </c>
      <c r="S18" s="8">
        <f>('Steel CO2e S1'!S18+'Steel CO2e S2'!S18)/'Steel Fe_tons'!S20</f>
        <v>1.4622767333922797</v>
      </c>
      <c r="T18" s="8">
        <f>('Steel CO2e S1'!T18+'Steel CO2e S2'!T18)/'Steel Fe_tons'!T20</f>
        <v>1.4063651435393727</v>
      </c>
      <c r="U18" s="8">
        <f>('Steel CO2e S1'!U18+'Steel CO2e S2'!U18)/'Steel Fe_tons'!U20</f>
        <v>1.3517867533719792</v>
      </c>
      <c r="V18" s="8">
        <f>('Steel CO2e S1'!V18+'Steel CO2e S2'!V18)/'Steel Fe_tons'!V20</f>
        <v>1.281866748887222</v>
      </c>
      <c r="W18" s="8">
        <f>('Steel CO2e S1'!W18+'Steel CO2e S2'!W18)/'Steel Fe_tons'!W20</f>
        <v>1.2137181167891298</v>
      </c>
      <c r="X18" s="8">
        <f>('Steel CO2e S1'!X18+'Steel CO2e S2'!X18)/'Steel Fe_tons'!X20</f>
        <v>1.1473037716952232</v>
      </c>
      <c r="Y18" s="8">
        <f>('Steel CO2e S1'!Y18+'Steel CO2e S2'!Y18)/'Steel Fe_tons'!Y20</f>
        <v>1.082587337476933</v>
      </c>
      <c r="Z18" s="8">
        <f>('Steel CO2e S1'!Z18+'Steel CO2e S2'!Z18)/'Steel Fe_tons'!Z20</f>
        <v>1.0195331343958369</v>
      </c>
      <c r="AA18" s="8">
        <f>('Steel CO2e S1'!AA18+'Steel CO2e S2'!AA18)/'Steel Fe_tons'!AA20</f>
        <v>0.95810616646520497</v>
      </c>
      <c r="AB18" s="8">
        <f>('Steel CO2e S1'!AB18+'Steel CO2e S2'!AB18)/'Steel Fe_tons'!AB20</f>
        <v>0.89827210903300658</v>
      </c>
      <c r="AC18" s="8">
        <f>('Steel CO2e S1'!AC18+'Steel CO2e S2'!AC18)/'Steel Fe_tons'!AC20</f>
        <v>0.83999729658258948</v>
      </c>
      <c r="AD18" s="8">
        <f>('Steel CO2e S1'!AD18+'Steel CO2e S2'!AD18)/'Steel Fe_tons'!AD20</f>
        <v>0.78324871074731262</v>
      </c>
      <c r="AE18" s="8">
        <f>('Steel CO2e S1'!AE18+'Steel CO2e S2'!AE18)/'Steel Fe_tons'!AE20</f>
        <v>0.72799396853547049</v>
      </c>
      <c r="AF18" s="8">
        <f>('Steel CO2e S1'!AF18+'Steel CO2e S2'!AF18)/'Steel Fe_tons'!AF20</f>
        <v>0.64551189328268344</v>
      </c>
      <c r="AG18" s="8">
        <f>('Steel CO2e S1'!AG18+'Steel CO2e S2'!AG18)/'Steel Fe_tons'!AG20</f>
        <v>0.56530871880256894</v>
      </c>
      <c r="AH18" s="8">
        <f>('Steel CO2e S1'!AH18+'Steel CO2e S2'!AH18)/'Steel Fe_tons'!AH20</f>
        <v>0.4873351024160078</v>
      </c>
      <c r="AI18" s="8">
        <f>('Steel CO2e S1'!AI18+'Steel CO2e S2'!AI18)/'Steel Fe_tons'!AI20</f>
        <v>0.41154266213878216</v>
      </c>
      <c r="AJ18" s="8">
        <f>('Steel CO2e S1'!AJ18+'Steel CO2e S2'!AJ18)/'Steel Fe_tons'!AJ20</f>
        <v>0.33788395906303959</v>
      </c>
      <c r="AK18" s="8">
        <f>('Steel CO2e S1'!AK18+'Steel CO2e S2'!AK18)/'Steel Fe_tons'!AK20</f>
        <v>0.26631248004968638</v>
      </c>
      <c r="AL18" s="8">
        <f>('Steel CO2e S1'!AL18+'Steel CO2e S2'!AL18)/'Steel Fe_tons'!AL20</f>
        <v>0.19678262072636932</v>
      </c>
      <c r="AM18" s="8">
        <f>('Steel CO2e S1'!AM18+'Steel CO2e S2'!AM18)/'Steel Fe_tons'!AM20</f>
        <v>0.12924966878579264</v>
      </c>
      <c r="AN18" s="8">
        <f>('Steel CO2e S1'!AN18+'Steel CO2e S2'!AN18)/'Steel Fe_tons'!AN20</f>
        <v>6.3669787579208201E-2</v>
      </c>
      <c r="AO18">
        <v>0</v>
      </c>
    </row>
    <row r="19" spans="1:41" x14ac:dyDescent="0.15">
      <c r="A19" t="s">
        <v>57</v>
      </c>
      <c r="B19" t="s">
        <v>58</v>
      </c>
      <c r="C19" t="s">
        <v>59</v>
      </c>
      <c r="E19">
        <f t="shared" ref="E19:G19" si="4">F19</f>
        <v>0.57634289175025133</v>
      </c>
      <c r="F19">
        <f t="shared" si="4"/>
        <v>0.57634289175025133</v>
      </c>
      <c r="G19">
        <f t="shared" si="4"/>
        <v>0.57634289175025133</v>
      </c>
      <c r="H19" s="4">
        <f>('Steel CO2e S1'!H19+'Steel CO2e S2'!H19)/'Steel Fe_tons'!H21</f>
        <v>0.57634289175025133</v>
      </c>
      <c r="I19" s="4">
        <f>('Steel CO2e S1'!I19+'Steel CO2e S2'!I19)/'Steel Fe_tons'!I21</f>
        <v>0.56897191853548579</v>
      </c>
      <c r="J19" s="4">
        <f>('Steel CO2e S1'!J19+'Steel CO2e S2'!J19)/'Steel Fe_tons'!J21</f>
        <v>0.55608745888849975</v>
      </c>
      <c r="K19" s="8">
        <f>('Steel CO2e S1'!K19+'Steel CO2e S2'!K19)/'Steel Fe_tons'!K21</f>
        <v>0.53311590823137822</v>
      </c>
      <c r="L19" s="8">
        <f>('Steel CO2e S1'!L19+'Steel CO2e S2'!L19)/'Steel Fe_tons'!L21</f>
        <v>0.51070187077696416</v>
      </c>
      <c r="M19" s="8">
        <f>('Steel CO2e S1'!M19+'Steel CO2e S2'!M19)/'Steel Fe_tons'!M21</f>
        <v>0.48883388526376204</v>
      </c>
      <c r="N19" s="8">
        <f>('Steel CO2e S1'!N19+'Steel CO2e S2'!N19)/'Steel Fe_tons'!N21</f>
        <v>0.4675007074265064</v>
      </c>
      <c r="O19" s="8">
        <f>('Steel CO2e S1'!O19+'Steel CO2e S2'!O19)/'Steel Fe_tons'!O21</f>
        <v>0.44669130608560853</v>
      </c>
      <c r="P19" s="8">
        <f>('Steel CO2e S1'!P19+'Steel CO2e S2'!P19)/'Steel Fe_tons'!P21</f>
        <v>0.42639485930479171</v>
      </c>
      <c r="Q19" s="8">
        <f>('Steel CO2e S1'!Q19+'Steel CO2e S2'!Q19)/'Steel Fe_tons'!Q21</f>
        <v>0.40660075061575718</v>
      </c>
      <c r="R19" s="8">
        <f>('Steel CO2e S1'!R19+'Steel CO2e S2'!R19)/'Steel Fe_tons'!R21</f>
        <v>0.3872985653087388</v>
      </c>
      <c r="S19" s="8">
        <f>('Steel CO2e S1'!S19+'Steel CO2e S2'!S19)/'Steel Fe_tons'!S21</f>
        <v>0.36847808678782068</v>
      </c>
      <c r="T19" s="8">
        <f>('Steel CO2e S1'!T19+'Steel CO2e S2'!T19)/'Steel Fe_tons'!T21</f>
        <v>0.35012929298991702</v>
      </c>
      <c r="U19" s="8">
        <f>('Steel CO2e S1'!U19+'Steel CO2e S2'!U19)/'Steel Fe_tons'!U21</f>
        <v>0.33224235286632603</v>
      </c>
      <c r="V19" s="8">
        <f>('Steel CO2e S1'!V19+'Steel CO2e S2'!V19)/'Steel Fe_tons'!V21</f>
        <v>0.31096574898818702</v>
      </c>
      <c r="W19" s="8">
        <f>('Steel CO2e S1'!W19+'Steel CO2e S2'!W19)/'Steel Fe_tons'!W21</f>
        <v>0.29024544888708143</v>
      </c>
      <c r="X19" s="8">
        <f>('Steel CO2e S1'!X19+'Steel CO2e S2'!X19)/'Steel Fe_tons'!X21</f>
        <v>0.27006965687358431</v>
      </c>
      <c r="Y19" s="8">
        <f>('Steel CO2e S1'!Y19+'Steel CO2e S2'!Y19)/'Steel Fe_tons'!Y21</f>
        <v>0.25042680440320775</v>
      </c>
      <c r="Z19" s="8">
        <f>('Steel CO2e S1'!Z19+'Steel CO2e S2'!Z19)/'Steel Fe_tons'!Z21</f>
        <v>0.23130554593892347</v>
      </c>
      <c r="AA19" s="8">
        <f>('Steel CO2e S1'!AA19+'Steel CO2e S2'!AA19)/'Steel Fe_tons'!AA21</f>
        <v>0.21269475488636641</v>
      </c>
      <c r="AB19" s="8">
        <f>('Steel CO2e S1'!AB19+'Steel CO2e S2'!AB19)/'Steel Fe_tons'!AB21</f>
        <v>0.19458351960047601</v>
      </c>
      <c r="AC19" s="8">
        <f>('Steel CO2e S1'!AC19+'Steel CO2e S2'!AC19)/'Steel Fe_tons'!AC21</f>
        <v>0.17696113946235031</v>
      </c>
      <c r="AD19" s="8">
        <f>('Steel CO2e S1'!AD19+'Steel CO2e S2'!AD19)/'Steel Fe_tons'!AD21</f>
        <v>0.15981712102511111</v>
      </c>
      <c r="AE19" s="8">
        <f>('Steel CO2e S1'!AE19+'Steel CO2e S2'!AE19)/'Steel Fe_tons'!AE21</f>
        <v>0.1431411742275962</v>
      </c>
      <c r="AF19" s="8">
        <f>('Steel CO2e S1'!AF19+'Steel CO2e S2'!AF19)/'Steel Fe_tons'!AF21</f>
        <v>0.12692320867471582</v>
      </c>
      <c r="AG19" s="8">
        <f>('Steel CO2e S1'!AG19+'Steel CO2e S2'!AG19)/'Steel Fe_tons'!AG21</f>
        <v>0.11115332998333081</v>
      </c>
      <c r="AH19" s="8">
        <f>('Steel CO2e S1'!AH19+'Steel CO2e S2'!AH19)/'Steel Fe_tons'!AH21</f>
        <v>9.5821836192526585E-2</v>
      </c>
      <c r="AI19" s="8">
        <f>('Steel CO2e S1'!AI19+'Steel CO2e S2'!AI19)/'Steel Fe_tons'!AI21</f>
        <v>8.091921423717939E-2</v>
      </c>
      <c r="AJ19" s="8">
        <f>('Steel CO2e S1'!AJ19+'Steel CO2e S2'!AJ19)/'Steel Fe_tons'!AJ21</f>
        <v>6.6436136483726926E-2</v>
      </c>
      <c r="AK19" s="8">
        <f>('Steel CO2e S1'!AK19+'Steel CO2e S2'!AK19)/'Steel Fe_tons'!AK21</f>
        <v>5.2363457327075418E-2</v>
      </c>
      <c r="AL19" s="8">
        <f>('Steel CO2e S1'!AL19+'Steel CO2e S2'!AL19)/'Steel Fe_tons'!AL21</f>
        <v>3.8692209847592689E-2</v>
      </c>
      <c r="AM19" s="8">
        <f>('Steel CO2e S1'!AM19+'Steel CO2e S2'!AM19)/'Steel Fe_tons'!AM21</f>
        <v>2.541360252715447E-2</v>
      </c>
      <c r="AN19" s="8">
        <f>('Steel CO2e S1'!AN19+'Steel CO2e S2'!AN19)/'Steel Fe_tons'!AN21</f>
        <v>1.2519016023228803E-2</v>
      </c>
      <c r="AO19">
        <v>0</v>
      </c>
    </row>
    <row r="20" spans="1:41" x14ac:dyDescent="0.15">
      <c r="A20" t="s">
        <v>60</v>
      </c>
      <c r="B20" t="s">
        <v>61</v>
      </c>
      <c r="C20" t="s">
        <v>62</v>
      </c>
      <c r="E20">
        <f>F20</f>
        <v>0.89655172413793105</v>
      </c>
      <c r="F20">
        <f>G20</f>
        <v>0.89655172413793105</v>
      </c>
      <c r="G20">
        <f>H20</f>
        <v>0.89655172413793105</v>
      </c>
      <c r="H20">
        <f>I20</f>
        <v>0.89655172413793105</v>
      </c>
      <c r="I20">
        <f>J20</f>
        <v>0.89655172413793105</v>
      </c>
      <c r="J20" s="4">
        <f>('Steel CO2e S1'!J20+'Steel CO2e S2'!J20)/'Steel Fe_tons'!J22</f>
        <v>0.89655172413793105</v>
      </c>
      <c r="K20" s="4">
        <f>('Steel CO2e S1'!K20+'Steel CO2e S2'!K20)/'Steel Fe_tons'!K22</f>
        <v>0.83333333333333337</v>
      </c>
      <c r="L20" s="4">
        <f>('Steel CO2e S1'!L20+'Steel CO2e S2'!L20)/'Steel Fe_tons'!L22</f>
        <v>0.81818181818181823</v>
      </c>
      <c r="M20" s="8">
        <f>('Steel CO2e S1'!M20+'Steel CO2e S2'!M20)/'Steel Fe_tons'!M22</f>
        <v>0.86837979891426431</v>
      </c>
      <c r="N20" s="8">
        <f>('Steel CO2e S1'!N20+'Steel CO2e S2'!N20)/'Steel Fe_tons'!N22</f>
        <v>0.83388719232273323</v>
      </c>
      <c r="O20" s="8">
        <f>('Steel CO2e S1'!O20+'Steel CO2e S2'!O20)/'Steel Fe_tons'!O22</f>
        <v>0.80022441845313785</v>
      </c>
      <c r="P20" s="8">
        <f>('Steel CO2e S1'!P20+'Steel CO2e S2'!P20)/'Steel Fe_tons'!P22</f>
        <v>0.76737448337706493</v>
      </c>
      <c r="Q20" s="8">
        <f>('Steel CO2e S1'!Q20+'Steel CO2e S2'!Q20)/'Steel Fe_tons'!Q22</f>
        <v>0.73532071421515133</v>
      </c>
      <c r="R20" s="8">
        <f>('Steel CO2e S1'!R20+'Steel CO2e S2'!R20)/'Steel Fe_tons'!R22</f>
        <v>0.70404675335940381</v>
      </c>
      <c r="S20" s="8">
        <f>('Steel CO2e S1'!S20+'Steel CO2e S2'!S20)/'Steel Fe_tons'!S22</f>
        <v>0.67353655279617408</v>
      </c>
      <c r="T20" s="8">
        <f>('Steel CO2e S1'!T20+'Steel CO2e S2'!T20)/'Steel Fe_tons'!T22</f>
        <v>0.64377436852806891</v>
      </c>
      <c r="U20" s="8">
        <f>('Steel CO2e S1'!U20+'Steel CO2e S2'!U20)/'Steel Fe_tons'!U22</f>
        <v>0.61474475509311632</v>
      </c>
      <c r="V20" s="8">
        <f>('Steel CO2e S1'!V20+'Steel CO2e S2'!V20)/'Steel Fe_tons'!V22</f>
        <v>0.5753768643728675</v>
      </c>
      <c r="W20" s="8">
        <f>('Steel CO2e S1'!W20+'Steel CO2e S2'!W20)/'Steel Fe_tons'!W22</f>
        <v>0.53703829705530814</v>
      </c>
      <c r="X20" s="8">
        <f>('Steel CO2e S1'!X20+'Steel CO2e S2'!X20)/'Steel Fe_tons'!X22</f>
        <v>0.49970722769240505</v>
      </c>
      <c r="Y20" s="8">
        <f>('Steel CO2e S1'!Y20+'Steel CO2e S2'!Y20)/'Steel Fe_tons'!Y22</f>
        <v>0.46336225112016699</v>
      </c>
      <c r="Z20" s="8">
        <f>('Steel CO2e S1'!Z20+'Steel CO2e S2'!Z20)/'Steel Fe_tons'!Z22</f>
        <v>0.42798237480310991</v>
      </c>
      <c r="AA20" s="8">
        <f>('Steel CO2e S1'!AA20+'Steel CO2e S2'!AA20)/'Steel Fe_tons'!AA22</f>
        <v>0.39354701131320463</v>
      </c>
      <c r="AB20" s="8">
        <f>('Steel CO2e S1'!AB20+'Steel CO2e S2'!AB20)/'Steel Fe_tons'!AB22</f>
        <v>0.36003597094100359</v>
      </c>
      <c r="AC20" s="8">
        <f>('Steel CO2e S1'!AC20+'Steel CO2e S2'!AC20)/'Steel Fe_tons'!AC22</f>
        <v>0.32742945443668386</v>
      </c>
      <c r="AD20" s="8">
        <f>('Steel CO2e S1'!AD20+'Steel CO2e S2'!AD20)/'Steel Fe_tons'!AD22</f>
        <v>0.29570804587877852</v>
      </c>
      <c r="AE20" s="8">
        <f>('Steel CO2e S1'!AE20+'Steel CO2e S2'!AE20)/'Steel Fe_tons'!AE22</f>
        <v>0.26485270566840896</v>
      </c>
      <c r="AF20" s="8">
        <f>('Steel CO2e S1'!AF20+'Steel CO2e S2'!AF20)/'Steel Fe_tons'!AF22</f>
        <v>0.2348447636468651</v>
      </c>
      <c r="AG20" s="8">
        <f>('Steel CO2e S1'!AG20+'Steel CO2e S2'!AG20)/'Steel Fe_tons'!AG22</f>
        <v>0.20566591233441939</v>
      </c>
      <c r="AH20" s="8">
        <f>('Steel CO2e S1'!AH20+'Steel CO2e S2'!AH20)/'Steel Fe_tons'!AH22</f>
        <v>0.1772982002882926</v>
      </c>
      <c r="AI20" s="8">
        <f>('Steel CO2e S1'!AI20+'Steel CO2e S2'!AI20)/'Steel Fe_tons'!AI22</f>
        <v>0.14972402557772779</v>
      </c>
      <c r="AJ20" s="8">
        <f>('Steel CO2e S1'!AJ20+'Steel CO2e S2'!AJ20)/'Steel Fe_tons'!AJ22</f>
        <v>0.12292612937416077</v>
      </c>
      <c r="AK20" s="8">
        <f>('Steel CO2e S1'!AK20+'Steel CO2e S2'!AK20)/'Steel Fe_tons'!AK22</f>
        <v>9.6887589654510942E-2</v>
      </c>
      <c r="AL20" s="8">
        <f>('Steel CO2e S1'!AL20+'Steel CO2e S2'!AL20)/'Steel Fe_tons'!AL22</f>
        <v>7.1591815015648499E-2</v>
      </c>
      <c r="AM20" s="8">
        <f>('Steel CO2e S1'!AM20+'Steel CO2e S2'!AM20)/'Steel Fe_tons'!AM22</f>
        <v>4.7022538598127092E-2</v>
      </c>
      <c r="AN20" s="8">
        <f>('Steel CO2e S1'!AN20+'Steel CO2e S2'!AN20)/'Steel Fe_tons'!AN22</f>
        <v>2.3163812117303988E-2</v>
      </c>
      <c r="AO20">
        <v>0</v>
      </c>
    </row>
    <row r="21" spans="1:41" x14ac:dyDescent="0.15">
      <c r="A21" t="s">
        <v>63</v>
      </c>
      <c r="B21" t="s">
        <v>64</v>
      </c>
      <c r="C21" t="s">
        <v>65</v>
      </c>
      <c r="E21">
        <f>F21</f>
        <v>1.6984175217644171</v>
      </c>
      <c r="F21">
        <f>G21</f>
        <v>1.6984175217644171</v>
      </c>
      <c r="G21">
        <f>H21</f>
        <v>1.6984175217644171</v>
      </c>
      <c r="H21">
        <f>I21</f>
        <v>1.6984175217644171</v>
      </c>
      <c r="I21" s="4">
        <f>('Steel CO2e S1'!I21+'Steel CO2e S2'!I21)/'Steel Fe_tons'!I23</f>
        <v>1.6984175217644171</v>
      </c>
      <c r="J21" s="4">
        <f>('Steel CO2e S1'!J21+'Steel CO2e S2'!J21)/'Steel Fe_tons'!J23</f>
        <v>1.7308032204322208</v>
      </c>
      <c r="K21" s="4">
        <f>('Steel CO2e S1'!K21+'Steel CO2e S2'!K21)/'Steel Fe_tons'!K23</f>
        <v>1.7425369809508149</v>
      </c>
      <c r="L21" s="8">
        <f>('Steel CO2e S1'!L21+'Steel CO2e S2'!L21)/'Steel Fe_tons'!L23</f>
        <v>1.6108810033764014</v>
      </c>
      <c r="M21" s="8">
        <f>('Steel CO2e S1'!M21+'Steel CO2e S2'!M21)/'Steel Fe_tons'!M23</f>
        <v>1.4957266228223467</v>
      </c>
      <c r="N21" s="8">
        <f>('Steel CO2e S1'!N21+'Steel CO2e S2'!N21)/'Steel Fe_tons'!N23</f>
        <v>1.4596306958389043</v>
      </c>
      <c r="O21" s="8">
        <f>('Steel CO2e S1'!O21+'Steel CO2e S2'!O21)/'Steel Fe_tons'!O23</f>
        <v>1.4242749785053059</v>
      </c>
      <c r="P21" s="8">
        <f>('Steel CO2e S1'!P21+'Steel CO2e S2'!P21)/'Steel Fe_tons'!P23</f>
        <v>1.3896454760143335</v>
      </c>
      <c r="Q21" s="8">
        <f>('Steel CO2e S1'!Q21+'Steel CO2e S2'!Q21)/'Steel Fe_tons'!Q23</f>
        <v>1.3557284455374226</v>
      </c>
      <c r="R21" s="8">
        <f>('Steel CO2e S1'!R21+'Steel CO2e S2'!R21)/'Steel Fe_tons'!R23</f>
        <v>1.3225103918334675</v>
      </c>
      <c r="S21" s="8">
        <f>('Steel CO2e S1'!S21+'Steel CO2e S2'!S21)/'Steel Fe_tons'!S23</f>
        <v>1.2899780629323851</v>
      </c>
      <c r="T21" s="8">
        <f>('Steel CO2e S1'!T21+'Steel CO2e S2'!T21)/'Steel Fe_tons'!T23</f>
        <v>1.2581184458921835</v>
      </c>
      <c r="U21" s="8">
        <f>('Steel CO2e S1'!U21+'Steel CO2e S2'!U21)/'Steel Fe_tons'!U23</f>
        <v>1.2269187626283065</v>
      </c>
      <c r="V21" s="8">
        <f>('Steel CO2e S1'!V21+'Steel CO2e S2'!V21)/'Steel Fe_tons'!V23</f>
        <v>1.1483476103417647</v>
      </c>
      <c r="W21" s="8">
        <f>('Steel CO2e S1'!W21+'Steel CO2e S2'!W21)/'Steel Fe_tons'!W23</f>
        <v>1.0718308004227</v>
      </c>
      <c r="X21" s="8">
        <f>('Steel CO2e S1'!X21+'Steel CO2e S2'!X21)/'Steel Fe_tons'!X23</f>
        <v>0.9973247732449867</v>
      </c>
      <c r="Y21" s="8">
        <f>('Steel CO2e S1'!Y21+'Steel CO2e S2'!Y21)/'Steel Fe_tons'!Y23</f>
        <v>0.92478680799303314</v>
      </c>
      <c r="Z21" s="8">
        <f>('Steel CO2e S1'!Z21+'Steel CO2e S2'!Z21)/'Steel Fe_tons'!Z23</f>
        <v>0.85417500738272778</v>
      </c>
      <c r="AA21" s="8">
        <f>('Steel CO2e S1'!AA21+'Steel CO2e S2'!AA21)/'Steel Fe_tons'!AA23</f>
        <v>0.78544828265078426</v>
      </c>
      <c r="AB21" s="8">
        <f>('Steel CO2e S1'!AB21+'Steel CO2e S2'!AB21)/'Steel Fe_tons'!AB23</f>
        <v>0.71856633880789555</v>
      </c>
      <c r="AC21" s="8">
        <f>('Steel CO2e S1'!AC21+'Steel CO2e S2'!AC21)/'Steel Fe_tons'!AC23</f>
        <v>0.6534896601511746</v>
      </c>
      <c r="AD21" s="8">
        <f>('Steel CO2e S1'!AD21+'Steel CO2e S2'!AD21)/'Steel Fe_tons'!AD23</f>
        <v>0.5901794960314386</v>
      </c>
      <c r="AE21" s="8">
        <f>('Steel CO2e S1'!AE21+'Steel CO2e S2'!AE21)/'Steel Fe_tons'!AE23</f>
        <v>0.52859784687097056</v>
      </c>
      <c r="AF21" s="8">
        <f>('Steel CO2e S1'!AF21+'Steel CO2e S2'!AF21)/'Steel Fe_tons'!AF23</f>
        <v>0.46870745042746159</v>
      </c>
      <c r="AG21" s="8">
        <f>('Steel CO2e S1'!AG21+'Steel CO2e S2'!AG21)/'Steel Fe_tons'!AG23</f>
        <v>0.41047176829991172</v>
      </c>
      <c r="AH21" s="8">
        <f>('Steel CO2e S1'!AH21+'Steel CO2e S2'!AH21)/'Steel Fe_tons'!AH23</f>
        <v>0.35385497267233773</v>
      </c>
      <c r="AI21" s="8">
        <f>('Steel CO2e S1'!AI21+'Steel CO2e S2'!AI21)/'Steel Fe_tons'!AI23</f>
        <v>0.2988219332912071</v>
      </c>
      <c r="AJ21" s="8">
        <f>('Steel CO2e S1'!AJ21+'Steel CO2e S2'!AJ21)/'Steel Fe_tons'!AJ23</f>
        <v>0.24533820467258391</v>
      </c>
      <c r="AK21" s="8">
        <f>('Steel CO2e S1'!AK21+'Steel CO2e S2'!AK21)/'Steel Fe_tons'!AK23</f>
        <v>0.19337001353504149</v>
      </c>
      <c r="AL21" s="8">
        <f>('Steel CO2e S1'!AL21+'Steel CO2e S2'!AL21)/'Steel Fe_tons'!AL23</f>
        <v>0.14288424645446421</v>
      </c>
      <c r="AM21" s="8">
        <f>('Steel CO2e S1'!AM21+'Steel CO2e S2'!AM21)/'Steel Fe_tons'!AM23</f>
        <v>9.3848437736922294E-2</v>
      </c>
      <c r="AN21" s="8">
        <f>('Steel CO2e S1'!AN21+'Steel CO2e S2'!AN21)/'Steel Fe_tons'!AN23</f>
        <v>4.623075750587307E-2</v>
      </c>
      <c r="AO21">
        <v>0</v>
      </c>
    </row>
    <row r="22" spans="1:41" x14ac:dyDescent="0.15">
      <c r="A22" t="s">
        <v>66</v>
      </c>
      <c r="B22" t="s">
        <v>67</v>
      </c>
      <c r="C22" t="s">
        <v>68</v>
      </c>
      <c r="E22">
        <f>'Steel CO2e S1'!E22/'Steel Fe_tons'!E24</f>
        <v>6.7682251321123113E-2</v>
      </c>
      <c r="F22">
        <f>'Steel CO2e S1'!F22/'Steel Fe_tons'!F24</f>
        <v>6.7682251321123113E-2</v>
      </c>
      <c r="G22">
        <f>'Steel CO2e S1'!G22/'Steel Fe_tons'!G24</f>
        <v>6.7682251321123113E-2</v>
      </c>
      <c r="H22">
        <f>'Steel CO2e S1'!H22/'Steel Fe_tons'!H24</f>
        <v>6.7682251321123113E-2</v>
      </c>
      <c r="I22">
        <f>'Steel CO2e S1'!I22/'Steel Fe_tons'!I24</f>
        <v>6.7682251321123113E-2</v>
      </c>
      <c r="J22">
        <f>'Steel CO2e S1'!J22/'Steel Fe_tons'!J24</f>
        <v>7.0131087445766918E-2</v>
      </c>
      <c r="K22">
        <f>'Steel CO2e S1'!K22/'Steel Fe_tons'!K24</f>
        <v>6.7250630926420502E-2</v>
      </c>
      <c r="L22">
        <f t="shared" ref="L22:T22" si="5">($I22-$U22)*($U$1-L$1)/($U$1-$I$1)+$U22</f>
        <v>6.0914026189010803E-2</v>
      </c>
      <c r="M22">
        <f t="shared" si="5"/>
        <v>5.8657951144973366E-2</v>
      </c>
      <c r="N22">
        <f t="shared" si="5"/>
        <v>5.640187610093593E-2</v>
      </c>
      <c r="O22">
        <f t="shared" si="5"/>
        <v>5.4145801056898493E-2</v>
      </c>
      <c r="P22">
        <f t="shared" si="5"/>
        <v>5.188972601286105E-2</v>
      </c>
      <c r="Q22">
        <f t="shared" si="5"/>
        <v>4.9633650968823613E-2</v>
      </c>
      <c r="R22">
        <f t="shared" si="5"/>
        <v>4.7377575924786176E-2</v>
      </c>
      <c r="S22">
        <f t="shared" si="5"/>
        <v>4.512150088074874E-2</v>
      </c>
      <c r="T22">
        <f t="shared" si="5"/>
        <v>4.2865425836711303E-2</v>
      </c>
      <c r="U22">
        <f>I22*0.6</f>
        <v>4.0609350792673866E-2</v>
      </c>
      <c r="V22">
        <f t="shared" ref="V22:AN22" si="6">$U22*($AO$1-V$1)/($AO$1-$U$1)</f>
        <v>3.8578883253040173E-2</v>
      </c>
      <c r="W22">
        <f t="shared" si="6"/>
        <v>3.654841571340648E-2</v>
      </c>
      <c r="X22">
        <f t="shared" si="6"/>
        <v>3.4517948173772788E-2</v>
      </c>
      <c r="Y22">
        <f t="shared" si="6"/>
        <v>3.2487480634139095E-2</v>
      </c>
      <c r="Z22">
        <f t="shared" si="6"/>
        <v>3.0457013094505398E-2</v>
      </c>
      <c r="AA22">
        <f t="shared" si="6"/>
        <v>2.8426545554871709E-2</v>
      </c>
      <c r="AB22">
        <f t="shared" si="6"/>
        <v>2.6396078015238012E-2</v>
      </c>
      <c r="AC22">
        <f t="shared" si="6"/>
        <v>2.4365610475604323E-2</v>
      </c>
      <c r="AD22">
        <f t="shared" si="6"/>
        <v>2.2335142935970626E-2</v>
      </c>
      <c r="AE22">
        <f t="shared" si="6"/>
        <v>2.0304675396336933E-2</v>
      </c>
      <c r="AF22">
        <f t="shared" si="6"/>
        <v>1.827420785670324E-2</v>
      </c>
      <c r="AG22">
        <f t="shared" si="6"/>
        <v>1.6243740317069547E-2</v>
      </c>
      <c r="AH22">
        <f t="shared" si="6"/>
        <v>1.4213272777435854E-2</v>
      </c>
      <c r="AI22">
        <f t="shared" si="6"/>
        <v>1.2182805237802161E-2</v>
      </c>
      <c r="AJ22">
        <f t="shared" si="6"/>
        <v>1.0152337698168467E-2</v>
      </c>
      <c r="AK22">
        <f t="shared" si="6"/>
        <v>8.1218701585347736E-3</v>
      </c>
      <c r="AL22">
        <f t="shared" si="6"/>
        <v>6.0914026189010807E-3</v>
      </c>
      <c r="AM22">
        <f t="shared" si="6"/>
        <v>4.0609350792673868E-3</v>
      </c>
      <c r="AN22">
        <f t="shared" si="6"/>
        <v>2.0304675396336934E-3</v>
      </c>
      <c r="AO22">
        <v>0</v>
      </c>
    </row>
    <row r="23" spans="1:41" x14ac:dyDescent="0.15">
      <c r="A23" t="s">
        <v>69</v>
      </c>
      <c r="B23" t="s">
        <v>70</v>
      </c>
      <c r="C23" t="s">
        <v>71</v>
      </c>
    </row>
    <row r="24" spans="1:41" x14ac:dyDescent="0.15">
      <c r="A24" t="s">
        <v>72</v>
      </c>
      <c r="B24" t="s">
        <v>73</v>
      </c>
      <c r="C24" t="s">
        <v>74</v>
      </c>
      <c r="E24">
        <f>F24</f>
        <v>2.2644163150492265</v>
      </c>
      <c r="F24">
        <f>G24</f>
        <v>2.2644163150492265</v>
      </c>
      <c r="G24" s="4">
        <f>('Steel CO2e S1'!G24+'Steel CO2e S2'!G24)/'Steel Fe_tons'!G26</f>
        <v>2.2644163150492265</v>
      </c>
      <c r="H24" s="4">
        <f>('Steel CO2e S1'!H24+'Steel CO2e S2'!H24)/'Steel Fe_tons'!H26</f>
        <v>2.3060941828254848</v>
      </c>
      <c r="I24" s="4">
        <f>('Steel CO2e S1'!I24+'Steel CO2e S2'!I24)/'Steel Fe_tons'!I26</f>
        <v>2.3322475570032575</v>
      </c>
      <c r="J24" s="4">
        <f>('Steel CO2e S1'!J24+'Steel CO2e S2'!J24)/'Steel Fe_tons'!J26</f>
        <v>2.3542116630669545</v>
      </c>
      <c r="K24" s="4">
        <f>('Steel CO2e S1'!K24+'Steel CO2e S2'!K24)/'Steel Fe_tons'!K26</f>
        <v>2.296360485268631</v>
      </c>
      <c r="L24" s="8">
        <f>('Steel CO2e S1'!L24+'Steel CO2e S2'!L24)/'Steel Fe_tons'!L26</f>
        <v>1.9718053377832283</v>
      </c>
      <c r="M24" s="8">
        <f>('Steel CO2e S1'!M24+'Steel CO2e S2'!M24)/'Steel Fe_tons'!M26</f>
        <v>1.7310383685957806</v>
      </c>
      <c r="N24" s="8">
        <f>('Steel CO2e S1'!N24+'Steel CO2e S2'!N24)/'Steel Fe_tons'!N26</f>
        <v>1.7190099854099781</v>
      </c>
      <c r="O24" s="8">
        <f>('Steel CO2e S1'!O24+'Steel CO2e S2'!O24)/'Steel Fe_tons'!O26</f>
        <v>1.7069590640748136</v>
      </c>
      <c r="P24" s="8">
        <f>('Steel CO2e S1'!P24+'Steel CO2e S2'!P24)/'Steel Fe_tons'!P26</f>
        <v>1.6948888977280627</v>
      </c>
      <c r="Q24" s="8">
        <f>('Steel CO2e S1'!Q24+'Steel CO2e S2'!Q24)/'Steel Fe_tons'!Q26</f>
        <v>1.6828026870956865</v>
      </c>
      <c r="R24" s="8">
        <f>('Steel CO2e S1'!R24+'Steel CO2e S2'!R24)/'Steel Fe_tons'!R26</f>
        <v>1.6707035425039976</v>
      </c>
      <c r="S24" s="8">
        <f>('Steel CO2e S1'!S24+'Steel CO2e S2'!S24)/'Steel Fe_tons'!S26</f>
        <v>1.6585944858525357</v>
      </c>
      <c r="T24" s="8">
        <f>('Steel CO2e S1'!T24+'Steel CO2e S2'!T24)/'Steel Fe_tons'!T26</f>
        <v>1.6464784525483755</v>
      </c>
      <c r="U24" s="8">
        <f>('Steel CO2e S1'!U24+'Steel CO2e S2'!U24)/'Steel Fe_tons'!U26</f>
        <v>1.6343582934025733</v>
      </c>
      <c r="V24" s="8">
        <f>('Steel CO2e S1'!V24+'Steel CO2e S2'!V24)/'Steel Fe_tons'!V26</f>
        <v>1.5296949544162017</v>
      </c>
      <c r="W24" s="8">
        <f>('Steel CO2e S1'!W24+'Steel CO2e S2'!W24)/'Steel Fe_tons'!W26</f>
        <v>1.4277681710910881</v>
      </c>
      <c r="X24" s="8">
        <f>('Steel CO2e S1'!X24+'Steel CO2e S2'!X24)/'Steel Fe_tons'!X26</f>
        <v>1.3285199183660921</v>
      </c>
      <c r="Y24" s="8">
        <f>('Steel CO2e S1'!Y24+'Steel CO2e S2'!Y24)/'Steel Fe_tons'!Y26</f>
        <v>1.2318932885457827</v>
      </c>
      <c r="Z24" s="8">
        <f>('Steel CO2e S1'!Z24+'Steel CO2e S2'!Z24)/'Steel Fe_tons'!Z26</f>
        <v>1.1378324709474592</v>
      </c>
      <c r="AA24" s="8">
        <f>('Steel CO2e S1'!AA24+'Steel CO2e S2'!AA24)/'Steel Fe_tons'!AA26</f>
        <v>1.04628273190571</v>
      </c>
      <c r="AB24" s="8">
        <f>('Steel CO2e S1'!AB24+'Steel CO2e S2'!AB24)/'Steel Fe_tons'!AB26</f>
        <v>0.95719039512837656</v>
      </c>
      <c r="AC24" s="8">
        <f>('Steel CO2e S1'!AC24+'Steel CO2e S2'!AC24)/'Steel Fe_tons'!AC26</f>
        <v>0.87050282239791732</v>
      </c>
      <c r="AD24" s="8">
        <f>('Steel CO2e S1'!AD24+'Steel CO2e S2'!AD24)/'Steel Fe_tons'!AD26</f>
        <v>0.78616839461224075</v>
      </c>
      <c r="AE24" s="8">
        <f>('Steel CO2e S1'!AE24+'Steel CO2e S2'!AE24)/'Steel Fe_tons'!AE26</f>
        <v>0.70413649315919469</v>
      </c>
      <c r="AF24" s="8">
        <f>('Steel CO2e S1'!AF24+'Steel CO2e S2'!AF24)/'Steel Fe_tons'!AF26</f>
        <v>0.62435748161899052</v>
      </c>
      <c r="AG24" s="8">
        <f>('Steel CO2e S1'!AG24+'Steel CO2e S2'!AG24)/'Steel Fe_tons'!AG26</f>
        <v>0.54678268778893535</v>
      </c>
      <c r="AH24" s="8">
        <f>('Steel CO2e S1'!AH24+'Steel CO2e S2'!AH24)/'Steel Fe_tons'!AH26</f>
        <v>0.47136438602494435</v>
      </c>
      <c r="AI24" s="8">
        <f>('Steel CO2e S1'!AI24+'Steel CO2e S2'!AI24)/'Steel Fe_tons'!AI26</f>
        <v>0.39805577989439361</v>
      </c>
      <c r="AJ24" s="8">
        <f>('Steel CO2e S1'!AJ24+'Steel CO2e S2'!AJ24)/'Steel Fe_tons'!AJ26</f>
        <v>0.3268109851349702</v>
      </c>
      <c r="AK24" s="8">
        <f>('Steel CO2e S1'!AK24+'Steel CO2e S2'!AK24)/'Steel Fe_tons'!AK26</f>
        <v>0.25758501291426222</v>
      </c>
      <c r="AL24" s="8">
        <f>('Steel CO2e S1'!AL24+'Steel CO2e S2'!AL24)/'Steel Fe_tons'!AL26</f>
        <v>0.19033375338492287</v>
      </c>
      <c r="AM24" s="8">
        <f>('Steel CO2e S1'!AM24+'Steel CO2e S2'!AM24)/'Steel Fe_tons'!AM26</f>
        <v>0.12501395953032701</v>
      </c>
      <c r="AN24" s="8">
        <f>('Steel CO2e S1'!AN24+'Steel CO2e S2'!AN24)/'Steel Fe_tons'!AN26</f>
        <v>6.1583231295727597E-2</v>
      </c>
      <c r="AO24">
        <v>0</v>
      </c>
    </row>
    <row r="25" spans="1:41" x14ac:dyDescent="0.15">
      <c r="A25" t="s">
        <v>75</v>
      </c>
      <c r="B25" t="s">
        <v>76</v>
      </c>
      <c r="C25" t="s">
        <v>77</v>
      </c>
    </row>
    <row r="26" spans="1:41" x14ac:dyDescent="0.15">
      <c r="A26" t="s">
        <v>78</v>
      </c>
      <c r="B26" t="s">
        <v>79</v>
      </c>
      <c r="C26" t="s">
        <v>80</v>
      </c>
      <c r="E26">
        <f>'Steel CO2e S1'!E26/'Steel Fe_tons'!E28</f>
        <v>4.0174588665447895E-2</v>
      </c>
      <c r="F26">
        <f>'Steel CO2e S1'!F26/'Steel Fe_tons'!F28</f>
        <v>3.7564957264957267E-2</v>
      </c>
      <c r="G26">
        <f>'Steel CO2e S1'!G26/'Steel Fe_tons'!G28</f>
        <v>3.5878228782287823E-2</v>
      </c>
      <c r="H26">
        <f>'Steel CO2e S1'!H26/'Steel Fe_tons'!H28</f>
        <v>3.2664373464373467E-2</v>
      </c>
      <c r="I26">
        <f>'Steel CO2e S1'!I26/'Steel Fe_tons'!I28</f>
        <v>3.6636910994764398E-2</v>
      </c>
      <c r="J26">
        <f>'Steel CO2e S1'!J26/'Steel Fe_tons'!J28</f>
        <v>3.6139165545087483E-2</v>
      </c>
      <c r="K26">
        <f>'Steel CO2e S1'!K26/'Steel Fe_tons'!K28</f>
        <v>3.4074673629242817E-2</v>
      </c>
      <c r="L26">
        <f t="shared" ref="L26:T26" si="7">($I26-$U26)*($U$1-L$1)/($U$1-$I$1)+$U26</f>
        <v>3.4805065445026179E-2</v>
      </c>
      <c r="M26">
        <f t="shared" si="7"/>
        <v>3.4194450261780106E-2</v>
      </c>
      <c r="N26">
        <f t="shared" si="7"/>
        <v>3.3583835078534033E-2</v>
      </c>
      <c r="O26">
        <f t="shared" si="7"/>
        <v>3.297321989528796E-2</v>
      </c>
      <c r="P26">
        <f t="shared" si="7"/>
        <v>3.2362604712041887E-2</v>
      </c>
      <c r="Q26">
        <f t="shared" si="7"/>
        <v>3.1751989528795814E-2</v>
      </c>
      <c r="R26">
        <f t="shared" si="7"/>
        <v>3.1141374345549738E-2</v>
      </c>
      <c r="S26">
        <f t="shared" si="7"/>
        <v>3.0530759162303665E-2</v>
      </c>
      <c r="T26">
        <f t="shared" si="7"/>
        <v>2.9920143979057592E-2</v>
      </c>
      <c r="U26">
        <f>I26*0.8</f>
        <v>2.9309528795811519E-2</v>
      </c>
      <c r="V26">
        <f t="shared" ref="V26:AN26" si="8">($I26-$U26)*($U$1-V$1)/($U$1-$I$1)+$U26</f>
        <v>2.8698913612565446E-2</v>
      </c>
      <c r="W26">
        <f t="shared" si="8"/>
        <v>2.8088298429319373E-2</v>
      </c>
      <c r="X26">
        <f t="shared" si="8"/>
        <v>2.74776832460733E-2</v>
      </c>
      <c r="Y26">
        <f t="shared" si="8"/>
        <v>2.6867068062827227E-2</v>
      </c>
      <c r="Z26">
        <f t="shared" si="8"/>
        <v>2.6256452879581154E-2</v>
      </c>
      <c r="AA26">
        <f t="shared" si="8"/>
        <v>2.5645837696335078E-2</v>
      </c>
      <c r="AB26">
        <f t="shared" si="8"/>
        <v>2.5035222513089005E-2</v>
      </c>
      <c r="AC26">
        <f t="shared" si="8"/>
        <v>2.4424607329842932E-2</v>
      </c>
      <c r="AD26">
        <f t="shared" si="8"/>
        <v>2.3813992146596859E-2</v>
      </c>
      <c r="AE26">
        <f t="shared" si="8"/>
        <v>2.3203376963350786E-2</v>
      </c>
      <c r="AF26">
        <f t="shared" si="8"/>
        <v>2.2592761780104713E-2</v>
      </c>
      <c r="AG26">
        <f t="shared" si="8"/>
        <v>2.198214659685864E-2</v>
      </c>
      <c r="AH26">
        <f t="shared" si="8"/>
        <v>2.1371531413612567E-2</v>
      </c>
      <c r="AI26">
        <f t="shared" si="8"/>
        <v>2.0760916230366494E-2</v>
      </c>
      <c r="AJ26">
        <f t="shared" si="8"/>
        <v>2.0150301047120421E-2</v>
      </c>
      <c r="AK26">
        <f t="shared" si="8"/>
        <v>1.9539685863874348E-2</v>
      </c>
      <c r="AL26">
        <f t="shared" si="8"/>
        <v>1.8929070680628275E-2</v>
      </c>
      <c r="AM26">
        <f t="shared" si="8"/>
        <v>1.8318455497382202E-2</v>
      </c>
      <c r="AN26">
        <f t="shared" si="8"/>
        <v>1.7707840314136129E-2</v>
      </c>
      <c r="AO26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8"/>
  <sheetViews>
    <sheetView zoomScale="200" zoomScaleNormal="20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P4" sqref="P4"/>
    </sheetView>
  </sheetViews>
  <sheetFormatPr baseColWidth="10" defaultColWidth="11.5" defaultRowHeight="13" x14ac:dyDescent="0.15"/>
  <cols>
    <col min="1" max="1" width="34.33203125" customWidth="1"/>
    <col min="2" max="2" width="23.5" customWidth="1"/>
    <col min="10" max="11" width="12.6640625" bestFit="1" customWidth="1"/>
  </cols>
  <sheetData>
    <row r="1" spans="1:41" x14ac:dyDescent="0.15">
      <c r="A1" t="s">
        <v>0</v>
      </c>
      <c r="B1" t="s">
        <v>1</v>
      </c>
      <c r="C1" t="s">
        <v>2</v>
      </c>
      <c r="E1">
        <v>2014</v>
      </c>
      <c r="F1">
        <f t="shared" ref="F1:AO1" si="0">E1+1</f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  <c r="Z1">
        <f t="shared" si="0"/>
        <v>2035</v>
      </c>
      <c r="AA1">
        <f t="shared" si="0"/>
        <v>2036</v>
      </c>
      <c r="AB1">
        <f t="shared" si="0"/>
        <v>2037</v>
      </c>
      <c r="AC1">
        <f t="shared" si="0"/>
        <v>2038</v>
      </c>
      <c r="AD1">
        <f t="shared" si="0"/>
        <v>2039</v>
      </c>
      <c r="AE1">
        <f t="shared" si="0"/>
        <v>2040</v>
      </c>
      <c r="AF1">
        <f t="shared" si="0"/>
        <v>2041</v>
      </c>
      <c r="AG1">
        <f t="shared" si="0"/>
        <v>2042</v>
      </c>
      <c r="AH1">
        <f t="shared" si="0"/>
        <v>2043</v>
      </c>
      <c r="AI1">
        <f t="shared" si="0"/>
        <v>2044</v>
      </c>
      <c r="AJ1">
        <f t="shared" si="0"/>
        <v>2045</v>
      </c>
      <c r="AK1">
        <f t="shared" si="0"/>
        <v>2046</v>
      </c>
      <c r="AL1">
        <f t="shared" si="0"/>
        <v>2047</v>
      </c>
      <c r="AM1">
        <f t="shared" si="0"/>
        <v>2048</v>
      </c>
      <c r="AN1">
        <f t="shared" si="0"/>
        <v>2049</v>
      </c>
      <c r="AO1">
        <f t="shared" si="0"/>
        <v>2050</v>
      </c>
    </row>
    <row r="2" spans="1:41" s="2" customFormat="1" x14ac:dyDescent="0.15">
      <c r="A2" s="2" t="s">
        <v>3</v>
      </c>
      <c r="B2" s="2" t="s">
        <v>4</v>
      </c>
      <c r="C2" s="2" t="s">
        <v>5</v>
      </c>
      <c r="E2" s="14">
        <v>6132700</v>
      </c>
      <c r="F2" s="14">
        <v>7089200</v>
      </c>
      <c r="G2" s="14">
        <v>6051800</v>
      </c>
      <c r="H2" s="14">
        <v>5596200</v>
      </c>
      <c r="I2" s="14">
        <v>5683400</v>
      </c>
      <c r="J2" s="14">
        <v>5342200</v>
      </c>
      <c r="K2" s="2">
        <f>$J2*1.015^(K$1-$J$1)</f>
        <v>5422332.9999999991</v>
      </c>
      <c r="L2" s="2">
        <f t="shared" ref="L2:AO2" si="1">$J2*1.015^(L$1-$J$1)</f>
        <v>5503667.9949999982</v>
      </c>
      <c r="M2" s="2">
        <f t="shared" si="1"/>
        <v>5586223.0149249975</v>
      </c>
      <c r="N2" s="2">
        <f t="shared" si="1"/>
        <v>5670016.3601488722</v>
      </c>
      <c r="O2" s="2">
        <f t="shared" si="1"/>
        <v>5755066.6055511041</v>
      </c>
      <c r="P2" s="2">
        <f t="shared" si="1"/>
        <v>5841392.6046343697</v>
      </c>
      <c r="Q2" s="2">
        <f t="shared" si="1"/>
        <v>5929013.4937038841</v>
      </c>
      <c r="R2" s="2">
        <f t="shared" si="1"/>
        <v>6017948.696109442</v>
      </c>
      <c r="S2" s="2">
        <f t="shared" si="1"/>
        <v>6108217.9265510831</v>
      </c>
      <c r="T2" s="2">
        <f t="shared" si="1"/>
        <v>6199841.1954493485</v>
      </c>
      <c r="U2" s="2">
        <f t="shared" si="1"/>
        <v>6292838.813381088</v>
      </c>
      <c r="V2" s="2">
        <f t="shared" si="1"/>
        <v>6387231.3955818033</v>
      </c>
      <c r="W2" s="2">
        <f t="shared" si="1"/>
        <v>6483039.8665155293</v>
      </c>
      <c r="X2" s="2">
        <f t="shared" si="1"/>
        <v>6580285.4645132609</v>
      </c>
      <c r="Y2" s="2">
        <f t="shared" si="1"/>
        <v>6678989.7464809585</v>
      </c>
      <c r="Z2" s="2">
        <f t="shared" si="1"/>
        <v>6779174.5926781725</v>
      </c>
      <c r="AA2" s="2">
        <f t="shared" si="1"/>
        <v>6880862.2115683444</v>
      </c>
      <c r="AB2" s="2">
        <f t="shared" si="1"/>
        <v>6984075.1447418686</v>
      </c>
      <c r="AC2" s="2">
        <f t="shared" si="1"/>
        <v>7088836.2719129957</v>
      </c>
      <c r="AD2" s="2">
        <f t="shared" si="1"/>
        <v>7195168.8159916885</v>
      </c>
      <c r="AE2" s="2">
        <f t="shared" si="1"/>
        <v>7303096.3482315633</v>
      </c>
      <c r="AF2" s="2">
        <f t="shared" si="1"/>
        <v>7412642.7934550354</v>
      </c>
      <c r="AG2" s="2">
        <f t="shared" si="1"/>
        <v>7523832.435356861</v>
      </c>
      <c r="AH2" s="2">
        <f t="shared" si="1"/>
        <v>7636689.9218872124</v>
      </c>
      <c r="AI2" s="2">
        <f t="shared" si="1"/>
        <v>7751240.2707155198</v>
      </c>
      <c r="AJ2" s="2">
        <f t="shared" si="1"/>
        <v>7867508.8747762516</v>
      </c>
      <c r="AK2" s="2">
        <f t="shared" si="1"/>
        <v>7985521.5078978948</v>
      </c>
      <c r="AL2" s="2">
        <f t="shared" si="1"/>
        <v>8105304.3305163607</v>
      </c>
      <c r="AM2" s="2">
        <f t="shared" si="1"/>
        <v>8226883.8954741061</v>
      </c>
      <c r="AN2" s="2">
        <f t="shared" si="1"/>
        <v>8350287.1539062159</v>
      </c>
      <c r="AO2" s="2">
        <f t="shared" si="1"/>
        <v>8475541.4612148087</v>
      </c>
    </row>
    <row r="3" spans="1:41" s="2" customFormat="1" x14ac:dyDescent="0.15">
      <c r="A3" s="2" t="s">
        <v>6</v>
      </c>
      <c r="B3" s="2" t="s">
        <v>7</v>
      </c>
      <c r="C3" s="2" t="s">
        <v>8</v>
      </c>
      <c r="E3" s="2">
        <f>85.1*1000000</f>
        <v>85100000</v>
      </c>
      <c r="F3" s="2">
        <f>84.6*1000000</f>
        <v>84600000</v>
      </c>
      <c r="G3" s="2">
        <f>83.9*1000000</f>
        <v>83900000</v>
      </c>
      <c r="H3" s="2">
        <f>85.2*1000000</f>
        <v>85200000</v>
      </c>
      <c r="I3" s="2">
        <f>83.9*1000000</f>
        <v>83900000</v>
      </c>
      <c r="J3" s="2">
        <f>84.5*1000000</f>
        <v>84500000</v>
      </c>
      <c r="K3" s="2">
        <f>69.1*1000000</f>
        <v>69100000</v>
      </c>
      <c r="L3" s="2">
        <f>62.9*1000000</f>
        <v>62900000</v>
      </c>
      <c r="M3" s="2">
        <f>$L3*1.015^(M$1-$L$1)</f>
        <v>63843499.999999993</v>
      </c>
      <c r="N3" s="2">
        <f t="shared" ref="N3:AO3" si="2">$L3*1.015^(N$1-$L$1)</f>
        <v>64801152.499999985</v>
      </c>
      <c r="O3" s="2">
        <f t="shared" si="2"/>
        <v>65773169.787499972</v>
      </c>
      <c r="P3" s="2">
        <f t="shared" si="2"/>
        <v>66759767.334312461</v>
      </c>
      <c r="Q3" s="2">
        <f t="shared" si="2"/>
        <v>67761163.844327137</v>
      </c>
      <c r="R3" s="2">
        <f t="shared" si="2"/>
        <v>68777581.301992029</v>
      </c>
      <c r="S3" s="2">
        <f t="shared" si="2"/>
        <v>69809245.021521911</v>
      </c>
      <c r="T3" s="2">
        <f t="shared" si="2"/>
        <v>70856383.696844727</v>
      </c>
      <c r="U3" s="2">
        <f t="shared" si="2"/>
        <v>71919229.45229739</v>
      </c>
      <c r="V3" s="2">
        <f t="shared" si="2"/>
        <v>72998017.894081846</v>
      </c>
      <c r="W3" s="2">
        <f t="shared" si="2"/>
        <v>74092988.162493065</v>
      </c>
      <c r="X3" s="2">
        <f t="shared" si="2"/>
        <v>75204382.984930441</v>
      </c>
      <c r="Y3" s="2">
        <f t="shared" si="2"/>
        <v>76332448.729704395</v>
      </c>
      <c r="Z3" s="2">
        <f t="shared" si="2"/>
        <v>77477435.460649937</v>
      </c>
      <c r="AA3" s="2">
        <f t="shared" si="2"/>
        <v>78639596.992559686</v>
      </c>
      <c r="AB3" s="2">
        <f t="shared" si="2"/>
        <v>79819190.94744806</v>
      </c>
      <c r="AC3" s="2">
        <f t="shared" si="2"/>
        <v>81016478.811659768</v>
      </c>
      <c r="AD3" s="2">
        <f t="shared" si="2"/>
        <v>82231725.993834659</v>
      </c>
      <c r="AE3" s="2">
        <f t="shared" si="2"/>
        <v>83465201.883742183</v>
      </c>
      <c r="AF3" s="2">
        <f t="shared" si="2"/>
        <v>84717179.911998287</v>
      </c>
      <c r="AG3" s="2">
        <f t="shared" si="2"/>
        <v>85987937.610678256</v>
      </c>
      <c r="AH3" s="2">
        <f t="shared" si="2"/>
        <v>87277756.674838409</v>
      </c>
      <c r="AI3" s="2">
        <f t="shared" si="2"/>
        <v>88586923.02496098</v>
      </c>
      <c r="AJ3" s="2">
        <f t="shared" si="2"/>
        <v>89915726.87033537</v>
      </c>
      <c r="AK3" s="2">
        <f t="shared" si="2"/>
        <v>91264462.773390397</v>
      </c>
      <c r="AL3" s="2">
        <f t="shared" si="2"/>
        <v>92633429.714991242</v>
      </c>
      <c r="AM3" s="2">
        <f t="shared" si="2"/>
        <v>94022931.160716102</v>
      </c>
      <c r="AN3" s="2">
        <f t="shared" si="2"/>
        <v>95433275.128126815</v>
      </c>
      <c r="AO3" s="2">
        <f t="shared" si="2"/>
        <v>96864774.255048722</v>
      </c>
    </row>
    <row r="4" spans="1:41" x14ac:dyDescent="0.15">
      <c r="A4" t="s">
        <v>9</v>
      </c>
      <c r="B4" t="s">
        <v>10</v>
      </c>
      <c r="C4" t="s">
        <v>11</v>
      </c>
      <c r="E4">
        <f t="shared" ref="E4:G6" si="3">F4</f>
        <v>138831</v>
      </c>
      <c r="F4">
        <f t="shared" si="3"/>
        <v>138831</v>
      </c>
      <c r="G4">
        <f t="shared" si="3"/>
        <v>138831</v>
      </c>
      <c r="H4">
        <f>I4</f>
        <v>138831</v>
      </c>
      <c r="I4">
        <v>138831</v>
      </c>
      <c r="J4">
        <v>119453.92491467576</v>
      </c>
      <c r="K4">
        <v>93262.411347517729</v>
      </c>
      <c r="L4">
        <v>80150.753768844224</v>
      </c>
      <c r="M4">
        <f>$K4*1.015^(M$1-$K$1)</f>
        <v>96081.267730496431</v>
      </c>
      <c r="N4">
        <f>$K4*1.015^(N$1-$K$1)</f>
        <v>97522.486746453869</v>
      </c>
      <c r="O4">
        <f>$K4*1.015^(O$1-$K$1)</f>
        <v>98985.324047650662</v>
      </c>
      <c r="P4">
        <f t="shared" ref="P4:AO4" si="4">$K4*1.015^(P$1-$K$1)</f>
        <v>100470.1039083654</v>
      </c>
      <c r="Q4">
        <f t="shared" si="4"/>
        <v>101977.15546699087</v>
      </c>
      <c r="R4">
        <f t="shared" si="4"/>
        <v>103506.81279899571</v>
      </c>
      <c r="S4">
        <f t="shared" si="4"/>
        <v>105059.41499098064</v>
      </c>
      <c r="T4">
        <f t="shared" si="4"/>
        <v>106635.30621584534</v>
      </c>
      <c r="U4">
        <f t="shared" si="4"/>
        <v>108234.835809083</v>
      </c>
      <c r="V4">
        <f t="shared" si="4"/>
        <v>109858.35834621923</v>
      </c>
      <c r="W4">
        <f t="shared" si="4"/>
        <v>111506.2337214125</v>
      </c>
      <c r="X4">
        <f t="shared" si="4"/>
        <v>113178.82722723368</v>
      </c>
      <c r="Y4">
        <f t="shared" si="4"/>
        <v>114876.50963564216</v>
      </c>
      <c r="Z4">
        <f t="shared" si="4"/>
        <v>116599.65728017678</v>
      </c>
      <c r="AA4">
        <f t="shared" si="4"/>
        <v>118348.65213937941</v>
      </c>
      <c r="AB4">
        <f t="shared" si="4"/>
        <v>120123.88192147008</v>
      </c>
      <c r="AC4">
        <f t="shared" si="4"/>
        <v>121925.74015029213</v>
      </c>
      <c r="AD4">
        <f t="shared" si="4"/>
        <v>123754.6262525465</v>
      </c>
      <c r="AE4">
        <f t="shared" si="4"/>
        <v>125610.94564633466</v>
      </c>
      <c r="AF4">
        <f t="shared" si="4"/>
        <v>127495.10983102967</v>
      </c>
      <c r="AG4">
        <f t="shared" si="4"/>
        <v>129407.53647849508</v>
      </c>
      <c r="AH4">
        <f t="shared" si="4"/>
        <v>131348.64952567249</v>
      </c>
      <c r="AI4">
        <f t="shared" si="4"/>
        <v>133318.87926855756</v>
      </c>
      <c r="AJ4">
        <f t="shared" si="4"/>
        <v>135318.66245758592</v>
      </c>
      <c r="AK4">
        <f t="shared" si="4"/>
        <v>137348.4423944497</v>
      </c>
      <c r="AL4">
        <f t="shared" si="4"/>
        <v>139408.66903036644</v>
      </c>
      <c r="AM4">
        <f t="shared" si="4"/>
        <v>141499.79906582189</v>
      </c>
      <c r="AN4">
        <f t="shared" si="4"/>
        <v>143622.29605180921</v>
      </c>
      <c r="AO4">
        <f t="shared" si="4"/>
        <v>145776.63049258629</v>
      </c>
    </row>
    <row r="5" spans="1:41" x14ac:dyDescent="0.15">
      <c r="A5" s="2" t="s">
        <v>83</v>
      </c>
      <c r="B5" s="2" t="s">
        <v>81</v>
      </c>
      <c r="C5" s="2" t="s">
        <v>82</v>
      </c>
      <c r="E5" s="3">
        <f>E2+E3</f>
        <v>91232700</v>
      </c>
      <c r="F5" s="3">
        <f t="shared" ref="F5:AO5" si="5">F2+F3</f>
        <v>91689200</v>
      </c>
      <c r="G5" s="3">
        <f t="shared" si="5"/>
        <v>89951800</v>
      </c>
      <c r="H5" s="3">
        <f t="shared" si="5"/>
        <v>90796200</v>
      </c>
      <c r="I5" s="3">
        <f t="shared" si="5"/>
        <v>89583400</v>
      </c>
      <c r="J5" s="3">
        <f t="shared" si="5"/>
        <v>89842200</v>
      </c>
      <c r="K5" s="3">
        <f t="shared" si="5"/>
        <v>74522333</v>
      </c>
      <c r="L5" s="3">
        <f t="shared" si="5"/>
        <v>68403667.995000005</v>
      </c>
      <c r="M5" s="3">
        <f t="shared" si="5"/>
        <v>69429723.014924988</v>
      </c>
      <c r="N5" s="3">
        <f t="shared" si="5"/>
        <v>70471168.860148862</v>
      </c>
      <c r="O5" s="3">
        <f t="shared" si="5"/>
        <v>71528236.393051073</v>
      </c>
      <c r="P5" s="3">
        <f t="shared" si="5"/>
        <v>72601159.938946828</v>
      </c>
      <c r="Q5" s="3">
        <f t="shared" si="5"/>
        <v>73690177.338031024</v>
      </c>
      <c r="R5" s="3">
        <f t="shared" si="5"/>
        <v>74795529.998101473</v>
      </c>
      <c r="S5" s="3">
        <f t="shared" si="5"/>
        <v>75917462.948073</v>
      </c>
      <c r="T5" s="3">
        <f t="shared" si="5"/>
        <v>77056224.892294079</v>
      </c>
      <c r="U5" s="3">
        <f t="shared" si="5"/>
        <v>78212068.26567848</v>
      </c>
      <c r="V5" s="3">
        <f t="shared" si="5"/>
        <v>79385249.289663643</v>
      </c>
      <c r="W5" s="3">
        <f t="shared" si="5"/>
        <v>80576028.029008597</v>
      </c>
      <c r="X5" s="3">
        <f t="shared" si="5"/>
        <v>81784668.449443698</v>
      </c>
      <c r="Y5" s="3">
        <f t="shared" si="5"/>
        <v>83011438.476185352</v>
      </c>
      <c r="Z5" s="3">
        <f t="shared" si="5"/>
        <v>84256610.053328112</v>
      </c>
      <c r="AA5" s="3">
        <f t="shared" si="5"/>
        <v>85520459.204128027</v>
      </c>
      <c r="AB5" s="3">
        <f t="shared" si="5"/>
        <v>86803266.092189923</v>
      </c>
      <c r="AC5" s="3">
        <f t="shared" si="5"/>
        <v>88105315.08357276</v>
      </c>
      <c r="AD5" s="3">
        <f t="shared" si="5"/>
        <v>89426894.809826344</v>
      </c>
      <c r="AE5" s="3">
        <f t="shared" si="5"/>
        <v>90768298.231973752</v>
      </c>
      <c r="AF5" s="3">
        <f t="shared" si="5"/>
        <v>92129822.705453321</v>
      </c>
      <c r="AG5" s="3">
        <f t="shared" si="5"/>
        <v>93511770.046035111</v>
      </c>
      <c r="AH5" s="3">
        <f t="shared" si="5"/>
        <v>94914446.596725628</v>
      </c>
      <c r="AI5" s="3">
        <f t="shared" si="5"/>
        <v>96338163.2956765</v>
      </c>
      <c r="AJ5" s="3">
        <f t="shared" si="5"/>
        <v>97783235.745111614</v>
      </c>
      <c r="AK5" s="3">
        <f t="shared" si="5"/>
        <v>99249984.281288296</v>
      </c>
      <c r="AL5" s="3">
        <f t="shared" si="5"/>
        <v>100738734.04550761</v>
      </c>
      <c r="AM5" s="3">
        <f t="shared" si="5"/>
        <v>102249815.05619021</v>
      </c>
      <c r="AN5" s="3">
        <f t="shared" si="5"/>
        <v>103783562.28203303</v>
      </c>
      <c r="AO5" s="3">
        <f t="shared" si="5"/>
        <v>105340315.71626353</v>
      </c>
    </row>
    <row r="6" spans="1:41" ht="14" x14ac:dyDescent="0.15">
      <c r="A6" t="s">
        <v>12</v>
      </c>
      <c r="B6" t="s">
        <v>13</v>
      </c>
      <c r="C6" t="s">
        <v>14</v>
      </c>
      <c r="E6">
        <f t="shared" si="3"/>
        <v>5301216</v>
      </c>
      <c r="F6">
        <f t="shared" si="3"/>
        <v>5301216</v>
      </c>
      <c r="G6">
        <f t="shared" si="3"/>
        <v>5301216</v>
      </c>
      <c r="H6">
        <f>I6</f>
        <v>5301216</v>
      </c>
      <c r="I6">
        <f>J6</f>
        <v>5301216</v>
      </c>
      <c r="J6" s="5">
        <v>5301216</v>
      </c>
      <c r="K6" s="5">
        <v>5543677</v>
      </c>
      <c r="L6" s="5">
        <v>5661959</v>
      </c>
      <c r="M6">
        <f t="shared" ref="M6:U6" si="6">$K6*1.015^(M$1-$K$1)</f>
        <v>5711234.6373249982</v>
      </c>
      <c r="N6">
        <f t="shared" si="6"/>
        <v>5796903.1568848724</v>
      </c>
      <c r="O6">
        <f t="shared" si="6"/>
        <v>5883856.7042381447</v>
      </c>
      <c r="P6">
        <f t="shared" si="6"/>
        <v>5972114.5548017165</v>
      </c>
      <c r="Q6">
        <f t="shared" si="6"/>
        <v>6061696.2731237411</v>
      </c>
      <c r="R6">
        <f t="shared" si="6"/>
        <v>6152621.717220596</v>
      </c>
      <c r="S6">
        <f t="shared" si="6"/>
        <v>6244911.0429789042</v>
      </c>
      <c r="T6">
        <f t="shared" si="6"/>
        <v>6338584.7086235872</v>
      </c>
      <c r="U6">
        <f t="shared" si="6"/>
        <v>6433663.47925294</v>
      </c>
      <c r="V6">
        <f t="shared" ref="V4:AE6" si="7">$U6*1.015^(V$1-$U$1)</f>
        <v>6530168.4314417336</v>
      </c>
      <c r="W6">
        <f t="shared" si="7"/>
        <v>6628120.9579133587</v>
      </c>
      <c r="X6">
        <f t="shared" si="7"/>
        <v>6727542.7722820584</v>
      </c>
      <c r="Y6">
        <f t="shared" si="7"/>
        <v>6828455.913866288</v>
      </c>
      <c r="Z6">
        <f t="shared" si="7"/>
        <v>6930882.7525742808</v>
      </c>
      <c r="AA6">
        <f t="shared" si="7"/>
        <v>7034845.9938628944</v>
      </c>
      <c r="AB6">
        <f t="shared" si="7"/>
        <v>7140368.6837708363</v>
      </c>
      <c r="AC6">
        <f t="shared" si="7"/>
        <v>7247474.2140273983</v>
      </c>
      <c r="AD6">
        <f t="shared" si="7"/>
        <v>7356186.3272378081</v>
      </c>
      <c r="AE6">
        <f t="shared" si="7"/>
        <v>7466529.1221463745</v>
      </c>
      <c r="AF6">
        <f t="shared" ref="AF4:AO6" si="8">$U6*1.015^(AF$1-$U$1)</f>
        <v>7578527.0589785697</v>
      </c>
      <c r="AG6">
        <f t="shared" si="8"/>
        <v>7692204.9648632463</v>
      </c>
      <c r="AH6">
        <f t="shared" si="8"/>
        <v>7807588.0393361943</v>
      </c>
      <c r="AI6">
        <f t="shared" si="8"/>
        <v>7924701.8599262359</v>
      </c>
      <c r="AJ6">
        <f t="shared" si="8"/>
        <v>8043572.3878251277</v>
      </c>
      <c r="AK6">
        <f t="shared" si="8"/>
        <v>8164225.9736425038</v>
      </c>
      <c r="AL6">
        <f t="shared" si="8"/>
        <v>8286689.3632471403</v>
      </c>
      <c r="AM6">
        <f t="shared" si="8"/>
        <v>8410989.7036958467</v>
      </c>
      <c r="AN6">
        <f t="shared" si="8"/>
        <v>8537154.5492512845</v>
      </c>
      <c r="AO6">
        <f t="shared" si="8"/>
        <v>8665211.8674900495</v>
      </c>
    </row>
    <row r="7" spans="1:41" x14ac:dyDescent="0.15">
      <c r="A7" t="s">
        <v>15</v>
      </c>
      <c r="B7" t="s">
        <v>16</v>
      </c>
      <c r="C7" t="s">
        <v>17</v>
      </c>
    </row>
    <row r="8" spans="1:41" x14ac:dyDescent="0.15">
      <c r="A8" t="s">
        <v>18</v>
      </c>
      <c r="B8" t="s">
        <v>19</v>
      </c>
      <c r="C8" t="s">
        <v>20</v>
      </c>
    </row>
    <row r="9" spans="1:41" x14ac:dyDescent="0.15">
      <c r="A9" t="s">
        <v>21</v>
      </c>
      <c r="B9" t="s">
        <v>22</v>
      </c>
      <c r="C9" t="s">
        <v>23</v>
      </c>
      <c r="E9">
        <f>F9</f>
        <v>16100000</v>
      </c>
      <c r="F9">
        <f>G9</f>
        <v>16100000</v>
      </c>
      <c r="G9">
        <f>H9</f>
        <v>16100000</v>
      </c>
      <c r="H9">
        <v>16100000</v>
      </c>
      <c r="I9">
        <f>(H9+J9)/2</f>
        <v>14276549.5</v>
      </c>
      <c r="J9" s="7">
        <v>12453099</v>
      </c>
      <c r="K9" s="7">
        <v>13142354.300000001</v>
      </c>
      <c r="L9">
        <f t="shared" ref="L9:U9" si="9">$J9*1.015^(L$1-$J$1)</f>
        <v>12829493.917274997</v>
      </c>
      <c r="M9">
        <f t="shared" si="9"/>
        <v>13021936.326034119</v>
      </c>
      <c r="N9">
        <f t="shared" si="9"/>
        <v>13217265.370924629</v>
      </c>
      <c r="O9">
        <f t="shared" si="9"/>
        <v>13415524.351488497</v>
      </c>
      <c r="P9">
        <f t="shared" si="9"/>
        <v>13616757.216760822</v>
      </c>
      <c r="Q9">
        <f t="shared" si="9"/>
        <v>13821008.575012233</v>
      </c>
      <c r="R9">
        <f t="shared" si="9"/>
        <v>14028323.703637416</v>
      </c>
      <c r="S9">
        <f t="shared" si="9"/>
        <v>14238748.559191974</v>
      </c>
      <c r="T9">
        <f t="shared" si="9"/>
        <v>14452329.787579853</v>
      </c>
      <c r="U9">
        <f t="shared" si="9"/>
        <v>14669114.734393548</v>
      </c>
      <c r="V9">
        <f t="shared" ref="V9:AO9" si="10">$U9*1.015^(V$1-$U$1)</f>
        <v>14889151.45540945</v>
      </c>
      <c r="W9">
        <f t="shared" si="10"/>
        <v>15112488.727240589</v>
      </c>
      <c r="X9">
        <f t="shared" si="10"/>
        <v>15339176.058149196</v>
      </c>
      <c r="Y9">
        <f t="shared" si="10"/>
        <v>15569263.699021433</v>
      </c>
      <c r="Z9">
        <f t="shared" si="10"/>
        <v>15802802.65450675</v>
      </c>
      <c r="AA9">
        <f t="shared" si="10"/>
        <v>16039844.69432435</v>
      </c>
      <c r="AB9">
        <f t="shared" si="10"/>
        <v>16280442.364739211</v>
      </c>
      <c r="AC9">
        <f t="shared" si="10"/>
        <v>16524649.000210298</v>
      </c>
      <c r="AD9">
        <f t="shared" si="10"/>
        <v>16772518.735213451</v>
      </c>
      <c r="AE9">
        <f t="shared" si="10"/>
        <v>17024106.516241651</v>
      </c>
      <c r="AF9">
        <f t="shared" si="10"/>
        <v>17279468.113985274</v>
      </c>
      <c r="AG9">
        <f t="shared" si="10"/>
        <v>17538660.135695048</v>
      </c>
      <c r="AH9">
        <f t="shared" si="10"/>
        <v>17801740.037730474</v>
      </c>
      <c r="AI9">
        <f t="shared" si="10"/>
        <v>18068766.138296425</v>
      </c>
      <c r="AJ9">
        <f t="shared" si="10"/>
        <v>18339797.63037087</v>
      </c>
      <c r="AK9">
        <f t="shared" si="10"/>
        <v>18614894.59482643</v>
      </c>
      <c r="AL9">
        <f t="shared" si="10"/>
        <v>18894118.013748825</v>
      </c>
      <c r="AM9">
        <f t="shared" si="10"/>
        <v>19177529.783955056</v>
      </c>
      <c r="AN9">
        <f t="shared" si="10"/>
        <v>19465192.730714381</v>
      </c>
      <c r="AO9">
        <f t="shared" si="10"/>
        <v>19757170.621675089</v>
      </c>
    </row>
    <row r="10" spans="1:41" x14ac:dyDescent="0.15">
      <c r="A10" t="s">
        <v>24</v>
      </c>
      <c r="B10" t="s">
        <v>25</v>
      </c>
      <c r="C10" t="s">
        <v>26</v>
      </c>
    </row>
    <row r="11" spans="1:41" x14ac:dyDescent="0.15">
      <c r="A11" t="s">
        <v>27</v>
      </c>
      <c r="B11" t="s">
        <v>28</v>
      </c>
      <c r="C11" t="s">
        <v>29</v>
      </c>
    </row>
    <row r="12" spans="1:41" x14ac:dyDescent="0.15">
      <c r="A12" t="s">
        <v>30</v>
      </c>
      <c r="B12" t="s">
        <v>31</v>
      </c>
      <c r="C12" t="s">
        <v>32</v>
      </c>
    </row>
    <row r="13" spans="1:41" x14ac:dyDescent="0.15">
      <c r="A13" t="s">
        <v>33</v>
      </c>
      <c r="B13" t="s">
        <v>34</v>
      </c>
      <c r="C13" t="s">
        <v>35</v>
      </c>
    </row>
    <row r="14" spans="1:41" x14ac:dyDescent="0.15">
      <c r="A14" t="s">
        <v>36</v>
      </c>
      <c r="B14" t="s">
        <v>37</v>
      </c>
      <c r="C14" t="s">
        <v>38</v>
      </c>
    </row>
    <row r="15" spans="1:41" x14ac:dyDescent="0.15">
      <c r="A15" t="s">
        <v>39</v>
      </c>
      <c r="B15" t="s">
        <v>40</v>
      </c>
      <c r="C15" t="s">
        <v>41</v>
      </c>
    </row>
    <row r="16" spans="1:41" x14ac:dyDescent="0.15">
      <c r="A16" t="s">
        <v>42</v>
      </c>
      <c r="B16" t="s">
        <v>43</v>
      </c>
      <c r="C16" t="s">
        <v>44</v>
      </c>
    </row>
    <row r="17" spans="1:41" x14ac:dyDescent="0.15">
      <c r="A17" t="s">
        <v>45</v>
      </c>
      <c r="B17" t="s">
        <v>46</v>
      </c>
      <c r="C17" t="s">
        <v>47</v>
      </c>
      <c r="E17">
        <f t="shared" ref="E17:H18" si="11">F17</f>
        <v>49580000</v>
      </c>
      <c r="F17">
        <f t="shared" si="11"/>
        <v>49580000</v>
      </c>
      <c r="G17">
        <f t="shared" si="11"/>
        <v>49580000</v>
      </c>
      <c r="H17" s="6">
        <v>49580000</v>
      </c>
      <c r="I17" s="6">
        <v>48500000</v>
      </c>
      <c r="J17" s="6">
        <v>45890000</v>
      </c>
      <c r="K17" s="6">
        <v>36630000</v>
      </c>
      <c r="L17">
        <f>(K17+M17)/2</f>
        <v>42308090.314374991</v>
      </c>
      <c r="M17">
        <f t="shared" ref="M17:U17" si="12">$J17*1.015^(M$1-$J$1)</f>
        <v>47986180.628749982</v>
      </c>
      <c r="N17">
        <f t="shared" si="12"/>
        <v>48705973.338181227</v>
      </c>
      <c r="O17">
        <f t="shared" si="12"/>
        <v>49436562.938253939</v>
      </c>
      <c r="P17">
        <f t="shared" si="12"/>
        <v>50178111.382327735</v>
      </c>
      <c r="Q17">
        <f t="shared" si="12"/>
        <v>50930783.05306264</v>
      </c>
      <c r="R17">
        <f t="shared" si="12"/>
        <v>51694744.798858576</v>
      </c>
      <c r="S17">
        <f t="shared" si="12"/>
        <v>52470165.970841452</v>
      </c>
      <c r="T17">
        <f t="shared" si="12"/>
        <v>53257218.460404068</v>
      </c>
      <c r="U17">
        <f t="shared" si="12"/>
        <v>54056076.737310119</v>
      </c>
      <c r="V17">
        <f t="shared" ref="V17:AE18" si="13">$U17*1.015^(V$1-$U$1)</f>
        <v>54866917.888369769</v>
      </c>
      <c r="W17">
        <f t="shared" si="13"/>
        <v>55689921.656695299</v>
      </c>
      <c r="X17">
        <f t="shared" si="13"/>
        <v>56525270.481545724</v>
      </c>
      <c r="Y17">
        <f t="shared" si="13"/>
        <v>57373149.538768902</v>
      </c>
      <c r="Z17">
        <f t="shared" si="13"/>
        <v>58233746.781850427</v>
      </c>
      <c r="AA17">
        <f t="shared" si="13"/>
        <v>59107252.983578175</v>
      </c>
      <c r="AB17">
        <f t="shared" si="13"/>
        <v>59993861.778331839</v>
      </c>
      <c r="AC17">
        <f t="shared" si="13"/>
        <v>60893769.705006808</v>
      </c>
      <c r="AD17">
        <f t="shared" si="13"/>
        <v>61807176.250581905</v>
      </c>
      <c r="AE17">
        <f t="shared" si="13"/>
        <v>62734283.894340627</v>
      </c>
      <c r="AF17">
        <f t="shared" ref="AF17:AO18" si="14">$U17*1.015^(AF$1-$U$1)</f>
        <v>63675298.15275573</v>
      </c>
      <c r="AG17">
        <f t="shared" si="14"/>
        <v>64630427.62504705</v>
      </c>
      <c r="AH17">
        <f t="shared" si="14"/>
        <v>65599884.03942275</v>
      </c>
      <c r="AI17">
        <f t="shared" si="14"/>
        <v>66583882.300014079</v>
      </c>
      <c r="AJ17">
        <f t="shared" si="14"/>
        <v>67582640.534514278</v>
      </c>
      <c r="AK17">
        <f t="shared" si="14"/>
        <v>68596380.142531976</v>
      </c>
      <c r="AL17">
        <f t="shared" si="14"/>
        <v>69625325.844669953</v>
      </c>
      <c r="AM17">
        <f t="shared" si="14"/>
        <v>70669705.732339993</v>
      </c>
      <c r="AN17">
        <f t="shared" si="14"/>
        <v>71729751.318325087</v>
      </c>
      <c r="AO17">
        <f t="shared" si="14"/>
        <v>72805697.588099942</v>
      </c>
    </row>
    <row r="18" spans="1:41" x14ac:dyDescent="0.15">
      <c r="A18" t="s">
        <v>48</v>
      </c>
      <c r="B18" t="s">
        <v>49</v>
      </c>
      <c r="C18" t="s">
        <v>50</v>
      </c>
      <c r="E18">
        <f t="shared" si="11"/>
        <v>22500000</v>
      </c>
      <c r="F18">
        <f t="shared" si="11"/>
        <v>22500000</v>
      </c>
      <c r="G18">
        <f t="shared" si="11"/>
        <v>22500000</v>
      </c>
      <c r="H18">
        <f t="shared" si="11"/>
        <v>22500000</v>
      </c>
      <c r="I18" s="4">
        <v>22500000</v>
      </c>
      <c r="J18" s="4">
        <v>20700000</v>
      </c>
      <c r="K18" s="4">
        <v>20300000</v>
      </c>
      <c r="L18">
        <f>(K18+M18)/2</f>
        <v>20606783.749999996</v>
      </c>
      <c r="M18">
        <f t="shared" ref="M18:U18" si="15">$K18*1.015^(M$1-$K$1)</f>
        <v>20913567.499999993</v>
      </c>
      <c r="N18">
        <f t="shared" si="15"/>
        <v>21227271.012499992</v>
      </c>
      <c r="O18">
        <f t="shared" si="15"/>
        <v>21545680.077687487</v>
      </c>
      <c r="P18">
        <f t="shared" si="15"/>
        <v>21868865.278852798</v>
      </c>
      <c r="Q18">
        <f t="shared" si="15"/>
        <v>22196898.258035585</v>
      </c>
      <c r="R18">
        <f t="shared" si="15"/>
        <v>22529851.731906116</v>
      </c>
      <c r="S18">
        <f t="shared" si="15"/>
        <v>22867799.507884707</v>
      </c>
      <c r="T18">
        <f t="shared" si="15"/>
        <v>23210816.500502974</v>
      </c>
      <c r="U18">
        <f t="shared" si="15"/>
        <v>23558978.748010516</v>
      </c>
      <c r="V18">
        <f t="shared" si="13"/>
        <v>23912363.429230671</v>
      </c>
      <c r="W18">
        <f t="shared" si="13"/>
        <v>24271048.880669128</v>
      </c>
      <c r="X18">
        <f t="shared" si="13"/>
        <v>24635114.613879163</v>
      </c>
      <c r="Y18">
        <f t="shared" si="13"/>
        <v>25004641.333087344</v>
      </c>
      <c r="Z18">
        <f t="shared" si="13"/>
        <v>25379710.953083653</v>
      </c>
      <c r="AA18">
        <f t="shared" si="13"/>
        <v>25760406.6173799</v>
      </c>
      <c r="AB18">
        <f t="shared" si="13"/>
        <v>26146812.716640595</v>
      </c>
      <c r="AC18">
        <f t="shared" si="13"/>
        <v>26539014.907390203</v>
      </c>
      <c r="AD18">
        <f t="shared" si="13"/>
        <v>26937100.131001052</v>
      </c>
      <c r="AE18">
        <f t="shared" si="13"/>
        <v>27341156.632966064</v>
      </c>
      <c r="AF18">
        <f t="shared" si="14"/>
        <v>27751273.982460555</v>
      </c>
      <c r="AG18">
        <f t="shared" si="14"/>
        <v>28167543.092197455</v>
      </c>
      <c r="AH18">
        <f t="shared" si="14"/>
        <v>28590056.238580417</v>
      </c>
      <c r="AI18">
        <f t="shared" si="14"/>
        <v>29018907.082159113</v>
      </c>
      <c r="AJ18">
        <f t="shared" si="14"/>
        <v>29454190.688391499</v>
      </c>
      <c r="AK18">
        <f t="shared" si="14"/>
        <v>29896003.548717365</v>
      </c>
      <c r="AL18">
        <f t="shared" si="14"/>
        <v>30344443.601948123</v>
      </c>
      <c r="AM18">
        <f t="shared" si="14"/>
        <v>30799610.25597734</v>
      </c>
      <c r="AN18">
        <f t="shared" si="14"/>
        <v>31261604.409816999</v>
      </c>
      <c r="AO18">
        <f t="shared" si="14"/>
        <v>31730528.475964244</v>
      </c>
    </row>
    <row r="19" spans="1:41" x14ac:dyDescent="0.15">
      <c r="A19" t="s">
        <v>51</v>
      </c>
      <c r="B19" t="s">
        <v>52</v>
      </c>
      <c r="C19" t="s">
        <v>53</v>
      </c>
    </row>
    <row r="20" spans="1:41" ht="14" x14ac:dyDescent="0.15">
      <c r="A20" t="s">
        <v>54</v>
      </c>
      <c r="B20" t="s">
        <v>55</v>
      </c>
      <c r="C20" t="s">
        <v>56</v>
      </c>
      <c r="E20" s="4">
        <v>41428000</v>
      </c>
      <c r="F20" s="4">
        <v>42027000</v>
      </c>
      <c r="G20" s="4">
        <v>42199000</v>
      </c>
      <c r="H20" s="4">
        <v>37207000</v>
      </c>
      <c r="I20" s="5">
        <v>37735000</v>
      </c>
      <c r="J20" s="4">
        <v>38007000</v>
      </c>
      <c r="K20" s="4">
        <v>35935000</v>
      </c>
      <c r="L20">
        <f>(K20+M20)/2</f>
        <v>37839048.99931249</v>
      </c>
      <c r="M20">
        <f t="shared" ref="M20:AB24" si="16">$J20*1.015^(M$1-$J$1)</f>
        <v>39743097.998624988</v>
      </c>
      <c r="N20">
        <f t="shared" si="16"/>
        <v>40339244.468604356</v>
      </c>
      <c r="O20">
        <f t="shared" si="16"/>
        <v>40944333.135633416</v>
      </c>
      <c r="P20">
        <f t="shared" si="16"/>
        <v>41558498.132667907</v>
      </c>
      <c r="Q20">
        <f t="shared" si="16"/>
        <v>42181875.604657918</v>
      </c>
      <c r="R20">
        <f t="shared" si="16"/>
        <v>42814603.738727786</v>
      </c>
      <c r="S20">
        <f t="shared" si="16"/>
        <v>43456822.794808693</v>
      </c>
      <c r="T20">
        <f t="shared" si="16"/>
        <v>44108675.13673082</v>
      </c>
      <c r="U20">
        <f t="shared" si="16"/>
        <v>44770305.263781779</v>
      </c>
      <c r="V20">
        <f t="shared" ref="V20:AO22" si="17">$U20*1.015^(V$1-$U$1)</f>
        <v>45441859.842738502</v>
      </c>
      <c r="W20">
        <f t="shared" si="17"/>
        <v>46123487.740379572</v>
      </c>
      <c r="X20">
        <f t="shared" si="17"/>
        <v>46815340.056485258</v>
      </c>
      <c r="Y20">
        <f t="shared" si="17"/>
        <v>47517570.157332532</v>
      </c>
      <c r="Z20">
        <f t="shared" si="17"/>
        <v>48230333.709692515</v>
      </c>
      <c r="AA20">
        <f t="shared" si="17"/>
        <v>48953788.715337887</v>
      </c>
      <c r="AB20">
        <f t="shared" si="17"/>
        <v>49688095.546067953</v>
      </c>
      <c r="AC20">
        <f t="shared" si="17"/>
        <v>50433416.979258969</v>
      </c>
      <c r="AD20">
        <f t="shared" si="17"/>
        <v>51189918.233947843</v>
      </c>
      <c r="AE20">
        <f t="shared" si="17"/>
        <v>51957767.007457055</v>
      </c>
      <c r="AF20">
        <f t="shared" si="17"/>
        <v>52737133.512568906</v>
      </c>
      <c r="AG20">
        <f t="shared" si="17"/>
        <v>53528190.515257426</v>
      </c>
      <c r="AH20">
        <f t="shared" si="17"/>
        <v>54331113.372986287</v>
      </c>
      <c r="AI20">
        <f t="shared" si="17"/>
        <v>55146080.07358107</v>
      </c>
      <c r="AJ20">
        <f t="shared" si="17"/>
        <v>55973271.274684772</v>
      </c>
      <c r="AK20">
        <f t="shared" si="17"/>
        <v>56812870.343805037</v>
      </c>
      <c r="AL20">
        <f t="shared" si="17"/>
        <v>57665063.398962103</v>
      </c>
      <c r="AM20">
        <f t="shared" si="17"/>
        <v>58530039.349946536</v>
      </c>
      <c r="AN20">
        <f t="shared" si="17"/>
        <v>59407989.940195724</v>
      </c>
      <c r="AO20">
        <f t="shared" si="17"/>
        <v>60299109.789298646</v>
      </c>
    </row>
    <row r="21" spans="1:41" x14ac:dyDescent="0.15">
      <c r="A21" t="s">
        <v>57</v>
      </c>
      <c r="B21" t="s">
        <v>58</v>
      </c>
      <c r="C21" t="s">
        <v>59</v>
      </c>
      <c r="E21">
        <f t="shared" ref="E21:G21" si="18">F21</f>
        <v>8529969</v>
      </c>
      <c r="F21">
        <f t="shared" si="18"/>
        <v>8529969</v>
      </c>
      <c r="G21">
        <f t="shared" si="18"/>
        <v>8529969</v>
      </c>
      <c r="H21" s="4">
        <v>8529969</v>
      </c>
      <c r="I21" s="4">
        <v>9074135</v>
      </c>
      <c r="J21" s="4">
        <v>8793160</v>
      </c>
      <c r="K21">
        <f t="shared" ref="K21:T22" si="19">$J21*1.015^(K$1-$J$1)</f>
        <v>8925057.3999999985</v>
      </c>
      <c r="L21">
        <f t="shared" si="19"/>
        <v>9058933.2609999981</v>
      </c>
      <c r="M21">
        <f t="shared" si="16"/>
        <v>9194817.2599149961</v>
      </c>
      <c r="N21">
        <f t="shared" si="16"/>
        <v>9332739.51881372</v>
      </c>
      <c r="O21">
        <f t="shared" si="16"/>
        <v>9472730.6115959249</v>
      </c>
      <c r="P21">
        <f t="shared" si="16"/>
        <v>9614821.5707698613</v>
      </c>
      <c r="Q21">
        <f t="shared" si="16"/>
        <v>9759043.8943314087</v>
      </c>
      <c r="R21">
        <f t="shared" si="16"/>
        <v>9905429.5527463779</v>
      </c>
      <c r="S21">
        <f t="shared" si="16"/>
        <v>10054010.996037573</v>
      </c>
      <c r="T21">
        <f t="shared" si="16"/>
        <v>10204821.160978135</v>
      </c>
      <c r="U21">
        <f t="shared" si="16"/>
        <v>10357893.478392806</v>
      </c>
      <c r="V21">
        <f t="shared" si="17"/>
        <v>10513261.880568696</v>
      </c>
      <c r="W21">
        <f t="shared" si="17"/>
        <v>10670960.808777226</v>
      </c>
      <c r="X21">
        <f t="shared" si="17"/>
        <v>10831025.220908882</v>
      </c>
      <c r="Y21">
        <f t="shared" si="17"/>
        <v>10993490.599222515</v>
      </c>
      <c r="Z21">
        <f t="shared" si="17"/>
        <v>11158392.95821085</v>
      </c>
      <c r="AA21">
        <f t="shared" si="17"/>
        <v>11325768.852584012</v>
      </c>
      <c r="AB21">
        <f t="shared" si="17"/>
        <v>11495655.385372769</v>
      </c>
      <c r="AC21">
        <f t="shared" si="17"/>
        <v>11668090.216153361</v>
      </c>
      <c r="AD21">
        <f t="shared" si="17"/>
        <v>11843111.569395659</v>
      </c>
      <c r="AE21">
        <f t="shared" si="17"/>
        <v>12020758.242936593</v>
      </c>
      <c r="AF21">
        <f t="shared" si="17"/>
        <v>12201069.616580641</v>
      </c>
      <c r="AG21">
        <f t="shared" si="17"/>
        <v>12384085.660829347</v>
      </c>
      <c r="AH21">
        <f t="shared" si="17"/>
        <v>12569846.945741786</v>
      </c>
      <c r="AI21">
        <f t="shared" si="17"/>
        <v>12758394.64992791</v>
      </c>
      <c r="AJ21">
        <f t="shared" si="17"/>
        <v>12949770.569676828</v>
      </c>
      <c r="AK21">
        <f t="shared" si="17"/>
        <v>13144017.128221978</v>
      </c>
      <c r="AL21">
        <f t="shared" si="17"/>
        <v>13341177.385145305</v>
      </c>
      <c r="AM21">
        <f t="shared" si="17"/>
        <v>13541295.045922484</v>
      </c>
      <c r="AN21">
        <f t="shared" si="17"/>
        <v>13744414.471611321</v>
      </c>
      <c r="AO21">
        <f t="shared" si="17"/>
        <v>13950580.688685486</v>
      </c>
    </row>
    <row r="22" spans="1:41" x14ac:dyDescent="0.15">
      <c r="A22" t="s">
        <v>60</v>
      </c>
      <c r="B22" t="s">
        <v>61</v>
      </c>
      <c r="C22" t="s">
        <v>62</v>
      </c>
      <c r="E22">
        <f>F22</f>
        <v>2900000</v>
      </c>
      <c r="F22">
        <f>G22</f>
        <v>2900000</v>
      </c>
      <c r="G22">
        <f>H22</f>
        <v>2900000</v>
      </c>
      <c r="H22">
        <f>I22</f>
        <v>2900000</v>
      </c>
      <c r="I22">
        <f>J22</f>
        <v>2900000</v>
      </c>
      <c r="J22" s="4">
        <v>2900000</v>
      </c>
      <c r="K22" s="4">
        <v>1800000</v>
      </c>
      <c r="L22" s="4">
        <v>3300000</v>
      </c>
      <c r="M22">
        <f t="shared" si="19"/>
        <v>3032467.2874999987</v>
      </c>
      <c r="N22">
        <f t="shared" si="19"/>
        <v>3077954.2968124985</v>
      </c>
      <c r="O22">
        <f t="shared" si="19"/>
        <v>3124123.6112646856</v>
      </c>
      <c r="P22">
        <f t="shared" si="19"/>
        <v>3170985.4654336553</v>
      </c>
      <c r="Q22">
        <f t="shared" si="19"/>
        <v>3218550.2474151594</v>
      </c>
      <c r="R22">
        <f t="shared" si="19"/>
        <v>3266828.5011263867</v>
      </c>
      <c r="S22">
        <f t="shared" si="19"/>
        <v>3315830.928643282</v>
      </c>
      <c r="T22">
        <f t="shared" si="19"/>
        <v>3365568.392572931</v>
      </c>
      <c r="U22">
        <f t="shared" si="16"/>
        <v>3416051.9184615244</v>
      </c>
      <c r="V22">
        <f t="shared" si="17"/>
        <v>3467292.6972384471</v>
      </c>
      <c r="W22">
        <f t="shared" si="17"/>
        <v>3519302.0876970231</v>
      </c>
      <c r="X22">
        <f t="shared" si="17"/>
        <v>3572091.6190124778</v>
      </c>
      <c r="Y22">
        <f t="shared" si="17"/>
        <v>3625672.9932976644</v>
      </c>
      <c r="Z22">
        <f t="shared" si="17"/>
        <v>3680058.0881971293</v>
      </c>
      <c r="AA22">
        <f t="shared" si="17"/>
        <v>3735258.9595200852</v>
      </c>
      <c r="AB22">
        <f t="shared" si="17"/>
        <v>3791287.843912886</v>
      </c>
      <c r="AC22">
        <f t="shared" si="17"/>
        <v>3848157.1615715791</v>
      </c>
      <c r="AD22">
        <f t="shared" si="17"/>
        <v>3905879.5189951523</v>
      </c>
      <c r="AE22">
        <f t="shared" si="17"/>
        <v>3964467.7117800792</v>
      </c>
      <c r="AF22">
        <f t="shared" si="17"/>
        <v>4023934.7274567797</v>
      </c>
      <c r="AG22">
        <f t="shared" si="17"/>
        <v>4084293.7483686307</v>
      </c>
      <c r="AH22">
        <f t="shared" si="17"/>
        <v>4145558.1545941597</v>
      </c>
      <c r="AI22">
        <f t="shared" si="17"/>
        <v>4207741.5269130711</v>
      </c>
      <c r="AJ22">
        <f t="shared" si="17"/>
        <v>4270857.6498167664</v>
      </c>
      <c r="AK22">
        <f t="shared" si="17"/>
        <v>4334920.5145640178</v>
      </c>
      <c r="AL22">
        <f t="shared" si="17"/>
        <v>4399944.3222824773</v>
      </c>
      <c r="AM22">
        <f t="shared" si="17"/>
        <v>4465943.487116714</v>
      </c>
      <c r="AN22">
        <f t="shared" si="17"/>
        <v>4532932.6394234644</v>
      </c>
      <c r="AO22">
        <f t="shared" si="17"/>
        <v>4600926.6290148152</v>
      </c>
    </row>
    <row r="23" spans="1:41" x14ac:dyDescent="0.15">
      <c r="A23" t="s">
        <v>63</v>
      </c>
      <c r="B23" t="s">
        <v>64</v>
      </c>
      <c r="C23" t="s">
        <v>65</v>
      </c>
      <c r="E23">
        <f t="shared" ref="E23:H24" si="20">F23</f>
        <v>10953432.098765431</v>
      </c>
      <c r="F23">
        <f t="shared" si="20"/>
        <v>10953432.098765431</v>
      </c>
      <c r="G23">
        <f t="shared" si="20"/>
        <v>10953432.098765431</v>
      </c>
      <c r="H23">
        <f t="shared" si="20"/>
        <v>10953432.098765431</v>
      </c>
      <c r="I23" s="9">
        <f>'Steel CO2e S1'!I21/1.62</f>
        <v>10953432.098765431</v>
      </c>
      <c r="J23" s="9">
        <f>'Steel CO2e S1'!J21/1.62</f>
        <v>10297751.234567901</v>
      </c>
      <c r="K23" s="9">
        <f>'Steel CO2e S1'!K21/1.62</f>
        <v>9418470.9876543209</v>
      </c>
      <c r="L23">
        <f>(K23+M23)/2</f>
        <v>10093303.382385761</v>
      </c>
      <c r="M23">
        <f t="shared" si="16"/>
        <v>10768135.777117202</v>
      </c>
      <c r="N23">
        <f t="shared" si="16"/>
        <v>10929657.813773958</v>
      </c>
      <c r="O23">
        <f t="shared" si="16"/>
        <v>11093602.680980567</v>
      </c>
      <c r="P23">
        <f t="shared" si="16"/>
        <v>11260006.721195273</v>
      </c>
      <c r="Q23">
        <f t="shared" si="16"/>
        <v>11428906.822013201</v>
      </c>
      <c r="R23">
        <f t="shared" si="16"/>
        <v>11600340.424343398</v>
      </c>
      <c r="S23">
        <f t="shared" si="16"/>
        <v>11774345.530708548</v>
      </c>
      <c r="T23">
        <f t="shared" si="16"/>
        <v>11950960.713669173</v>
      </c>
      <c r="U23">
        <f t="shared" si="16"/>
        <v>12130225.124374211</v>
      </c>
      <c r="V23">
        <f t="shared" si="16"/>
        <v>12312178.501239821</v>
      </c>
      <c r="W23">
        <f t="shared" si="16"/>
        <v>12496861.178758416</v>
      </c>
      <c r="X23">
        <f t="shared" si="16"/>
        <v>12684314.09643979</v>
      </c>
      <c r="Y23">
        <f t="shared" si="16"/>
        <v>12874578.807886386</v>
      </c>
      <c r="Z23">
        <f t="shared" si="16"/>
        <v>13067697.490004679</v>
      </c>
      <c r="AA23">
        <f t="shared" si="16"/>
        <v>13263712.952354748</v>
      </c>
      <c r="AB23">
        <f t="shared" si="16"/>
        <v>13462668.646640068</v>
      </c>
      <c r="AC23">
        <f t="shared" ref="AC23:AO24" si="21">$J23*1.015^(AC$1-$J$1)</f>
        <v>13664608.676339667</v>
      </c>
      <c r="AD23">
        <f t="shared" si="21"/>
        <v>13869577.806484759</v>
      </c>
      <c r="AE23">
        <f t="shared" si="21"/>
        <v>14077621.473582029</v>
      </c>
      <c r="AF23">
        <f t="shared" si="21"/>
        <v>14288785.795685757</v>
      </c>
      <c r="AG23">
        <f t="shared" si="21"/>
        <v>14503117.582621042</v>
      </c>
      <c r="AH23">
        <f t="shared" si="21"/>
        <v>14720664.346360356</v>
      </c>
      <c r="AI23">
        <f t="shared" si="21"/>
        <v>14941474.31155576</v>
      </c>
      <c r="AJ23">
        <f t="shared" si="21"/>
        <v>15165596.426229093</v>
      </c>
      <c r="AK23">
        <f t="shared" si="21"/>
        <v>15393080.372622529</v>
      </c>
      <c r="AL23">
        <f t="shared" si="21"/>
        <v>15623976.578211863</v>
      </c>
      <c r="AM23">
        <f t="shared" si="21"/>
        <v>15858336.226885041</v>
      </c>
      <c r="AN23">
        <f t="shared" si="21"/>
        <v>16096211.270288311</v>
      </c>
      <c r="AO23">
        <f t="shared" si="21"/>
        <v>16337654.439342635</v>
      </c>
    </row>
    <row r="24" spans="1:41" x14ac:dyDescent="0.15">
      <c r="A24" t="s">
        <v>66</v>
      </c>
      <c r="B24" t="s">
        <v>67</v>
      </c>
      <c r="C24" t="s">
        <v>68</v>
      </c>
      <c r="E24">
        <f t="shared" si="20"/>
        <v>1472468.75</v>
      </c>
      <c r="F24">
        <f t="shared" si="20"/>
        <v>1472468.75</v>
      </c>
      <c r="G24">
        <f t="shared" si="20"/>
        <v>1472468.75</v>
      </c>
      <c r="H24">
        <f t="shared" si="20"/>
        <v>1472468.75</v>
      </c>
      <c r="I24" s="12">
        <f>('Steel CO2e S1'!I22+'Steel CO2e S2'!I22)/0.32</f>
        <v>1472468.75</v>
      </c>
      <c r="J24" s="12">
        <f>('Steel CO2e S1'!J22+'Steel CO2e S2'!J22)/0.32</f>
        <v>1346906.25</v>
      </c>
      <c r="K24" s="12">
        <f>('Steel CO2e S1'!K22+'Steel CO2e S2'!K22)/0.3</f>
        <v>1360433.3333333335</v>
      </c>
      <c r="L24">
        <f>(K24+M24)/2</f>
        <v>1384432.0360553383</v>
      </c>
      <c r="M24">
        <f t="shared" si="16"/>
        <v>1408430.7387773432</v>
      </c>
      <c r="N24">
        <f t="shared" si="16"/>
        <v>1429557.1998590031</v>
      </c>
      <c r="O24">
        <f t="shared" si="16"/>
        <v>1451000.557856888</v>
      </c>
      <c r="P24">
        <f t="shared" si="16"/>
        <v>1472765.5662247411</v>
      </c>
      <c r="Q24">
        <f t="shared" si="16"/>
        <v>1494857.049718112</v>
      </c>
      <c r="R24">
        <f t="shared" si="16"/>
        <v>1517279.9054638834</v>
      </c>
      <c r="S24">
        <f t="shared" si="16"/>
        <v>1540039.1040458416</v>
      </c>
      <c r="T24">
        <f t="shared" si="16"/>
        <v>1563139.6906065289</v>
      </c>
      <c r="U24">
        <f t="shared" si="16"/>
        <v>1586586.7859656268</v>
      </c>
      <c r="V24">
        <f t="shared" si="16"/>
        <v>1610385.5877551108</v>
      </c>
      <c r="W24">
        <f t="shared" si="16"/>
        <v>1634541.3715714375</v>
      </c>
      <c r="X24">
        <f t="shared" si="16"/>
        <v>1659059.4921450084</v>
      </c>
      <c r="Y24">
        <f t="shared" si="16"/>
        <v>1683945.3845271834</v>
      </c>
      <c r="Z24">
        <f t="shared" si="16"/>
        <v>1709204.5652950909</v>
      </c>
      <c r="AA24">
        <f t="shared" si="16"/>
        <v>1734842.6337745171</v>
      </c>
      <c r="AB24">
        <f t="shared" si="16"/>
        <v>1760865.2732811347</v>
      </c>
      <c r="AC24">
        <f t="shared" si="21"/>
        <v>1787278.2523803515</v>
      </c>
      <c r="AD24">
        <f t="shared" si="21"/>
        <v>1814087.4261660562</v>
      </c>
      <c r="AE24">
        <f t="shared" si="21"/>
        <v>1841298.7375585469</v>
      </c>
      <c r="AF24">
        <f t="shared" si="21"/>
        <v>1868918.2186219248</v>
      </c>
      <c r="AG24">
        <f t="shared" si="21"/>
        <v>1896951.9919012536</v>
      </c>
      <c r="AH24">
        <f t="shared" si="21"/>
        <v>1925406.2717797719</v>
      </c>
      <c r="AI24">
        <f t="shared" si="21"/>
        <v>1954287.3658564684</v>
      </c>
      <c r="AJ24">
        <f t="shared" si="21"/>
        <v>1983601.6763443153</v>
      </c>
      <c r="AK24">
        <f t="shared" si="21"/>
        <v>2013355.7014894797</v>
      </c>
      <c r="AL24">
        <f t="shared" si="21"/>
        <v>2043556.0370118213</v>
      </c>
      <c r="AM24">
        <f t="shared" si="21"/>
        <v>2074209.3775669988</v>
      </c>
      <c r="AN24">
        <f t="shared" si="21"/>
        <v>2105322.518230503</v>
      </c>
      <c r="AO24">
        <f t="shared" si="21"/>
        <v>2136902.3560039606</v>
      </c>
    </row>
    <row r="25" spans="1:41" x14ac:dyDescent="0.15">
      <c r="A25" t="s">
        <v>69</v>
      </c>
      <c r="B25" t="s">
        <v>70</v>
      </c>
      <c r="C25" t="s">
        <v>71</v>
      </c>
    </row>
    <row r="26" spans="1:41" x14ac:dyDescent="0.15">
      <c r="A26" t="s">
        <v>72</v>
      </c>
      <c r="B26" t="s">
        <v>73</v>
      </c>
      <c r="C26" t="s">
        <v>74</v>
      </c>
      <c r="E26">
        <v>14220000</v>
      </c>
      <c r="F26">
        <v>14220000</v>
      </c>
      <c r="G26">
        <v>14220000</v>
      </c>
      <c r="H26">
        <v>14440000</v>
      </c>
      <c r="I26">
        <v>15350000</v>
      </c>
      <c r="J26">
        <v>13890000</v>
      </c>
      <c r="K26">
        <v>11540000</v>
      </c>
      <c r="L26">
        <f>(K26+M26)/2</f>
        <v>13547990.508045182</v>
      </c>
      <c r="M26">
        <f t="shared" ref="M26:U26" si="22">$H26*1.015^(M$1-$H$1)</f>
        <v>15555981.016090365</v>
      </c>
      <c r="N26">
        <f t="shared" si="22"/>
        <v>15789320.731331717</v>
      </c>
      <c r="O26">
        <f t="shared" si="22"/>
        <v>16026160.54230169</v>
      </c>
      <c r="P26">
        <f t="shared" si="22"/>
        <v>16266552.950436214</v>
      </c>
      <c r="Q26">
        <f t="shared" si="22"/>
        <v>16510551.244692756</v>
      </c>
      <c r="R26">
        <f t="shared" si="22"/>
        <v>16758209.513363145</v>
      </c>
      <c r="S26">
        <f t="shared" si="22"/>
        <v>17009582.65606359</v>
      </c>
      <c r="T26">
        <f t="shared" si="22"/>
        <v>17264726.395904541</v>
      </c>
      <c r="U26">
        <f t="shared" si="22"/>
        <v>17523697.291843109</v>
      </c>
      <c r="V26">
        <f t="shared" ref="V26:AO26" si="23">$U26*1.015^(V$1-$U$1)</f>
        <v>17786552.751220755</v>
      </c>
      <c r="W26">
        <f t="shared" si="23"/>
        <v>18053351.042489063</v>
      </c>
      <c r="X26">
        <f t="shared" si="23"/>
        <v>18324151.308126397</v>
      </c>
      <c r="Y26">
        <f t="shared" si="23"/>
        <v>18599013.577748287</v>
      </c>
      <c r="Z26">
        <f t="shared" si="23"/>
        <v>18877998.781414513</v>
      </c>
      <c r="AA26">
        <f t="shared" si="23"/>
        <v>19161168.763135724</v>
      </c>
      <c r="AB26">
        <f t="shared" si="23"/>
        <v>19448586.294582758</v>
      </c>
      <c r="AC26">
        <f t="shared" si="23"/>
        <v>19740315.089001499</v>
      </c>
      <c r="AD26">
        <f t="shared" si="23"/>
        <v>20036419.815336518</v>
      </c>
      <c r="AE26">
        <f t="shared" si="23"/>
        <v>20336966.112566564</v>
      </c>
      <c r="AF26">
        <f t="shared" si="23"/>
        <v>20642020.604255058</v>
      </c>
      <c r="AG26">
        <f t="shared" si="23"/>
        <v>20951650.91331888</v>
      </c>
      <c r="AH26">
        <f t="shared" si="23"/>
        <v>21265925.677018661</v>
      </c>
      <c r="AI26">
        <f t="shared" si="23"/>
        <v>21584914.562173937</v>
      </c>
      <c r="AJ26">
        <f t="shared" si="23"/>
        <v>21908688.280606542</v>
      </c>
      <c r="AK26">
        <f t="shared" si="23"/>
        <v>22237318.60481564</v>
      </c>
      <c r="AL26">
        <f t="shared" si="23"/>
        <v>22570878.383887868</v>
      </c>
      <c r="AM26">
        <f t="shared" si="23"/>
        <v>22909441.559646185</v>
      </c>
      <c r="AN26">
        <f t="shared" si="23"/>
        <v>23253083.183040876</v>
      </c>
      <c r="AO26">
        <f t="shared" si="23"/>
        <v>23601879.430786483</v>
      </c>
    </row>
    <row r="27" spans="1:41" x14ac:dyDescent="0.15">
      <c r="A27" t="s">
        <v>75</v>
      </c>
      <c r="B27" t="s">
        <v>76</v>
      </c>
      <c r="C27" t="s">
        <v>77</v>
      </c>
    </row>
    <row r="28" spans="1:41" x14ac:dyDescent="0.15">
      <c r="A28" t="s">
        <v>78</v>
      </c>
      <c r="B28" t="s">
        <v>79</v>
      </c>
      <c r="C28" t="s">
        <v>80</v>
      </c>
      <c r="E28">
        <v>3282000</v>
      </c>
      <c r="F28">
        <v>3510000</v>
      </c>
      <c r="G28">
        <v>3523000</v>
      </c>
      <c r="H28">
        <v>4070000</v>
      </c>
      <c r="I28">
        <v>3820000</v>
      </c>
      <c r="J28">
        <v>3715000</v>
      </c>
      <c r="K28">
        <v>3830000</v>
      </c>
      <c r="L28">
        <v>4067000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6"/>
  <sheetViews>
    <sheetView tabSelected="1" zoomScale="200" zoomScaleNormal="200" workbookViewId="0">
      <pane xSplit="1" ySplit="1" topLeftCell="AA2" activePane="bottomRight" state="frozen"/>
      <selection pane="topRight" activeCell="B1" sqref="B1"/>
      <selection pane="bottomLeft" activeCell="A3" sqref="A3"/>
      <selection pane="bottomRight" activeCell="AN2" sqref="AN2"/>
    </sheetView>
  </sheetViews>
  <sheetFormatPr baseColWidth="10" defaultColWidth="11.5" defaultRowHeight="13" x14ac:dyDescent="0.15"/>
  <cols>
    <col min="1" max="1" width="34.33203125" customWidth="1"/>
    <col min="2" max="2" width="23.5" customWidth="1"/>
  </cols>
  <sheetData>
    <row r="1" spans="1:41" x14ac:dyDescent="0.15">
      <c r="A1" t="s">
        <v>0</v>
      </c>
      <c r="B1" t="s">
        <v>1</v>
      </c>
      <c r="C1" t="s">
        <v>2</v>
      </c>
      <c r="E1">
        <v>2014</v>
      </c>
      <c r="F1">
        <f t="shared" ref="F1:AO1" si="0">E1+1</f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  <c r="Z1">
        <f t="shared" si="0"/>
        <v>2035</v>
      </c>
      <c r="AA1">
        <f t="shared" si="0"/>
        <v>2036</v>
      </c>
      <c r="AB1">
        <f t="shared" si="0"/>
        <v>2037</v>
      </c>
      <c r="AC1">
        <f t="shared" si="0"/>
        <v>2038</v>
      </c>
      <c r="AD1">
        <f t="shared" si="0"/>
        <v>2039</v>
      </c>
      <c r="AE1">
        <f t="shared" si="0"/>
        <v>2040</v>
      </c>
      <c r="AF1">
        <f t="shared" si="0"/>
        <v>2041</v>
      </c>
      <c r="AG1">
        <f t="shared" si="0"/>
        <v>2042</v>
      </c>
      <c r="AH1">
        <f t="shared" si="0"/>
        <v>2043</v>
      </c>
      <c r="AI1">
        <f t="shared" si="0"/>
        <v>2044</v>
      </c>
      <c r="AJ1">
        <f t="shared" si="0"/>
        <v>2045</v>
      </c>
      <c r="AK1">
        <f t="shared" si="0"/>
        <v>2046</v>
      </c>
      <c r="AL1">
        <f t="shared" si="0"/>
        <v>2047</v>
      </c>
      <c r="AM1">
        <f t="shared" si="0"/>
        <v>2048</v>
      </c>
      <c r="AN1">
        <f t="shared" si="0"/>
        <v>2049</v>
      </c>
      <c r="AO1">
        <f t="shared" si="0"/>
        <v>2050</v>
      </c>
    </row>
    <row r="2" spans="1:41" x14ac:dyDescent="0.15">
      <c r="A2" t="s">
        <v>9</v>
      </c>
      <c r="B2" t="s">
        <v>10</v>
      </c>
      <c r="C2" t="s">
        <v>11</v>
      </c>
      <c r="E2">
        <f>'Steel EI_per_Fe_Ton'!E2*'Steel Fe_tons'!E4</f>
        <v>374910.25400000002</v>
      </c>
      <c r="F2">
        <f>'Steel EI_per_Fe_Ton'!F2*'Steel Fe_tons'!F4</f>
        <v>374910.25400000002</v>
      </c>
      <c r="G2">
        <f>'Steel EI_per_Fe_Ton'!G2*'Steel Fe_tons'!G4</f>
        <v>374910.25400000002</v>
      </c>
      <c r="H2">
        <f>'Steel EI_per_Fe_Ton'!H2*'Steel Fe_tons'!H4</f>
        <v>374910.25400000002</v>
      </c>
      <c r="I2">
        <v>298055</v>
      </c>
      <c r="J2">
        <v>299000</v>
      </c>
      <c r="K2">
        <v>236000</v>
      </c>
      <c r="L2">
        <v>288000</v>
      </c>
      <c r="M2">
        <f>'Steel EI_per_Fe_Ton'!M2*'Steel Fe_tons'!M4</f>
        <v>265664.70527482266</v>
      </c>
      <c r="N2">
        <f>'Steel EI_per_Fe_Ton'!N2*'Steel Fe_tons'!N4</f>
        <v>264285.93908288999</v>
      </c>
      <c r="O2">
        <f>'Steel EI_per_Fe_Ton'!O2*'Steel Fe_tons'!O4</f>
        <v>262806.03534651251</v>
      </c>
      <c r="P2">
        <f>'Steel EI_per_Fe_Ton'!P2*'Steel Fe_tons'!P4</f>
        <v>261222.27016175006</v>
      </c>
      <c r="Q2">
        <f>'Steel EI_per_Fe_Ton'!Q2*'Steel Fe_tons'!Q4</f>
        <v>259531.86066349174</v>
      </c>
      <c r="R2">
        <f>'Steel EI_per_Fe_Ton'!R2*'Steel Fe_tons'!R4</f>
        <v>257731.96386949936</v>
      </c>
      <c r="S2">
        <f>'Steel EI_per_Fe_Ton'!S2*'Steel Fe_tons'!S4</f>
        <v>255819.67550303787</v>
      </c>
      <c r="T2">
        <f>'Steel EI_per_Fe_Ton'!T2*'Steel Fe_tons'!T4</f>
        <v>253792.02879371188</v>
      </c>
      <c r="U2">
        <f>'Steel EI_per_Fe_Ton'!U2*'Steel Fe_tons'!U4</f>
        <v>251645.993256118</v>
      </c>
      <c r="V2">
        <f>'Steel EI_per_Fe_Ton'!V2*'Steel Fe_tons'!V4</f>
        <v>249378.47344591765</v>
      </c>
      <c r="W2">
        <f>'Steel EI_per_Fe_Ton'!W2*'Steel Fe_tons'!W4</f>
        <v>246986.30769292868</v>
      </c>
      <c r="X2">
        <f>'Steel EI_per_Fe_Ton'!X2*'Steel Fe_tons'!X4</f>
        <v>244466.26681082472</v>
      </c>
      <c r="Y2">
        <f>'Steel EI_per_Fe_Ton'!Y2*'Steel Fe_tons'!Y4</f>
        <v>241815.05278302674</v>
      </c>
      <c r="Z2">
        <f>'Steel EI_per_Fe_Ton'!Z2*'Steel Fe_tons'!Z4</f>
        <v>239029.29742436236</v>
      </c>
      <c r="AA2">
        <f>'Steel EI_per_Fe_Ton'!AA2*'Steel Fe_tons'!AA4</f>
        <v>226440.42109334591</v>
      </c>
      <c r="AB2">
        <f>'Steel EI_per_Fe_Ton'!AB2*'Steel Fe_tons'!AB4</f>
        <v>213420.09688047849</v>
      </c>
      <c r="AC2">
        <f>'Steel EI_per_Fe_Ton'!AC2*'Steel Fe_tons'!AC4</f>
        <v>199958.21384647908</v>
      </c>
      <c r="AD2">
        <f>'Steel EI_per_Fe_Ton'!AD2*'Steel Fe_tons'!AD4</f>
        <v>186044.45479966156</v>
      </c>
      <c r="AE2">
        <f>'Steel EI_per_Fe_Ton'!AE2*'Steel Fe_tons'!AE4</f>
        <v>171668.29238332403</v>
      </c>
      <c r="AF2">
        <f>'Steel EI_per_Fe_Ton'!AF2*'Steel Fe_tons'!AF4</f>
        <v>156818.98509216649</v>
      </c>
      <c r="AG2">
        <f>'Steel EI_per_Fe_Ton'!AG2*'Steel Fe_tons'!AG4</f>
        <v>141485.57321648794</v>
      </c>
      <c r="AH2">
        <f>'Steel EI_per_Fe_Ton'!AH2*'Steel Fe_tons'!AH4</f>
        <v>125656.87471289333</v>
      </c>
      <c r="AI2">
        <f>'Steel EI_per_Fe_Ton'!AI2*'Steel Fe_tons'!AI4</f>
        <v>109321.48100021719</v>
      </c>
      <c r="AJ2">
        <f>'Steel EI_per_Fe_Ton'!AJ2*'Steel Fe_tons'!AJ4</f>
        <v>92467.752679350378</v>
      </c>
      <c r="AK2">
        <f>'Steel EI_per_Fe_Ton'!AK2*'Steel Fe_tons'!AK4</f>
        <v>75083.815175632495</v>
      </c>
      <c r="AL2">
        <f>'Steel EI_per_Fe_Ton'!AL2*'Steel Fe_tons'!AL4</f>
        <v>57157.554302450233</v>
      </c>
      <c r="AM2">
        <f>'Steel EI_per_Fe_Ton'!AM2*'Steel Fe_tons'!AM4</f>
        <v>38676.611744657981</v>
      </c>
      <c r="AN2">
        <f>'Steel EI_per_Fe_Ton'!AN2*'Steel Fe_tons'!AN4</f>
        <v>19628.380460413926</v>
      </c>
      <c r="AO2">
        <f>'Steel EI_per_Fe_Ton'!AO2*'Steel Fe_tons'!AO4</f>
        <v>0</v>
      </c>
    </row>
    <row r="3" spans="1:41" x14ac:dyDescent="0.15">
      <c r="A3" s="2" t="s">
        <v>83</v>
      </c>
      <c r="B3" s="2" t="s">
        <v>81</v>
      </c>
      <c r="C3" s="2" t="s">
        <v>82</v>
      </c>
      <c r="E3" s="9">
        <v>35098923.070759997</v>
      </c>
      <c r="F3" s="9">
        <v>32771887.775800001</v>
      </c>
      <c r="G3" s="9">
        <v>33209464.625</v>
      </c>
      <c r="H3" s="9">
        <v>32357763.7366</v>
      </c>
      <c r="I3" s="9">
        <v>31034981.663759999</v>
      </c>
      <c r="J3" s="9">
        <v>30349904.449799899</v>
      </c>
      <c r="K3" s="9">
        <f>J3*27/32</f>
        <v>25607731.879518665</v>
      </c>
      <c r="L3">
        <f t="shared" ref="L3:T3" si="1">($K3-$U3)*($U$1-L$1)/($U$1-$K$1)+$U3</f>
        <v>25473790.971811797</v>
      </c>
      <c r="M3">
        <f t="shared" si="1"/>
        <v>25339850.064104933</v>
      </c>
      <c r="N3">
        <f t="shared" si="1"/>
        <v>25205909.156398065</v>
      </c>
      <c r="O3">
        <f t="shared" si="1"/>
        <v>25071968.248691201</v>
      </c>
      <c r="P3">
        <f t="shared" si="1"/>
        <v>24938027.340984333</v>
      </c>
      <c r="Q3">
        <f t="shared" si="1"/>
        <v>24804086.433277465</v>
      </c>
      <c r="R3">
        <f t="shared" si="1"/>
        <v>24670145.525570601</v>
      </c>
      <c r="S3">
        <f t="shared" si="1"/>
        <v>24536204.617863733</v>
      </c>
      <c r="T3">
        <f t="shared" si="1"/>
        <v>24402263.710156869</v>
      </c>
      <c r="U3" s="4">
        <f>H3*0.75</f>
        <v>24268322.802450001</v>
      </c>
      <c r="V3">
        <f t="shared" ref="V3:AN3" si="2">$U3*($AO$1-V$1)/($AO$1-$U$1)</f>
        <v>23054906.662327502</v>
      </c>
      <c r="W3">
        <f t="shared" si="2"/>
        <v>21841490.522205003</v>
      </c>
      <c r="X3">
        <f t="shared" si="2"/>
        <v>20628074.3820825</v>
      </c>
      <c r="Y3">
        <f t="shared" si="2"/>
        <v>19414658.24196</v>
      </c>
      <c r="Z3">
        <f t="shared" si="2"/>
        <v>18201242.101837501</v>
      </c>
      <c r="AA3">
        <f t="shared" si="2"/>
        <v>16987825.961715002</v>
      </c>
      <c r="AB3">
        <f t="shared" si="2"/>
        <v>15774409.8215925</v>
      </c>
      <c r="AC3">
        <f t="shared" si="2"/>
        <v>14560993.681470001</v>
      </c>
      <c r="AD3">
        <f t="shared" si="2"/>
        <v>13347577.5413475</v>
      </c>
      <c r="AE3">
        <f t="shared" si="2"/>
        <v>12134161.401225001</v>
      </c>
      <c r="AF3">
        <f t="shared" si="2"/>
        <v>10920745.261102501</v>
      </c>
      <c r="AG3">
        <f t="shared" si="2"/>
        <v>9707329.1209800001</v>
      </c>
      <c r="AH3">
        <f t="shared" si="2"/>
        <v>8493912.9808575008</v>
      </c>
      <c r="AI3">
        <f t="shared" si="2"/>
        <v>7280496.8407350006</v>
      </c>
      <c r="AJ3">
        <f t="shared" si="2"/>
        <v>6067080.7006125003</v>
      </c>
      <c r="AK3">
        <f t="shared" si="2"/>
        <v>4853664.5604900001</v>
      </c>
      <c r="AL3">
        <f t="shared" si="2"/>
        <v>3640248.4203675003</v>
      </c>
      <c r="AM3">
        <f t="shared" si="2"/>
        <v>2426832.280245</v>
      </c>
      <c r="AN3">
        <f t="shared" si="2"/>
        <v>1213416.1401225</v>
      </c>
      <c r="AO3">
        <v>0</v>
      </c>
    </row>
    <row r="4" spans="1:41" x14ac:dyDescent="0.15">
      <c r="A4" t="s">
        <v>12</v>
      </c>
      <c r="B4" t="s">
        <v>13</v>
      </c>
      <c r="C4" t="s">
        <v>14</v>
      </c>
      <c r="E4">
        <f>F4</f>
        <v>1048006</v>
      </c>
      <c r="F4">
        <f>G4</f>
        <v>1048006</v>
      </c>
      <c r="G4">
        <f>H4</f>
        <v>1048006</v>
      </c>
      <c r="H4">
        <f>I4</f>
        <v>1048006</v>
      </c>
      <c r="I4">
        <f>J4</f>
        <v>1048006</v>
      </c>
      <c r="J4" s="4">
        <v>1048006</v>
      </c>
      <c r="K4" s="4">
        <v>1106156</v>
      </c>
      <c r="L4" s="4">
        <v>1117753</v>
      </c>
      <c r="M4">
        <f>($L4-$U4)*($U$1-M$1)/($U$1-$L$1)+$U4</f>
        <v>1091883.2</v>
      </c>
      <c r="N4">
        <f t="shared" ref="N4:T4" si="3">($L4-$U4)*($U$1-N$1)/($U$1-$L$1)+$U4</f>
        <v>1066013.3999999999</v>
      </c>
      <c r="O4">
        <f t="shared" si="3"/>
        <v>1040143.6</v>
      </c>
      <c r="P4">
        <f t="shared" si="3"/>
        <v>1014273.8</v>
      </c>
      <c r="Q4">
        <f t="shared" si="3"/>
        <v>988404</v>
      </c>
      <c r="R4">
        <f t="shared" si="3"/>
        <v>962534.20000000007</v>
      </c>
      <c r="S4">
        <f t="shared" si="3"/>
        <v>936664.4</v>
      </c>
      <c r="T4">
        <f t="shared" si="3"/>
        <v>910794.60000000009</v>
      </c>
      <c r="U4" s="4">
        <f>K4*0.8</f>
        <v>884924.8</v>
      </c>
      <c r="V4">
        <f t="shared" ref="V4:AN4" si="4">$U4*($AO$1-V$1)/($AO$1-$U$1)</f>
        <v>840678.55999999994</v>
      </c>
      <c r="W4">
        <f t="shared" si="4"/>
        <v>796432.32000000007</v>
      </c>
      <c r="X4">
        <f t="shared" si="4"/>
        <v>752186.08000000007</v>
      </c>
      <c r="Y4">
        <f t="shared" si="4"/>
        <v>707939.84000000008</v>
      </c>
      <c r="Z4">
        <f t="shared" si="4"/>
        <v>663693.6</v>
      </c>
      <c r="AA4">
        <f t="shared" si="4"/>
        <v>619447.3600000001</v>
      </c>
      <c r="AB4">
        <f t="shared" si="4"/>
        <v>575201.12</v>
      </c>
      <c r="AC4">
        <f t="shared" si="4"/>
        <v>530954.88000000012</v>
      </c>
      <c r="AD4">
        <f t="shared" si="4"/>
        <v>486708.64</v>
      </c>
      <c r="AE4">
        <f t="shared" si="4"/>
        <v>442462.4</v>
      </c>
      <c r="AF4">
        <f t="shared" si="4"/>
        <v>398216.16000000003</v>
      </c>
      <c r="AG4">
        <f t="shared" si="4"/>
        <v>353969.92000000004</v>
      </c>
      <c r="AH4">
        <f t="shared" si="4"/>
        <v>309723.68000000005</v>
      </c>
      <c r="AI4">
        <f t="shared" si="4"/>
        <v>265477.44000000006</v>
      </c>
      <c r="AJ4">
        <f t="shared" si="4"/>
        <v>221231.2</v>
      </c>
      <c r="AK4">
        <f t="shared" si="4"/>
        <v>176984.96000000002</v>
      </c>
      <c r="AL4">
        <f t="shared" si="4"/>
        <v>132738.72000000003</v>
      </c>
      <c r="AM4">
        <f t="shared" si="4"/>
        <v>88492.48000000001</v>
      </c>
      <c r="AN4">
        <f t="shared" si="4"/>
        <v>44246.240000000005</v>
      </c>
      <c r="AO4">
        <f>'Steel EI_per_Fe_Ton'!AO4*'Steel Fe_tons'!AO6</f>
        <v>0</v>
      </c>
    </row>
    <row r="5" spans="1:41" x14ac:dyDescent="0.15">
      <c r="A5" t="s">
        <v>15</v>
      </c>
      <c r="B5" t="s">
        <v>16</v>
      </c>
      <c r="C5" t="s">
        <v>17</v>
      </c>
    </row>
    <row r="6" spans="1:41" x14ac:dyDescent="0.15">
      <c r="A6" t="s">
        <v>18</v>
      </c>
      <c r="B6" t="s">
        <v>19</v>
      </c>
      <c r="C6" t="s">
        <v>20</v>
      </c>
    </row>
    <row r="7" spans="1:41" x14ac:dyDescent="0.15">
      <c r="A7" t="s">
        <v>21</v>
      </c>
      <c r="B7" t="s">
        <v>22</v>
      </c>
      <c r="C7" t="s">
        <v>23</v>
      </c>
      <c r="E7">
        <f>'Steel EI_per_Fe_Ton'!E7*'Steel Fe_tons'!E9*0.75</f>
        <v>12075000</v>
      </c>
      <c r="F7">
        <f>'Steel EI_per_Fe_Ton'!F7*'Steel Fe_tons'!F9*0.75</f>
        <v>12075000</v>
      </c>
      <c r="G7">
        <f>'Steel EI_per_Fe_Ton'!G7*'Steel Fe_tons'!G9*0.75</f>
        <v>12075000</v>
      </c>
      <c r="H7">
        <f>'Steel EI_per_Fe_Ton'!H7*'Steel Fe_tons'!H9*0.75</f>
        <v>12075000</v>
      </c>
      <c r="I7">
        <f>'Steel EI_per_Fe_Ton'!I7*'Steel Fe_tons'!I9*0.75</f>
        <v>10707412.125</v>
      </c>
      <c r="J7" s="6">
        <v>9056519</v>
      </c>
      <c r="K7" s="6">
        <v>9198407</v>
      </c>
      <c r="L7">
        <f t="shared" ref="L7:T7" si="5">($K7-$U7)*($U$1-L$1)/($U$1-$K$1)+$U7</f>
        <v>9014438.8599999994</v>
      </c>
      <c r="M7">
        <f t="shared" si="5"/>
        <v>8830470.7200000007</v>
      </c>
      <c r="N7">
        <f t="shared" si="5"/>
        <v>8646502.5800000001</v>
      </c>
      <c r="O7">
        <f t="shared" si="5"/>
        <v>8462534.4399999995</v>
      </c>
      <c r="P7">
        <f t="shared" si="5"/>
        <v>8278566.2999999998</v>
      </c>
      <c r="Q7">
        <f t="shared" si="5"/>
        <v>8094598.1600000001</v>
      </c>
      <c r="R7">
        <f t="shared" si="5"/>
        <v>7910630.0200000005</v>
      </c>
      <c r="S7">
        <f t="shared" si="5"/>
        <v>7726661.8800000008</v>
      </c>
      <c r="T7">
        <f t="shared" si="5"/>
        <v>7542693.7400000002</v>
      </c>
      <c r="U7" s="4">
        <f>K7*0.8</f>
        <v>7358725.6000000006</v>
      </c>
      <c r="V7">
        <f t="shared" ref="V7:AN7" si="6">$U7*($AO$1-V$1)/($AO$1-$U$1)</f>
        <v>6990789.3200000003</v>
      </c>
      <c r="W7">
        <f t="shared" si="6"/>
        <v>6622853.040000001</v>
      </c>
      <c r="X7">
        <f t="shared" si="6"/>
        <v>6254916.7599999998</v>
      </c>
      <c r="Y7">
        <f t="shared" si="6"/>
        <v>5886980.4800000004</v>
      </c>
      <c r="Z7">
        <f t="shared" si="6"/>
        <v>5519044.2000000011</v>
      </c>
      <c r="AA7">
        <f t="shared" si="6"/>
        <v>5151107.92</v>
      </c>
      <c r="AB7">
        <f t="shared" si="6"/>
        <v>4783171.6400000006</v>
      </c>
      <c r="AC7">
        <f t="shared" si="6"/>
        <v>4415235.3600000003</v>
      </c>
      <c r="AD7">
        <f t="shared" si="6"/>
        <v>4047299.0800000005</v>
      </c>
      <c r="AE7">
        <f t="shared" si="6"/>
        <v>3679362.8</v>
      </c>
      <c r="AF7">
        <f t="shared" si="6"/>
        <v>3311426.5200000005</v>
      </c>
      <c r="AG7">
        <f t="shared" si="6"/>
        <v>2943490.24</v>
      </c>
      <c r="AH7">
        <f t="shared" si="6"/>
        <v>2575553.96</v>
      </c>
      <c r="AI7">
        <f t="shared" si="6"/>
        <v>2207617.6800000002</v>
      </c>
      <c r="AJ7">
        <f t="shared" si="6"/>
        <v>1839681.4</v>
      </c>
      <c r="AK7">
        <f t="shared" si="6"/>
        <v>1471745.12</v>
      </c>
      <c r="AL7">
        <f t="shared" si="6"/>
        <v>1103808.8400000001</v>
      </c>
      <c r="AM7">
        <f t="shared" si="6"/>
        <v>735872.56</v>
      </c>
      <c r="AN7">
        <f t="shared" si="6"/>
        <v>367936.28</v>
      </c>
      <c r="AO7">
        <f>'Steel EI_per_Fe_Ton'!AO7*'Steel Fe_tons'!AO9</f>
        <v>0</v>
      </c>
    </row>
    <row r="8" spans="1:41" x14ac:dyDescent="0.15">
      <c r="A8" t="s">
        <v>24</v>
      </c>
      <c r="B8" t="s">
        <v>25</v>
      </c>
      <c r="C8" t="s">
        <v>26</v>
      </c>
    </row>
    <row r="9" spans="1:41" x14ac:dyDescent="0.15">
      <c r="A9" t="s">
        <v>27</v>
      </c>
      <c r="B9" t="s">
        <v>28</v>
      </c>
      <c r="C9" t="s">
        <v>29</v>
      </c>
    </row>
    <row r="10" spans="1:41" x14ac:dyDescent="0.15">
      <c r="A10" t="s">
        <v>30</v>
      </c>
      <c r="B10" t="s">
        <v>31</v>
      </c>
      <c r="C10" t="s">
        <v>32</v>
      </c>
    </row>
    <row r="11" spans="1:41" x14ac:dyDescent="0.15">
      <c r="A11" t="s">
        <v>33</v>
      </c>
      <c r="B11" t="s">
        <v>34</v>
      </c>
      <c r="C11" t="s">
        <v>35</v>
      </c>
    </row>
    <row r="12" spans="1:41" x14ac:dyDescent="0.15">
      <c r="A12" t="s">
        <v>36</v>
      </c>
      <c r="B12" t="s">
        <v>37</v>
      </c>
      <c r="C12" t="s">
        <v>38</v>
      </c>
    </row>
    <row r="13" spans="1:41" x14ac:dyDescent="0.15">
      <c r="A13" t="s">
        <v>39</v>
      </c>
      <c r="B13" t="s">
        <v>40</v>
      </c>
      <c r="C13" t="s">
        <v>41</v>
      </c>
    </row>
    <row r="14" spans="1:41" x14ac:dyDescent="0.15">
      <c r="A14" t="s">
        <v>42</v>
      </c>
      <c r="B14" t="s">
        <v>43</v>
      </c>
      <c r="C14" t="s">
        <v>44</v>
      </c>
    </row>
    <row r="15" spans="1:41" x14ac:dyDescent="0.15">
      <c r="A15" t="s">
        <v>45</v>
      </c>
      <c r="B15" t="s">
        <v>46</v>
      </c>
      <c r="C15" t="s">
        <v>47</v>
      </c>
      <c r="E15" s="3">
        <f>F15</f>
        <v>80501000</v>
      </c>
      <c r="F15" s="3">
        <f>G15</f>
        <v>80501000</v>
      </c>
      <c r="G15" s="3">
        <f>H15</f>
        <v>80501000</v>
      </c>
      <c r="H15" s="6">
        <v>80501000</v>
      </c>
      <c r="I15" s="6">
        <v>81099000</v>
      </c>
      <c r="J15" s="6">
        <v>78384000</v>
      </c>
      <c r="K15" s="6">
        <v>62860000</v>
      </c>
      <c r="L15">
        <f>($K15-$U15)*($U$1-L$1)/($U$1-$K$1)+$U15</f>
        <v>62209070</v>
      </c>
      <c r="M15">
        <f t="shared" ref="M15:T18" si="7">($K15-$U15)*($U$1-M$1)/($U$1-$K$1)+$U15</f>
        <v>61558140</v>
      </c>
      <c r="N15">
        <f t="shared" si="7"/>
        <v>60907210</v>
      </c>
      <c r="O15">
        <f t="shared" si="7"/>
        <v>60256280</v>
      </c>
      <c r="P15">
        <f t="shared" si="7"/>
        <v>59605350</v>
      </c>
      <c r="Q15">
        <f t="shared" si="7"/>
        <v>58954420</v>
      </c>
      <c r="R15">
        <f t="shared" si="7"/>
        <v>58303490</v>
      </c>
      <c r="S15">
        <f t="shared" si="7"/>
        <v>57652560</v>
      </c>
      <c r="T15">
        <f t="shared" si="7"/>
        <v>57001630</v>
      </c>
      <c r="U15" s="4">
        <f>H15*0.7</f>
        <v>56350700</v>
      </c>
      <c r="V15">
        <f t="shared" ref="V15:AN16" si="8">$U15*($AO$1-V$1)/($AO$1-$U$1)</f>
        <v>53533165</v>
      </c>
      <c r="W15">
        <f t="shared" si="8"/>
        <v>50715630</v>
      </c>
      <c r="X15">
        <f t="shared" si="8"/>
        <v>47898095</v>
      </c>
      <c r="Y15">
        <f t="shared" si="8"/>
        <v>45080560</v>
      </c>
      <c r="Z15">
        <f t="shared" si="8"/>
        <v>42263025</v>
      </c>
      <c r="AA15">
        <f t="shared" si="8"/>
        <v>39445490</v>
      </c>
      <c r="AB15">
        <f t="shared" si="8"/>
        <v>36627955</v>
      </c>
      <c r="AC15">
        <f t="shared" si="8"/>
        <v>33810420</v>
      </c>
      <c r="AD15">
        <f t="shared" si="8"/>
        <v>30992885</v>
      </c>
      <c r="AE15">
        <f t="shared" si="8"/>
        <v>28175350</v>
      </c>
      <c r="AF15">
        <f t="shared" si="8"/>
        <v>25357815</v>
      </c>
      <c r="AG15">
        <f t="shared" si="8"/>
        <v>22540280</v>
      </c>
      <c r="AH15">
        <f t="shared" si="8"/>
        <v>19722745</v>
      </c>
      <c r="AI15">
        <f t="shared" si="8"/>
        <v>16905210</v>
      </c>
      <c r="AJ15">
        <f t="shared" si="8"/>
        <v>14087675</v>
      </c>
      <c r="AK15">
        <f t="shared" si="8"/>
        <v>11270140</v>
      </c>
      <c r="AL15">
        <f t="shared" si="8"/>
        <v>8452605</v>
      </c>
      <c r="AM15">
        <f t="shared" si="8"/>
        <v>5635070</v>
      </c>
      <c r="AN15">
        <f t="shared" si="8"/>
        <v>2817535</v>
      </c>
      <c r="AO15">
        <f>'Steel EI_per_Fe_Ton'!AO15*'Steel Fe_tons'!AO17</f>
        <v>0</v>
      </c>
    </row>
    <row r="16" spans="1:41" x14ac:dyDescent="0.15">
      <c r="A16" t="s">
        <v>48</v>
      </c>
      <c r="B16" t="s">
        <v>49</v>
      </c>
      <c r="C16" t="s">
        <v>50</v>
      </c>
      <c r="E16">
        <f t="shared" ref="E16:H16" si="9">F16</f>
        <v>4800000</v>
      </c>
      <c r="F16">
        <f t="shared" si="9"/>
        <v>4800000</v>
      </c>
      <c r="G16">
        <f t="shared" si="9"/>
        <v>4800000</v>
      </c>
      <c r="H16">
        <f t="shared" si="9"/>
        <v>4800000</v>
      </c>
      <c r="I16" s="4">
        <v>4800000</v>
      </c>
      <c r="J16" s="4">
        <v>4400000</v>
      </c>
      <c r="K16" s="4">
        <v>4700000</v>
      </c>
      <c r="L16">
        <f>($K16-$U16)*($U$1-L$1)/($U$1-$K$1)+$U16</f>
        <v>4542000</v>
      </c>
      <c r="M16">
        <f t="shared" si="7"/>
        <v>4384000</v>
      </c>
      <c r="N16">
        <f t="shared" si="7"/>
        <v>4226000</v>
      </c>
      <c r="O16">
        <f t="shared" si="7"/>
        <v>4068000</v>
      </c>
      <c r="P16">
        <f t="shared" si="7"/>
        <v>3910000</v>
      </c>
      <c r="Q16">
        <f t="shared" si="7"/>
        <v>3752000</v>
      </c>
      <c r="R16">
        <f t="shared" si="7"/>
        <v>3594000</v>
      </c>
      <c r="S16">
        <f t="shared" si="7"/>
        <v>3436000</v>
      </c>
      <c r="T16">
        <f t="shared" si="7"/>
        <v>3278000</v>
      </c>
      <c r="U16" s="4">
        <f>H16*0.65</f>
        <v>3120000</v>
      </c>
      <c r="V16">
        <f t="shared" si="8"/>
        <v>2964000</v>
      </c>
      <c r="W16">
        <f t="shared" si="8"/>
        <v>2808000</v>
      </c>
      <c r="X16">
        <f t="shared" si="8"/>
        <v>2652000</v>
      </c>
      <c r="Y16">
        <f t="shared" si="8"/>
        <v>2496000</v>
      </c>
      <c r="Z16">
        <f t="shared" si="8"/>
        <v>2340000</v>
      </c>
      <c r="AA16">
        <f t="shared" si="8"/>
        <v>2184000</v>
      </c>
      <c r="AB16">
        <f t="shared" si="8"/>
        <v>2028000</v>
      </c>
      <c r="AC16">
        <f t="shared" si="8"/>
        <v>1872000</v>
      </c>
      <c r="AD16">
        <f t="shared" si="8"/>
        <v>1716000</v>
      </c>
      <c r="AE16">
        <f t="shared" si="8"/>
        <v>1560000</v>
      </c>
      <c r="AF16">
        <f t="shared" si="8"/>
        <v>1404000</v>
      </c>
      <c r="AG16">
        <f t="shared" si="8"/>
        <v>1248000</v>
      </c>
      <c r="AH16">
        <f t="shared" si="8"/>
        <v>1092000</v>
      </c>
      <c r="AI16">
        <f t="shared" si="8"/>
        <v>936000</v>
      </c>
      <c r="AJ16">
        <f t="shared" si="8"/>
        <v>780000</v>
      </c>
      <c r="AK16">
        <f t="shared" si="8"/>
        <v>624000</v>
      </c>
      <c r="AL16">
        <f t="shared" si="8"/>
        <v>468000</v>
      </c>
      <c r="AM16">
        <f t="shared" si="8"/>
        <v>312000</v>
      </c>
      <c r="AN16">
        <f t="shared" si="8"/>
        <v>156000</v>
      </c>
      <c r="AO16">
        <f>'Steel EI_per_Fe_Ton'!AO16*'Steel Fe_tons'!AO18</f>
        <v>0</v>
      </c>
    </row>
    <row r="17" spans="1:41" x14ac:dyDescent="0.15">
      <c r="A17" t="s">
        <v>51</v>
      </c>
      <c r="B17" t="s">
        <v>52</v>
      </c>
      <c r="C17" t="s">
        <v>53</v>
      </c>
    </row>
    <row r="18" spans="1:41" x14ac:dyDescent="0.15">
      <c r="A18" t="s">
        <v>54</v>
      </c>
      <c r="B18" t="s">
        <v>55</v>
      </c>
      <c r="C18" t="s">
        <v>56</v>
      </c>
      <c r="E18" s="4">
        <v>84412800</v>
      </c>
      <c r="F18" s="4">
        <v>82741300</v>
      </c>
      <c r="G18" s="4">
        <v>81309800</v>
      </c>
      <c r="H18" s="4">
        <v>75633360</v>
      </c>
      <c r="I18" s="4">
        <v>77391479</v>
      </c>
      <c r="J18" s="4">
        <v>79447924</v>
      </c>
      <c r="K18" s="4">
        <v>75069656</v>
      </c>
      <c r="L18">
        <f>($K18-$U18)*($U$1-L$1)/($U$1-$K$1)+$U18</f>
        <v>73568262.879999995</v>
      </c>
      <c r="M18">
        <f t="shared" si="7"/>
        <v>72066869.760000005</v>
      </c>
      <c r="N18">
        <f t="shared" si="7"/>
        <v>70565476.640000001</v>
      </c>
      <c r="O18">
        <f t="shared" si="7"/>
        <v>69064083.519999996</v>
      </c>
      <c r="P18">
        <f t="shared" si="7"/>
        <v>67562690.400000006</v>
      </c>
      <c r="Q18">
        <f t="shared" si="7"/>
        <v>66061297.280000001</v>
      </c>
      <c r="R18">
        <f t="shared" si="7"/>
        <v>64559904.160000004</v>
      </c>
      <c r="S18">
        <f t="shared" si="7"/>
        <v>63058511.040000007</v>
      </c>
      <c r="T18">
        <f t="shared" si="7"/>
        <v>61557117.920000002</v>
      </c>
      <c r="U18" s="4">
        <f>K18*0.8</f>
        <v>60055724.800000004</v>
      </c>
      <c r="V18">
        <f>($U18-$AE18)*($AE$1-V$1)/($AE$1-$U$1)+$AE18</f>
        <v>57803635.120000005</v>
      </c>
      <c r="W18">
        <f t="shared" ref="W18:AD18" si="10">($U18-$AE18)*($AE$1-W$1)/($AE$1-$U$1)+$AE18</f>
        <v>55551545.440000005</v>
      </c>
      <c r="X18">
        <f t="shared" si="10"/>
        <v>53299455.760000005</v>
      </c>
      <c r="Y18">
        <f t="shared" si="10"/>
        <v>51047366.079999998</v>
      </c>
      <c r="Z18">
        <f t="shared" si="10"/>
        <v>48795276.400000006</v>
      </c>
      <c r="AA18">
        <f t="shared" si="10"/>
        <v>46543186.719999999</v>
      </c>
      <c r="AB18">
        <f t="shared" si="10"/>
        <v>44291097.039999999</v>
      </c>
      <c r="AC18">
        <f t="shared" si="10"/>
        <v>42039007.359999999</v>
      </c>
      <c r="AD18">
        <f t="shared" si="10"/>
        <v>39786917.68</v>
      </c>
      <c r="AE18" s="4">
        <f>K18*0.5</f>
        <v>37534828</v>
      </c>
      <c r="AF18">
        <f>$AE18*($AO$1-AF$1)/($AO$1-$AE$1)</f>
        <v>33781345.200000003</v>
      </c>
      <c r="AG18">
        <f t="shared" ref="AG18:AN18" si="11">$AE18*($AO$1-AG$1)/($AO$1-$AE$1)</f>
        <v>30027862.399999999</v>
      </c>
      <c r="AH18">
        <f t="shared" si="11"/>
        <v>26274379.600000001</v>
      </c>
      <c r="AI18">
        <f t="shared" si="11"/>
        <v>22520896.800000001</v>
      </c>
      <c r="AJ18">
        <f t="shared" si="11"/>
        <v>18767414</v>
      </c>
      <c r="AK18">
        <f t="shared" si="11"/>
        <v>15013931.199999999</v>
      </c>
      <c r="AL18">
        <f t="shared" si="11"/>
        <v>11260448.4</v>
      </c>
      <c r="AM18">
        <f t="shared" si="11"/>
        <v>7506965.5999999996</v>
      </c>
      <c r="AN18">
        <f t="shared" si="11"/>
        <v>3753482.8</v>
      </c>
      <c r="AO18">
        <v>0</v>
      </c>
    </row>
    <row r="19" spans="1:41" x14ac:dyDescent="0.15">
      <c r="A19" t="s">
        <v>57</v>
      </c>
      <c r="B19" t="s">
        <v>58</v>
      </c>
      <c r="C19" t="s">
        <v>59</v>
      </c>
      <c r="E19">
        <f t="shared" ref="E19:G19" si="12">F19</f>
        <v>3215942</v>
      </c>
      <c r="F19">
        <f t="shared" si="12"/>
        <v>3215942</v>
      </c>
      <c r="G19">
        <f t="shared" si="12"/>
        <v>3215942</v>
      </c>
      <c r="H19" s="4">
        <f>3215942</f>
        <v>3215942</v>
      </c>
      <c r="I19" s="4">
        <f>3299883</f>
        <v>3299883</v>
      </c>
      <c r="J19" s="4">
        <f>3145097</f>
        <v>3145097</v>
      </c>
      <c r="K19">
        <f t="shared" ref="K19:T19" si="13">($J19-$U19)*($U$1-K$1)/($U$1-$J$1)+$U19</f>
        <v>3063829.9454545453</v>
      </c>
      <c r="L19">
        <f t="shared" si="13"/>
        <v>2982562.8909090906</v>
      </c>
      <c r="M19">
        <f t="shared" si="13"/>
        <v>2901295.8363636364</v>
      </c>
      <c r="N19">
        <f t="shared" si="13"/>
        <v>2820028.7818181817</v>
      </c>
      <c r="O19">
        <f t="shared" si="13"/>
        <v>2738761.7272727271</v>
      </c>
      <c r="P19">
        <f t="shared" si="13"/>
        <v>2657494.6727272728</v>
      </c>
      <c r="Q19">
        <f t="shared" si="13"/>
        <v>2576227.6181818182</v>
      </c>
      <c r="R19">
        <f t="shared" si="13"/>
        <v>2494960.5636363635</v>
      </c>
      <c r="S19">
        <f t="shared" si="13"/>
        <v>2413693.5090909088</v>
      </c>
      <c r="T19">
        <f t="shared" si="13"/>
        <v>2332426.4545454546</v>
      </c>
      <c r="U19" s="4">
        <f>H19*0.7</f>
        <v>2251159.4</v>
      </c>
      <c r="V19">
        <f t="shared" ref="V19:AN24" si="14">$U19*($AO$1-V$1)/($AO$1-$U$1)</f>
        <v>2138601.4300000002</v>
      </c>
      <c r="W19">
        <f t="shared" si="14"/>
        <v>2026043.4599999997</v>
      </c>
      <c r="X19">
        <f t="shared" si="14"/>
        <v>1913485.4899999998</v>
      </c>
      <c r="Y19">
        <f t="shared" si="14"/>
        <v>1800927.52</v>
      </c>
      <c r="Z19">
        <f t="shared" si="14"/>
        <v>1688369.55</v>
      </c>
      <c r="AA19">
        <f t="shared" si="14"/>
        <v>1575811.5799999998</v>
      </c>
      <c r="AB19">
        <f t="shared" si="14"/>
        <v>1463253.6099999999</v>
      </c>
      <c r="AC19">
        <f t="shared" si="14"/>
        <v>1350695.64</v>
      </c>
      <c r="AD19">
        <f t="shared" si="14"/>
        <v>1238137.67</v>
      </c>
      <c r="AE19">
        <f t="shared" si="14"/>
        <v>1125579.7</v>
      </c>
      <c r="AF19">
        <f t="shared" si="14"/>
        <v>1013021.7299999999</v>
      </c>
      <c r="AG19">
        <f t="shared" si="14"/>
        <v>900463.76</v>
      </c>
      <c r="AH19">
        <f t="shared" si="14"/>
        <v>787905.78999999992</v>
      </c>
      <c r="AI19">
        <f t="shared" si="14"/>
        <v>675347.82</v>
      </c>
      <c r="AJ19">
        <f t="shared" si="14"/>
        <v>562789.85</v>
      </c>
      <c r="AK19">
        <f t="shared" si="14"/>
        <v>450231.88</v>
      </c>
      <c r="AL19">
        <f t="shared" si="14"/>
        <v>337673.91</v>
      </c>
      <c r="AM19">
        <f t="shared" si="14"/>
        <v>225115.94</v>
      </c>
      <c r="AN19">
        <f t="shared" si="14"/>
        <v>112557.97</v>
      </c>
      <c r="AO19">
        <f>'Steel EI_per_Fe_Ton'!AO19*'Steel Fe_tons'!AO21</f>
        <v>0</v>
      </c>
    </row>
    <row r="20" spans="1:41" x14ac:dyDescent="0.15">
      <c r="A20" t="s">
        <v>60</v>
      </c>
      <c r="B20" t="s">
        <v>61</v>
      </c>
      <c r="C20" t="s">
        <v>62</v>
      </c>
      <c r="E20">
        <f t="shared" ref="E20:H22" si="15">F20</f>
        <v>2000000</v>
      </c>
      <c r="F20">
        <f t="shared" si="15"/>
        <v>2000000</v>
      </c>
      <c r="G20">
        <f t="shared" si="15"/>
        <v>2000000</v>
      </c>
      <c r="H20">
        <f t="shared" si="15"/>
        <v>2000000</v>
      </c>
      <c r="I20" s="4">
        <v>2000000</v>
      </c>
      <c r="J20" s="4">
        <v>1800000</v>
      </c>
      <c r="K20" s="4">
        <v>1100000</v>
      </c>
      <c r="L20" s="4">
        <v>1900000</v>
      </c>
      <c r="M20">
        <f>($L20-$U20)*($U$1-M$1)/($U$1-$L$1)+$U20</f>
        <v>1844444.4444444445</v>
      </c>
      <c r="N20">
        <f t="shared" ref="N20:T20" si="16">($L20-$U20)*($U$1-N$1)/($U$1-$L$1)+$U20</f>
        <v>1788888.888888889</v>
      </c>
      <c r="O20">
        <f t="shared" si="16"/>
        <v>1733333.3333333333</v>
      </c>
      <c r="P20">
        <f t="shared" si="16"/>
        <v>1677777.7777777778</v>
      </c>
      <c r="Q20">
        <f t="shared" si="16"/>
        <v>1622222.2222222222</v>
      </c>
      <c r="R20">
        <f t="shared" si="16"/>
        <v>1566666.6666666667</v>
      </c>
      <c r="S20">
        <f t="shared" si="16"/>
        <v>1511111.111111111</v>
      </c>
      <c r="T20">
        <f t="shared" si="16"/>
        <v>1455555.5555555555</v>
      </c>
      <c r="U20" s="4">
        <f>I20*0.7</f>
        <v>1400000</v>
      </c>
      <c r="V20">
        <f t="shared" si="14"/>
        <v>1330000</v>
      </c>
      <c r="W20">
        <f t="shared" si="14"/>
        <v>1260000</v>
      </c>
      <c r="X20">
        <f t="shared" si="14"/>
        <v>1190000</v>
      </c>
      <c r="Y20">
        <f t="shared" si="14"/>
        <v>1120000</v>
      </c>
      <c r="Z20">
        <f t="shared" si="14"/>
        <v>1050000</v>
      </c>
      <c r="AA20">
        <f t="shared" si="14"/>
        <v>980000</v>
      </c>
      <c r="AB20">
        <f t="shared" si="14"/>
        <v>910000</v>
      </c>
      <c r="AC20">
        <f t="shared" si="14"/>
        <v>840000</v>
      </c>
      <c r="AD20">
        <f t="shared" si="14"/>
        <v>770000</v>
      </c>
      <c r="AE20">
        <f t="shared" si="14"/>
        <v>700000</v>
      </c>
      <c r="AF20">
        <f t="shared" si="14"/>
        <v>630000</v>
      </c>
      <c r="AG20">
        <f t="shared" si="14"/>
        <v>560000</v>
      </c>
      <c r="AH20">
        <f t="shared" si="14"/>
        <v>490000</v>
      </c>
      <c r="AI20">
        <f t="shared" si="14"/>
        <v>420000</v>
      </c>
      <c r="AJ20">
        <f t="shared" si="14"/>
        <v>350000</v>
      </c>
      <c r="AK20">
        <f t="shared" si="14"/>
        <v>280000</v>
      </c>
      <c r="AL20">
        <f t="shared" si="14"/>
        <v>210000</v>
      </c>
      <c r="AM20">
        <f t="shared" si="14"/>
        <v>140000</v>
      </c>
      <c r="AN20">
        <f t="shared" si="14"/>
        <v>70000</v>
      </c>
      <c r="AO20">
        <v>0</v>
      </c>
    </row>
    <row r="21" spans="1:41" x14ac:dyDescent="0.15">
      <c r="A21" t="s">
        <v>63</v>
      </c>
      <c r="B21" t="s">
        <v>64</v>
      </c>
      <c r="C21" t="s">
        <v>65</v>
      </c>
      <c r="E21" s="3">
        <f t="shared" si="15"/>
        <v>17744560</v>
      </c>
      <c r="F21" s="3">
        <f t="shared" si="15"/>
        <v>17744560</v>
      </c>
      <c r="G21" s="3">
        <f t="shared" si="15"/>
        <v>17744560</v>
      </c>
      <c r="H21" s="3">
        <f t="shared" si="15"/>
        <v>17744560</v>
      </c>
      <c r="I21" s="6">
        <v>17744560</v>
      </c>
      <c r="J21" s="6">
        <v>16682357</v>
      </c>
      <c r="K21" s="6">
        <v>15257923</v>
      </c>
      <c r="L21">
        <f t="shared" ref="L21:T24" si="17">($K21-$U21)*($U$1-L$1)/($U$1-$K$1)+$U21</f>
        <v>15151695.5</v>
      </c>
      <c r="M21">
        <f t="shared" si="17"/>
        <v>15045468</v>
      </c>
      <c r="N21">
        <f t="shared" si="17"/>
        <v>14939240.5</v>
      </c>
      <c r="O21">
        <f t="shared" si="17"/>
        <v>14833013</v>
      </c>
      <c r="P21">
        <f t="shared" si="17"/>
        <v>14726785.5</v>
      </c>
      <c r="Q21">
        <f t="shared" si="17"/>
        <v>14620558</v>
      </c>
      <c r="R21">
        <f t="shared" si="17"/>
        <v>14514330.5</v>
      </c>
      <c r="S21">
        <f t="shared" si="17"/>
        <v>14408103</v>
      </c>
      <c r="T21">
        <f t="shared" si="17"/>
        <v>14301875.5</v>
      </c>
      <c r="U21" s="4">
        <f>I21*0.8</f>
        <v>14195648</v>
      </c>
      <c r="V21">
        <f t="shared" si="14"/>
        <v>13485865.6</v>
      </c>
      <c r="W21">
        <f t="shared" si="14"/>
        <v>12776083.199999999</v>
      </c>
      <c r="X21">
        <f t="shared" si="14"/>
        <v>12066300.800000001</v>
      </c>
      <c r="Y21">
        <f t="shared" si="14"/>
        <v>11356518.4</v>
      </c>
      <c r="Z21">
        <f t="shared" si="14"/>
        <v>10646736</v>
      </c>
      <c r="AA21">
        <f t="shared" si="14"/>
        <v>9936953.5999999996</v>
      </c>
      <c r="AB21">
        <f t="shared" si="14"/>
        <v>9227171.1999999993</v>
      </c>
      <c r="AC21">
        <f t="shared" si="14"/>
        <v>8517388.8000000007</v>
      </c>
      <c r="AD21">
        <f t="shared" si="14"/>
        <v>7807606.4000000004</v>
      </c>
      <c r="AE21">
        <f t="shared" si="14"/>
        <v>7097824</v>
      </c>
      <c r="AF21">
        <f t="shared" si="14"/>
        <v>6388041.5999999996</v>
      </c>
      <c r="AG21">
        <f t="shared" si="14"/>
        <v>5678259.2000000002</v>
      </c>
      <c r="AH21">
        <f t="shared" si="14"/>
        <v>4968476.8</v>
      </c>
      <c r="AI21">
        <f t="shared" si="14"/>
        <v>4258694.4000000004</v>
      </c>
      <c r="AJ21">
        <f t="shared" si="14"/>
        <v>3548912</v>
      </c>
      <c r="AK21">
        <f t="shared" si="14"/>
        <v>2839129.6</v>
      </c>
      <c r="AL21">
        <f t="shared" si="14"/>
        <v>2129347.2000000002</v>
      </c>
      <c r="AM21">
        <f t="shared" si="14"/>
        <v>1419564.8</v>
      </c>
      <c r="AN21">
        <f t="shared" si="14"/>
        <v>709782.4</v>
      </c>
      <c r="AO21">
        <v>0</v>
      </c>
    </row>
    <row r="22" spans="1:41" x14ac:dyDescent="0.15">
      <c r="A22" t="s">
        <v>66</v>
      </c>
      <c r="B22" t="s">
        <v>67</v>
      </c>
      <c r="C22" t="s">
        <v>68</v>
      </c>
      <c r="E22" s="3">
        <f t="shared" si="15"/>
        <v>99660</v>
      </c>
      <c r="F22" s="3">
        <f t="shared" si="15"/>
        <v>99660</v>
      </c>
      <c r="G22" s="3">
        <f t="shared" si="15"/>
        <v>99660</v>
      </c>
      <c r="H22" s="3">
        <f t="shared" si="15"/>
        <v>99660</v>
      </c>
      <c r="I22" s="11">
        <v>99660</v>
      </c>
      <c r="J22" s="11">
        <v>94460</v>
      </c>
      <c r="K22" s="11">
        <v>91490</v>
      </c>
      <c r="L22">
        <f t="shared" si="17"/>
        <v>88320.6</v>
      </c>
      <c r="M22">
        <f t="shared" si="17"/>
        <v>85151.2</v>
      </c>
      <c r="N22">
        <f t="shared" si="17"/>
        <v>81981.8</v>
      </c>
      <c r="O22">
        <f t="shared" si="17"/>
        <v>78812.399999999994</v>
      </c>
      <c r="P22">
        <f t="shared" si="17"/>
        <v>75643</v>
      </c>
      <c r="Q22">
        <f t="shared" si="17"/>
        <v>72473.600000000006</v>
      </c>
      <c r="R22">
        <f t="shared" si="17"/>
        <v>69304.2</v>
      </c>
      <c r="S22">
        <f t="shared" si="17"/>
        <v>66134.8</v>
      </c>
      <c r="T22">
        <f t="shared" si="17"/>
        <v>62965.4</v>
      </c>
      <c r="U22" s="4">
        <f>I22*0.6</f>
        <v>59796</v>
      </c>
      <c r="V22">
        <f t="shared" si="14"/>
        <v>56806.2</v>
      </c>
      <c r="W22">
        <f t="shared" si="14"/>
        <v>53816.4</v>
      </c>
      <c r="X22">
        <f t="shared" si="14"/>
        <v>50826.6</v>
      </c>
      <c r="Y22">
        <f t="shared" si="14"/>
        <v>47836.800000000003</v>
      </c>
      <c r="Z22">
        <f t="shared" si="14"/>
        <v>44847</v>
      </c>
      <c r="AA22">
        <f t="shared" si="14"/>
        <v>41857.199999999997</v>
      </c>
      <c r="AB22">
        <f t="shared" si="14"/>
        <v>38867.4</v>
      </c>
      <c r="AC22">
        <f t="shared" si="14"/>
        <v>35877.599999999999</v>
      </c>
      <c r="AD22">
        <f t="shared" si="14"/>
        <v>32887.800000000003</v>
      </c>
      <c r="AE22">
        <f t="shared" si="14"/>
        <v>29898</v>
      </c>
      <c r="AF22">
        <f t="shared" si="14"/>
        <v>26908.2</v>
      </c>
      <c r="AG22">
        <f t="shared" si="14"/>
        <v>23918.400000000001</v>
      </c>
      <c r="AH22">
        <f t="shared" si="14"/>
        <v>20928.599999999999</v>
      </c>
      <c r="AI22">
        <f t="shared" si="14"/>
        <v>17938.8</v>
      </c>
      <c r="AJ22">
        <f t="shared" si="14"/>
        <v>14949</v>
      </c>
      <c r="AK22">
        <f t="shared" si="14"/>
        <v>11959.2</v>
      </c>
      <c r="AL22">
        <f t="shared" si="14"/>
        <v>8969.4</v>
      </c>
      <c r="AM22">
        <f t="shared" si="14"/>
        <v>5979.6</v>
      </c>
      <c r="AN22">
        <f t="shared" si="14"/>
        <v>2989.8</v>
      </c>
      <c r="AO22">
        <v>0</v>
      </c>
    </row>
    <row r="23" spans="1:41" x14ac:dyDescent="0.15">
      <c r="A23" t="s">
        <v>69</v>
      </c>
      <c r="B23" t="s">
        <v>70</v>
      </c>
      <c r="C23" t="s">
        <v>71</v>
      </c>
    </row>
    <row r="24" spans="1:41" x14ac:dyDescent="0.15">
      <c r="A24" t="s">
        <v>72</v>
      </c>
      <c r="B24" t="s">
        <v>73</v>
      </c>
      <c r="C24" t="s">
        <v>74</v>
      </c>
      <c r="E24" s="3">
        <f>F24</f>
        <v>29000000</v>
      </c>
      <c r="F24" s="3">
        <f>G24</f>
        <v>29000000</v>
      </c>
      <c r="G24" s="4">
        <f>(20.5+8.5)*1000000</f>
        <v>29000000</v>
      </c>
      <c r="H24" s="4">
        <f>(21+9)*1000000</f>
        <v>30000000</v>
      </c>
      <c r="I24" s="4">
        <f>(23+9.5)*1000000</f>
        <v>32500000</v>
      </c>
      <c r="J24" s="4">
        <f>(22.5+7)*1000000</f>
        <v>29500000</v>
      </c>
      <c r="K24" s="4">
        <f>(18.5+6)*1000000</f>
        <v>24500000</v>
      </c>
      <c r="L24">
        <f t="shared" si="17"/>
        <v>24650000</v>
      </c>
      <c r="M24">
        <f t="shared" si="17"/>
        <v>24800000</v>
      </c>
      <c r="N24">
        <f t="shared" si="17"/>
        <v>24950000</v>
      </c>
      <c r="O24">
        <f t="shared" si="17"/>
        <v>25100000</v>
      </c>
      <c r="P24">
        <f t="shared" si="17"/>
        <v>25250000</v>
      </c>
      <c r="Q24">
        <f t="shared" si="17"/>
        <v>25400000</v>
      </c>
      <c r="R24">
        <f t="shared" si="17"/>
        <v>25550000</v>
      </c>
      <c r="S24">
        <f t="shared" si="17"/>
        <v>25700000</v>
      </c>
      <c r="T24">
        <f t="shared" si="17"/>
        <v>25850000</v>
      </c>
      <c r="U24" s="4">
        <f>I24*0.8</f>
        <v>26000000</v>
      </c>
      <c r="V24">
        <f t="shared" si="14"/>
        <v>24700000</v>
      </c>
      <c r="W24">
        <f t="shared" si="14"/>
        <v>23400000</v>
      </c>
      <c r="X24">
        <f t="shared" si="14"/>
        <v>22100000</v>
      </c>
      <c r="Y24">
        <f t="shared" si="14"/>
        <v>20800000</v>
      </c>
      <c r="Z24">
        <f t="shared" si="14"/>
        <v>19500000</v>
      </c>
      <c r="AA24">
        <f t="shared" si="14"/>
        <v>18200000</v>
      </c>
      <c r="AB24">
        <f t="shared" si="14"/>
        <v>16900000</v>
      </c>
      <c r="AC24">
        <f t="shared" si="14"/>
        <v>15600000</v>
      </c>
      <c r="AD24">
        <f t="shared" si="14"/>
        <v>14300000</v>
      </c>
      <c r="AE24">
        <f t="shared" si="14"/>
        <v>13000000</v>
      </c>
      <c r="AF24">
        <f t="shared" si="14"/>
        <v>11700000</v>
      </c>
      <c r="AG24">
        <f t="shared" si="14"/>
        <v>10400000</v>
      </c>
      <c r="AH24">
        <f t="shared" si="14"/>
        <v>9100000</v>
      </c>
      <c r="AI24">
        <f t="shared" si="14"/>
        <v>7800000</v>
      </c>
      <c r="AJ24">
        <f t="shared" si="14"/>
        <v>6500000</v>
      </c>
      <c r="AK24">
        <f t="shared" si="14"/>
        <v>5200000</v>
      </c>
      <c r="AL24">
        <f t="shared" si="14"/>
        <v>3900000</v>
      </c>
      <c r="AM24">
        <f t="shared" si="14"/>
        <v>2600000</v>
      </c>
      <c r="AN24">
        <f t="shared" si="14"/>
        <v>1300000</v>
      </c>
      <c r="AO24">
        <v>0</v>
      </c>
    </row>
    <row r="25" spans="1:41" x14ac:dyDescent="0.15">
      <c r="A25" t="s">
        <v>75</v>
      </c>
      <c r="B25" t="s">
        <v>76</v>
      </c>
      <c r="C25" t="s">
        <v>77</v>
      </c>
    </row>
    <row r="26" spans="1:41" x14ac:dyDescent="0.15">
      <c r="A26" t="s">
        <v>78</v>
      </c>
      <c r="B26" t="s">
        <v>79</v>
      </c>
      <c r="C26" t="s">
        <v>80</v>
      </c>
      <c r="E26">
        <f>F26</f>
        <v>131853</v>
      </c>
      <c r="F26" s="4">
        <f>131853</f>
        <v>131853</v>
      </c>
      <c r="G26" s="4">
        <f>126399</f>
        <v>126399</v>
      </c>
      <c r="H26" s="4">
        <f>132944</f>
        <v>132944</v>
      </c>
      <c r="I26" s="4">
        <f>139953</f>
        <v>139953</v>
      </c>
      <c r="J26" s="4">
        <f>134257</f>
        <v>134257</v>
      </c>
      <c r="K26" s="4">
        <f>130506</f>
        <v>130506</v>
      </c>
      <c r="L26">
        <f t="shared" ref="L26:T26" si="18">($K26-$U26)*($U$1-L$1)/($U$1-$K$1)+$U26</f>
        <v>130051.17</v>
      </c>
      <c r="M26">
        <f t="shared" si="18"/>
        <v>129596.34</v>
      </c>
      <c r="N26">
        <f t="shared" si="18"/>
        <v>129141.51</v>
      </c>
      <c r="O26">
        <f t="shared" si="18"/>
        <v>128686.68</v>
      </c>
      <c r="P26">
        <f t="shared" si="18"/>
        <v>128231.85</v>
      </c>
      <c r="Q26">
        <f t="shared" si="18"/>
        <v>127777.02</v>
      </c>
      <c r="R26">
        <f t="shared" si="18"/>
        <v>127322.19</v>
      </c>
      <c r="S26">
        <f t="shared" si="18"/>
        <v>126867.36</v>
      </c>
      <c r="T26">
        <f t="shared" si="18"/>
        <v>126412.53</v>
      </c>
      <c r="U26" s="9">
        <f>I26*0.9</f>
        <v>125957.7</v>
      </c>
      <c r="V26">
        <f t="shared" ref="V26:AN26" si="19">$U26*($AO$1-V$1)/($AO$1-$U$1)</f>
        <v>119659.81499999999</v>
      </c>
      <c r="W26">
        <f t="shared" si="19"/>
        <v>113361.93000000001</v>
      </c>
      <c r="X26">
        <f t="shared" si="19"/>
        <v>107064.045</v>
      </c>
      <c r="Y26">
        <f t="shared" si="19"/>
        <v>100766.16</v>
      </c>
      <c r="Z26">
        <f t="shared" si="19"/>
        <v>94468.274999999994</v>
      </c>
      <c r="AA26">
        <f t="shared" si="19"/>
        <v>88170.39</v>
      </c>
      <c r="AB26">
        <f t="shared" si="19"/>
        <v>81872.50499999999</v>
      </c>
      <c r="AC26">
        <f t="shared" si="19"/>
        <v>75574.62</v>
      </c>
      <c r="AD26">
        <f t="shared" si="19"/>
        <v>69276.735000000001</v>
      </c>
      <c r="AE26">
        <f t="shared" si="19"/>
        <v>62978.85</v>
      </c>
      <c r="AF26">
        <f t="shared" si="19"/>
        <v>56680.965000000004</v>
      </c>
      <c r="AG26">
        <f t="shared" si="19"/>
        <v>50383.08</v>
      </c>
      <c r="AH26">
        <f t="shared" si="19"/>
        <v>44085.195</v>
      </c>
      <c r="AI26">
        <f t="shared" si="19"/>
        <v>37787.31</v>
      </c>
      <c r="AJ26">
        <f t="shared" si="19"/>
        <v>31489.424999999999</v>
      </c>
      <c r="AK26">
        <f t="shared" si="19"/>
        <v>25191.54</v>
      </c>
      <c r="AL26">
        <f t="shared" si="19"/>
        <v>18893.654999999999</v>
      </c>
      <c r="AM26">
        <f t="shared" si="19"/>
        <v>12595.77</v>
      </c>
      <c r="AN26">
        <f t="shared" si="19"/>
        <v>6297.8850000000002</v>
      </c>
      <c r="AO26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0462-5620-5640-A6FC-BB7C149CC476}">
  <dimension ref="A1:AO26"/>
  <sheetViews>
    <sheetView zoomScale="200" zoomScaleNormal="2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N2" sqref="N2:AN2"/>
    </sheetView>
  </sheetViews>
  <sheetFormatPr baseColWidth="10" defaultColWidth="11.5" defaultRowHeight="13" x14ac:dyDescent="0.15"/>
  <cols>
    <col min="1" max="1" width="34.33203125" customWidth="1"/>
    <col min="2" max="2" width="23.5" customWidth="1"/>
  </cols>
  <sheetData>
    <row r="1" spans="1:41" x14ac:dyDescent="0.15">
      <c r="A1" t="s">
        <v>0</v>
      </c>
      <c r="B1" t="s">
        <v>1</v>
      </c>
      <c r="C1" t="s">
        <v>2</v>
      </c>
      <c r="E1">
        <v>2014</v>
      </c>
      <c r="F1">
        <f t="shared" ref="F1:AO1" si="0">E1+1</f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  <c r="Z1">
        <f t="shared" si="0"/>
        <v>2035</v>
      </c>
      <c r="AA1">
        <f t="shared" si="0"/>
        <v>2036</v>
      </c>
      <c r="AB1">
        <f t="shared" si="0"/>
        <v>2037</v>
      </c>
      <c r="AC1">
        <f t="shared" si="0"/>
        <v>2038</v>
      </c>
      <c r="AD1">
        <f t="shared" si="0"/>
        <v>2039</v>
      </c>
      <c r="AE1">
        <f t="shared" si="0"/>
        <v>2040</v>
      </c>
      <c r="AF1">
        <f t="shared" si="0"/>
        <v>2041</v>
      </c>
      <c r="AG1">
        <f t="shared" si="0"/>
        <v>2042</v>
      </c>
      <c r="AH1">
        <f t="shared" si="0"/>
        <v>2043</v>
      </c>
      <c r="AI1">
        <f t="shared" si="0"/>
        <v>2044</v>
      </c>
      <c r="AJ1">
        <f t="shared" si="0"/>
        <v>2045</v>
      </c>
      <c r="AK1">
        <f t="shared" si="0"/>
        <v>2046</v>
      </c>
      <c r="AL1">
        <f t="shared" si="0"/>
        <v>2047</v>
      </c>
      <c r="AM1">
        <f t="shared" si="0"/>
        <v>2048</v>
      </c>
      <c r="AN1">
        <f t="shared" si="0"/>
        <v>2049</v>
      </c>
      <c r="AO1">
        <f t="shared" si="0"/>
        <v>2050</v>
      </c>
    </row>
    <row r="2" spans="1:41" x14ac:dyDescent="0.15">
      <c r="A2" t="s">
        <v>9</v>
      </c>
      <c r="B2" t="s">
        <v>10</v>
      </c>
      <c r="C2" t="s">
        <v>11</v>
      </c>
      <c r="E2">
        <v>660000</v>
      </c>
      <c r="F2">
        <v>660000</v>
      </c>
      <c r="G2">
        <v>660000</v>
      </c>
      <c r="H2">
        <v>660000</v>
      </c>
      <c r="I2">
        <v>76855.254000000001</v>
      </c>
      <c r="J2">
        <v>51000</v>
      </c>
      <c r="K2">
        <v>27000</v>
      </c>
      <c r="L2">
        <v>31000</v>
      </c>
      <c r="M2">
        <f>$K2*($AO$1-M$1)/($AO$1-$K$1)</f>
        <v>25200</v>
      </c>
      <c r="N2">
        <f t="shared" ref="N2:AN2" si="1">$K2*($AO$1-N$1)/($AO$1-$K$1)</f>
        <v>24300</v>
      </c>
      <c r="O2">
        <f t="shared" si="1"/>
        <v>23400</v>
      </c>
      <c r="P2">
        <f t="shared" si="1"/>
        <v>22500</v>
      </c>
      <c r="Q2">
        <f t="shared" si="1"/>
        <v>21600</v>
      </c>
      <c r="R2">
        <f t="shared" si="1"/>
        <v>20700</v>
      </c>
      <c r="S2">
        <f t="shared" si="1"/>
        <v>19800</v>
      </c>
      <c r="T2">
        <f t="shared" si="1"/>
        <v>18900</v>
      </c>
      <c r="U2">
        <f t="shared" si="1"/>
        <v>18000</v>
      </c>
      <c r="V2">
        <f t="shared" si="1"/>
        <v>17100</v>
      </c>
      <c r="W2">
        <f t="shared" si="1"/>
        <v>16200</v>
      </c>
      <c r="X2">
        <f t="shared" si="1"/>
        <v>15300</v>
      </c>
      <c r="Y2">
        <f t="shared" si="1"/>
        <v>14400</v>
      </c>
      <c r="Z2">
        <f t="shared" si="1"/>
        <v>13500</v>
      </c>
      <c r="AA2">
        <f t="shared" si="1"/>
        <v>12600</v>
      </c>
      <c r="AB2">
        <f t="shared" si="1"/>
        <v>11700</v>
      </c>
      <c r="AC2">
        <f t="shared" si="1"/>
        <v>10800</v>
      </c>
      <c r="AD2">
        <f t="shared" si="1"/>
        <v>9900</v>
      </c>
      <c r="AE2">
        <f t="shared" si="1"/>
        <v>9000</v>
      </c>
      <c r="AF2">
        <f t="shared" si="1"/>
        <v>8100</v>
      </c>
      <c r="AG2">
        <f t="shared" si="1"/>
        <v>7200</v>
      </c>
      <c r="AH2">
        <f t="shared" si="1"/>
        <v>6300</v>
      </c>
      <c r="AI2">
        <f t="shared" si="1"/>
        <v>5400</v>
      </c>
      <c r="AJ2">
        <f t="shared" si="1"/>
        <v>4500</v>
      </c>
      <c r="AK2">
        <f t="shared" si="1"/>
        <v>3600</v>
      </c>
      <c r="AL2">
        <f t="shared" si="1"/>
        <v>2700</v>
      </c>
      <c r="AM2">
        <f t="shared" si="1"/>
        <v>1800</v>
      </c>
      <c r="AN2">
        <f t="shared" si="1"/>
        <v>900</v>
      </c>
      <c r="AO2">
        <f>'Steel EI_per_Fe_Ton'!AO2*'Steel Fe_tons'!AO4</f>
        <v>0</v>
      </c>
    </row>
    <row r="3" spans="1:41" x14ac:dyDescent="0.15">
      <c r="A3" s="2" t="s">
        <v>83</v>
      </c>
      <c r="B3" s="2" t="s">
        <v>81</v>
      </c>
      <c r="C3" s="2" t="s">
        <v>82</v>
      </c>
      <c r="E3" s="13">
        <f>3671367*('Steel Fe_tons'!E5/'Steel Fe_tons'!$K5)</f>
        <v>4494608.6712140376</v>
      </c>
      <c r="F3" s="13">
        <f>3671367*('Steel Fe_tons'!F5/'Steel Fe_tons'!$K5)</f>
        <v>4517098.2923521735</v>
      </c>
      <c r="G3" s="13">
        <f>3671367*('Steel Fe_tons'!G5/'Steel Fe_tons'!$K5)</f>
        <v>4431504.7156481268</v>
      </c>
      <c r="H3" s="13">
        <f>3671367*('Steel Fe_tons'!H5/'Steel Fe_tons'!$K5)</f>
        <v>4473104.3565879771</v>
      </c>
      <c r="I3" s="13">
        <f>3671367*('Steel Fe_tons'!I5/'Steel Fe_tons'!$K5)</f>
        <v>4413355.3696956858</v>
      </c>
      <c r="J3" s="13">
        <f>3671367*('Steel Fe_tons'!J5/'Steel Fe_tons'!$K5)</f>
        <v>4426105.2359619504</v>
      </c>
      <c r="K3" s="13">
        <f>3671367*('Steel Fe_tons'!K5/'Steel Fe_tons'!$K5)</f>
        <v>3671367</v>
      </c>
      <c r="L3">
        <f t="shared" ref="L3:T3" si="2">($K3-$U3)*($U$1-L$1)/($U$1-$K$1)+$U3</f>
        <v>3597939.66</v>
      </c>
      <c r="M3">
        <f t="shared" si="2"/>
        <v>3524512.3200000003</v>
      </c>
      <c r="N3">
        <f t="shared" si="2"/>
        <v>3451084.98</v>
      </c>
      <c r="O3">
        <f t="shared" si="2"/>
        <v>3377657.64</v>
      </c>
      <c r="P3">
        <f t="shared" si="2"/>
        <v>3304230.3</v>
      </c>
      <c r="Q3">
        <f t="shared" si="2"/>
        <v>3230802.96</v>
      </c>
      <c r="R3">
        <f t="shared" si="2"/>
        <v>3157375.62</v>
      </c>
      <c r="S3">
        <f t="shared" si="2"/>
        <v>3083948.2800000003</v>
      </c>
      <c r="T3">
        <f t="shared" si="2"/>
        <v>3010520.94</v>
      </c>
      <c r="U3" s="4">
        <f>K3*0.8</f>
        <v>2937093.6</v>
      </c>
      <c r="V3">
        <f t="shared" ref="V3:AN3" si="3">$U3*($AO$1-V$1)/($AO$1-$U$1)</f>
        <v>2790238.92</v>
      </c>
      <c r="W3">
        <f t="shared" si="3"/>
        <v>2643384.2400000002</v>
      </c>
      <c r="X3">
        <f t="shared" si="3"/>
        <v>2496529.56</v>
      </c>
      <c r="Y3">
        <f t="shared" si="3"/>
        <v>2349674.88</v>
      </c>
      <c r="Z3">
        <f t="shared" si="3"/>
        <v>2202820.2000000002</v>
      </c>
      <c r="AA3">
        <f t="shared" si="3"/>
        <v>2055965.52</v>
      </c>
      <c r="AB3">
        <f t="shared" si="3"/>
        <v>1909110.8400000003</v>
      </c>
      <c r="AC3">
        <f t="shared" si="3"/>
        <v>1762256.1600000001</v>
      </c>
      <c r="AD3">
        <f t="shared" si="3"/>
        <v>1615401.48</v>
      </c>
      <c r="AE3">
        <f t="shared" si="3"/>
        <v>1468546.8</v>
      </c>
      <c r="AF3">
        <f t="shared" si="3"/>
        <v>1321692.1200000001</v>
      </c>
      <c r="AG3">
        <f t="shared" si="3"/>
        <v>1174837.44</v>
      </c>
      <c r="AH3">
        <f t="shared" si="3"/>
        <v>1027982.76</v>
      </c>
      <c r="AI3">
        <f t="shared" si="3"/>
        <v>881128.08000000007</v>
      </c>
      <c r="AJ3">
        <f t="shared" si="3"/>
        <v>734273.4</v>
      </c>
      <c r="AK3">
        <f t="shared" si="3"/>
        <v>587418.72</v>
      </c>
      <c r="AL3">
        <f t="shared" si="3"/>
        <v>440564.04000000004</v>
      </c>
      <c r="AM3">
        <f t="shared" si="3"/>
        <v>293709.36</v>
      </c>
      <c r="AN3">
        <f t="shared" si="3"/>
        <v>146854.68</v>
      </c>
      <c r="AO3">
        <f>'Steel EI_per_Fe_Ton'!AO3*'Steel Fe_tons'!AO5</f>
        <v>0</v>
      </c>
    </row>
    <row r="4" spans="1:41" x14ac:dyDescent="0.15">
      <c r="A4" t="s">
        <v>12</v>
      </c>
      <c r="B4" t="s">
        <v>13</v>
      </c>
      <c r="C4" t="s">
        <v>14</v>
      </c>
      <c r="E4">
        <f>'Steel EI_per_Fe_Ton'!E4*'Steel Fe_tons'!E6</f>
        <v>2548437</v>
      </c>
      <c r="F4">
        <f>'Steel EI_per_Fe_Ton'!F4*'Steel Fe_tons'!F6</f>
        <v>2548437</v>
      </c>
      <c r="G4">
        <f>'Steel EI_per_Fe_Ton'!G4*'Steel Fe_tons'!G6</f>
        <v>2548437</v>
      </c>
      <c r="H4">
        <f>'Steel EI_per_Fe_Ton'!H4*'Steel Fe_tons'!H6</f>
        <v>2548437</v>
      </c>
      <c r="I4">
        <f>'Steel EI_per_Fe_Ton'!I4*'Steel Fe_tons'!I6</f>
        <v>2548437</v>
      </c>
      <c r="J4" s="4">
        <v>1500431</v>
      </c>
      <c r="K4" s="4">
        <v>1466830</v>
      </c>
      <c r="L4" s="4">
        <v>1436765</v>
      </c>
      <c r="M4">
        <f>($L4-$U4)*($U$1-M$1)/($U$1-$L$1)+$U4</f>
        <v>1407509.3333333333</v>
      </c>
      <c r="N4">
        <f t="shared" ref="N4:T4" si="4">($L4-$U4)*($U$1-N$1)/($U$1-$L$1)+$U4</f>
        <v>1378253.6666666667</v>
      </c>
      <c r="O4">
        <f t="shared" si="4"/>
        <v>1348998</v>
      </c>
      <c r="P4">
        <f t="shared" si="4"/>
        <v>1319742.3333333333</v>
      </c>
      <c r="Q4">
        <f t="shared" si="4"/>
        <v>1290486.6666666667</v>
      </c>
      <c r="R4">
        <f t="shared" si="4"/>
        <v>1261231</v>
      </c>
      <c r="S4">
        <f t="shared" si="4"/>
        <v>1231975.3333333333</v>
      </c>
      <c r="T4">
        <f t="shared" si="4"/>
        <v>1202719.6666666667</v>
      </c>
      <c r="U4" s="4">
        <f>K4*0.8</f>
        <v>1173464</v>
      </c>
      <c r="V4">
        <f t="shared" ref="V4:AN4" si="5">$U4*($AO$1-V$1)/($AO$1-$U$1)</f>
        <v>1114790.8</v>
      </c>
      <c r="W4">
        <f t="shared" si="5"/>
        <v>1056117.6000000001</v>
      </c>
      <c r="X4">
        <f t="shared" si="5"/>
        <v>997444.4</v>
      </c>
      <c r="Y4">
        <f t="shared" si="5"/>
        <v>938771.2</v>
      </c>
      <c r="Z4">
        <f t="shared" si="5"/>
        <v>880098</v>
      </c>
      <c r="AA4">
        <f t="shared" si="5"/>
        <v>821424.8</v>
      </c>
      <c r="AB4">
        <f t="shared" si="5"/>
        <v>762751.6</v>
      </c>
      <c r="AC4">
        <f t="shared" si="5"/>
        <v>704078.4</v>
      </c>
      <c r="AD4">
        <f t="shared" si="5"/>
        <v>645405.19999999995</v>
      </c>
      <c r="AE4">
        <f t="shared" si="5"/>
        <v>586732</v>
      </c>
      <c r="AF4">
        <f t="shared" si="5"/>
        <v>528058.80000000005</v>
      </c>
      <c r="AG4">
        <f t="shared" si="5"/>
        <v>469385.6</v>
      </c>
      <c r="AH4">
        <f t="shared" si="5"/>
        <v>410712.4</v>
      </c>
      <c r="AI4">
        <f t="shared" si="5"/>
        <v>352039.2</v>
      </c>
      <c r="AJ4">
        <f t="shared" si="5"/>
        <v>293366</v>
      </c>
      <c r="AK4">
        <f t="shared" si="5"/>
        <v>234692.8</v>
      </c>
      <c r="AL4">
        <f t="shared" si="5"/>
        <v>176019.6</v>
      </c>
      <c r="AM4">
        <f t="shared" si="5"/>
        <v>117346.4</v>
      </c>
      <c r="AN4">
        <f t="shared" si="5"/>
        <v>58673.2</v>
      </c>
      <c r="AO4">
        <f>'Steel EI_per_Fe_Ton'!AO4*'Steel Fe_tons'!AO6</f>
        <v>0</v>
      </c>
    </row>
    <row r="5" spans="1:41" x14ac:dyDescent="0.15">
      <c r="A5" t="s">
        <v>15</v>
      </c>
      <c r="B5" t="s">
        <v>16</v>
      </c>
      <c r="C5" t="s">
        <v>17</v>
      </c>
    </row>
    <row r="6" spans="1:41" x14ac:dyDescent="0.15">
      <c r="A6" t="s">
        <v>18</v>
      </c>
      <c r="B6" t="s">
        <v>19</v>
      </c>
      <c r="C6" t="s">
        <v>20</v>
      </c>
    </row>
    <row r="7" spans="1:41" x14ac:dyDescent="0.15">
      <c r="A7" t="s">
        <v>21</v>
      </c>
      <c r="B7" t="s">
        <v>22</v>
      </c>
      <c r="C7" t="s">
        <v>23</v>
      </c>
      <c r="E7">
        <f>'Steel EI_per_Fe_Ton'!E7*'Steel Fe_tons'!E9*0.25</f>
        <v>4025000</v>
      </c>
      <c r="F7">
        <f>'Steel EI_per_Fe_Ton'!F7*'Steel Fe_tons'!F9*0.25</f>
        <v>4025000</v>
      </c>
      <c r="G7">
        <f>'Steel EI_per_Fe_Ton'!G7*'Steel Fe_tons'!G9*0.25</f>
        <v>4025000</v>
      </c>
      <c r="H7">
        <f>'Steel EI_per_Fe_Ton'!H7*'Steel Fe_tons'!H9*0.25</f>
        <v>4025000</v>
      </c>
      <c r="I7">
        <f>'Steel EI_per_Fe_Ton'!I7*'Steel Fe_tons'!I9*0.25</f>
        <v>3569137.375</v>
      </c>
      <c r="J7" s="6">
        <v>2890986</v>
      </c>
      <c r="K7" s="6">
        <v>2082515</v>
      </c>
      <c r="L7">
        <f t="shared" ref="L7:T7" si="6">($K7-$U7)*($U$1-L$1)/($U$1-$K$1)+$U7</f>
        <v>2040864.7</v>
      </c>
      <c r="M7">
        <f t="shared" si="6"/>
        <v>1999214.4</v>
      </c>
      <c r="N7">
        <f t="shared" si="6"/>
        <v>1957564.1</v>
      </c>
      <c r="O7">
        <f t="shared" si="6"/>
        <v>1915913.8</v>
      </c>
      <c r="P7">
        <f t="shared" si="6"/>
        <v>1874263.5</v>
      </c>
      <c r="Q7">
        <f t="shared" si="6"/>
        <v>1832613.2</v>
      </c>
      <c r="R7">
        <f t="shared" si="6"/>
        <v>1790962.9</v>
      </c>
      <c r="S7">
        <f t="shared" si="6"/>
        <v>1749312.6</v>
      </c>
      <c r="T7">
        <f t="shared" si="6"/>
        <v>1707662.3</v>
      </c>
      <c r="U7" s="4">
        <f>K7*0.8</f>
        <v>1666012</v>
      </c>
      <c r="V7">
        <f t="shared" ref="V7:AN7" si="7">$U7*($AO$1-V$1)/($AO$1-$U$1)</f>
        <v>1582711.4</v>
      </c>
      <c r="W7">
        <f t="shared" si="7"/>
        <v>1499410.8</v>
      </c>
      <c r="X7">
        <f t="shared" si="7"/>
        <v>1416110.2</v>
      </c>
      <c r="Y7">
        <f t="shared" si="7"/>
        <v>1332809.6000000001</v>
      </c>
      <c r="Z7">
        <f t="shared" si="7"/>
        <v>1249509</v>
      </c>
      <c r="AA7">
        <f t="shared" si="7"/>
        <v>1166208.3999999999</v>
      </c>
      <c r="AB7">
        <f t="shared" si="7"/>
        <v>1082907.8</v>
      </c>
      <c r="AC7">
        <f t="shared" si="7"/>
        <v>999607.2</v>
      </c>
      <c r="AD7">
        <f t="shared" si="7"/>
        <v>916306.6</v>
      </c>
      <c r="AE7">
        <f t="shared" si="7"/>
        <v>833006</v>
      </c>
      <c r="AF7">
        <f t="shared" si="7"/>
        <v>749705.4</v>
      </c>
      <c r="AG7">
        <f t="shared" si="7"/>
        <v>666404.80000000005</v>
      </c>
      <c r="AH7">
        <f t="shared" si="7"/>
        <v>583104.19999999995</v>
      </c>
      <c r="AI7">
        <f t="shared" si="7"/>
        <v>499803.6</v>
      </c>
      <c r="AJ7">
        <f t="shared" si="7"/>
        <v>416503</v>
      </c>
      <c r="AK7">
        <f t="shared" si="7"/>
        <v>333202.40000000002</v>
      </c>
      <c r="AL7">
        <f t="shared" si="7"/>
        <v>249901.8</v>
      </c>
      <c r="AM7">
        <f t="shared" si="7"/>
        <v>166601.20000000001</v>
      </c>
      <c r="AN7">
        <f t="shared" si="7"/>
        <v>83300.600000000006</v>
      </c>
      <c r="AO7">
        <f>'Steel EI_per_Fe_Ton'!AO7*'Steel Fe_tons'!AO9</f>
        <v>0</v>
      </c>
    </row>
    <row r="8" spans="1:41" x14ac:dyDescent="0.15">
      <c r="A8" t="s">
        <v>24</v>
      </c>
      <c r="B8" t="s">
        <v>25</v>
      </c>
      <c r="C8" t="s">
        <v>26</v>
      </c>
    </row>
    <row r="9" spans="1:41" x14ac:dyDescent="0.15">
      <c r="A9" t="s">
        <v>27</v>
      </c>
      <c r="B9" t="s">
        <v>28</v>
      </c>
      <c r="C9" t="s">
        <v>29</v>
      </c>
    </row>
    <row r="10" spans="1:41" x14ac:dyDescent="0.15">
      <c r="A10" t="s">
        <v>30</v>
      </c>
      <c r="B10" t="s">
        <v>31</v>
      </c>
      <c r="C10" t="s">
        <v>32</v>
      </c>
    </row>
    <row r="11" spans="1:41" x14ac:dyDescent="0.15">
      <c r="A11" t="s">
        <v>33</v>
      </c>
      <c r="B11" t="s">
        <v>34</v>
      </c>
      <c r="C11" t="s">
        <v>35</v>
      </c>
    </row>
    <row r="12" spans="1:41" x14ac:dyDescent="0.15">
      <c r="A12" t="s">
        <v>36</v>
      </c>
      <c r="B12" t="s">
        <v>37</v>
      </c>
      <c r="C12" t="s">
        <v>38</v>
      </c>
    </row>
    <row r="13" spans="1:41" x14ac:dyDescent="0.15">
      <c r="A13" t="s">
        <v>39</v>
      </c>
      <c r="B13" t="s">
        <v>40</v>
      </c>
      <c r="C13" t="s">
        <v>41</v>
      </c>
    </row>
    <row r="14" spans="1:41" x14ac:dyDescent="0.15">
      <c r="A14" t="s">
        <v>42</v>
      </c>
      <c r="B14" t="s">
        <v>43</v>
      </c>
      <c r="C14" t="s">
        <v>44</v>
      </c>
    </row>
    <row r="15" spans="1:41" x14ac:dyDescent="0.15">
      <c r="A15" t="s">
        <v>45</v>
      </c>
      <c r="B15" t="s">
        <v>46</v>
      </c>
      <c r="C15" t="s">
        <v>47</v>
      </c>
      <c r="E15" s="3">
        <f>F15</f>
        <v>12478000</v>
      </c>
      <c r="F15" s="3">
        <f>G15</f>
        <v>12478000</v>
      </c>
      <c r="G15" s="3">
        <f>H15</f>
        <v>12478000</v>
      </c>
      <c r="H15" s="6">
        <v>12478000</v>
      </c>
      <c r="I15" s="6">
        <v>12563000</v>
      </c>
      <c r="J15" s="6">
        <v>11878000</v>
      </c>
      <c r="K15" s="6">
        <v>10846000</v>
      </c>
      <c r="L15">
        <f>($K15-$U15)*($U$1-L$1)/($U$1-$K$1)+$U15</f>
        <v>10634860</v>
      </c>
      <c r="M15">
        <f t="shared" ref="M15:T16" si="8">($K15-$U15)*($U$1-M$1)/($U$1-$K$1)+$U15</f>
        <v>10423720</v>
      </c>
      <c r="N15">
        <f t="shared" si="8"/>
        <v>10212580</v>
      </c>
      <c r="O15">
        <f t="shared" si="8"/>
        <v>10001440</v>
      </c>
      <c r="P15">
        <f t="shared" si="8"/>
        <v>9790300</v>
      </c>
      <c r="Q15">
        <f t="shared" si="8"/>
        <v>9579160</v>
      </c>
      <c r="R15">
        <f t="shared" si="8"/>
        <v>9368020</v>
      </c>
      <c r="S15">
        <f t="shared" si="8"/>
        <v>9156880</v>
      </c>
      <c r="T15">
        <f t="shared" si="8"/>
        <v>8945740</v>
      </c>
      <c r="U15" s="4">
        <f>H15*0.7</f>
        <v>8734600</v>
      </c>
      <c r="V15">
        <f t="shared" ref="V15:AN16" si="9">$U15*($AO$1-V$1)/($AO$1-$U$1)</f>
        <v>8297870</v>
      </c>
      <c r="W15">
        <f t="shared" si="9"/>
        <v>7861140</v>
      </c>
      <c r="X15">
        <f t="shared" si="9"/>
        <v>7424410</v>
      </c>
      <c r="Y15">
        <f t="shared" si="9"/>
        <v>6987680</v>
      </c>
      <c r="Z15">
        <f t="shared" si="9"/>
        <v>6550950</v>
      </c>
      <c r="AA15">
        <f t="shared" si="9"/>
        <v>6114220</v>
      </c>
      <c r="AB15">
        <f t="shared" si="9"/>
        <v>5677490</v>
      </c>
      <c r="AC15">
        <f t="shared" si="9"/>
        <v>5240760</v>
      </c>
      <c r="AD15">
        <f t="shared" si="9"/>
        <v>4804030</v>
      </c>
      <c r="AE15">
        <f t="shared" si="9"/>
        <v>4367300</v>
      </c>
      <c r="AF15">
        <f t="shared" si="9"/>
        <v>3930570</v>
      </c>
      <c r="AG15">
        <f t="shared" si="9"/>
        <v>3493840</v>
      </c>
      <c r="AH15">
        <f t="shared" si="9"/>
        <v>3057110</v>
      </c>
      <c r="AI15">
        <f t="shared" si="9"/>
        <v>2620380</v>
      </c>
      <c r="AJ15">
        <f t="shared" si="9"/>
        <v>2183650</v>
      </c>
      <c r="AK15">
        <f t="shared" si="9"/>
        <v>1746920</v>
      </c>
      <c r="AL15">
        <f t="shared" si="9"/>
        <v>1310190</v>
      </c>
      <c r="AM15">
        <f t="shared" si="9"/>
        <v>873460</v>
      </c>
      <c r="AN15">
        <f t="shared" si="9"/>
        <v>436730</v>
      </c>
      <c r="AO15">
        <f>'Steel EI_per_Fe_Ton'!AO15*'Steel Fe_tons'!AO17</f>
        <v>0</v>
      </c>
    </row>
    <row r="16" spans="1:41" x14ac:dyDescent="0.15">
      <c r="A16" t="s">
        <v>48</v>
      </c>
      <c r="B16" t="s">
        <v>49</v>
      </c>
      <c r="C16" t="s">
        <v>50</v>
      </c>
      <c r="E16">
        <f t="shared" ref="E16:H16" si="10">F16</f>
        <v>5785714.2857142854</v>
      </c>
      <c r="F16">
        <f t="shared" si="10"/>
        <v>5785714.2857142854</v>
      </c>
      <c r="G16">
        <f t="shared" si="10"/>
        <v>5785714.2857142854</v>
      </c>
      <c r="H16">
        <f t="shared" si="10"/>
        <v>5785714.2857142854</v>
      </c>
      <c r="I16" s="9">
        <f>$K16*120/112</f>
        <v>5785714.2857142854</v>
      </c>
      <c r="J16" s="9">
        <f>$K16*1</f>
        <v>5400000</v>
      </c>
      <c r="K16" s="4">
        <v>5400000</v>
      </c>
      <c r="L16">
        <f>($K16-$U16)*($U$1-L$1)/($U$1-$K$1)+$U16</f>
        <v>5236071.4285714291</v>
      </c>
      <c r="M16">
        <f t="shared" si="8"/>
        <v>5072142.8571428573</v>
      </c>
      <c r="N16">
        <f t="shared" si="8"/>
        <v>4908214.2857142854</v>
      </c>
      <c r="O16">
        <f t="shared" si="8"/>
        <v>4744285.7142857146</v>
      </c>
      <c r="P16">
        <f t="shared" si="8"/>
        <v>4580357.1428571427</v>
      </c>
      <c r="Q16">
        <f t="shared" si="8"/>
        <v>4416428.5714285709</v>
      </c>
      <c r="R16">
        <f t="shared" si="8"/>
        <v>4252500</v>
      </c>
      <c r="S16">
        <f t="shared" si="8"/>
        <v>4088571.4285714282</v>
      </c>
      <c r="T16">
        <f t="shared" si="8"/>
        <v>3924642.8571428568</v>
      </c>
      <c r="U16" s="4">
        <f>H16*0.65</f>
        <v>3760714.2857142854</v>
      </c>
      <c r="V16">
        <f t="shared" si="9"/>
        <v>3572678.5714285709</v>
      </c>
      <c r="W16">
        <f t="shared" si="9"/>
        <v>3384642.8571428568</v>
      </c>
      <c r="X16">
        <f t="shared" si="9"/>
        <v>3196607.1428571427</v>
      </c>
      <c r="Y16">
        <f t="shared" si="9"/>
        <v>3008571.4285714282</v>
      </c>
      <c r="Z16">
        <f t="shared" si="9"/>
        <v>2820535.7142857141</v>
      </c>
      <c r="AA16">
        <f t="shared" si="9"/>
        <v>2632500</v>
      </c>
      <c r="AB16">
        <f t="shared" si="9"/>
        <v>2444464.2857142854</v>
      </c>
      <c r="AC16">
        <f t="shared" si="9"/>
        <v>2256428.5714285714</v>
      </c>
      <c r="AD16">
        <f t="shared" si="9"/>
        <v>2068392.857142857</v>
      </c>
      <c r="AE16">
        <f t="shared" si="9"/>
        <v>1880357.1428571425</v>
      </c>
      <c r="AF16">
        <f t="shared" si="9"/>
        <v>1692321.4285714284</v>
      </c>
      <c r="AG16">
        <f t="shared" si="9"/>
        <v>1504285.7142857141</v>
      </c>
      <c r="AH16">
        <f t="shared" si="9"/>
        <v>1316250</v>
      </c>
      <c r="AI16">
        <f t="shared" si="9"/>
        <v>1128214.2857142857</v>
      </c>
      <c r="AJ16">
        <f t="shared" si="9"/>
        <v>940178.57142857125</v>
      </c>
      <c r="AK16">
        <f t="shared" si="9"/>
        <v>752142.85714285704</v>
      </c>
      <c r="AL16">
        <f t="shared" si="9"/>
        <v>564107.14285714284</v>
      </c>
      <c r="AM16">
        <f t="shared" si="9"/>
        <v>376071.42857142852</v>
      </c>
      <c r="AN16">
        <f t="shared" si="9"/>
        <v>188035.71428571426</v>
      </c>
      <c r="AO16">
        <f>'Steel EI_per_Fe_Ton'!AO16*'Steel Fe_tons'!AO18</f>
        <v>0</v>
      </c>
    </row>
    <row r="17" spans="1:41" x14ac:dyDescent="0.15">
      <c r="A17" t="s">
        <v>51</v>
      </c>
      <c r="B17" t="s">
        <v>52</v>
      </c>
      <c r="C17" t="s">
        <v>53</v>
      </c>
    </row>
    <row r="18" spans="1:41" x14ac:dyDescent="0.15">
      <c r="A18" t="s">
        <v>54</v>
      </c>
      <c r="B18" t="s">
        <v>55</v>
      </c>
      <c r="C18" t="s">
        <v>56</v>
      </c>
      <c r="E18" s="4">
        <v>4741000</v>
      </c>
      <c r="F18" s="4">
        <v>4430700</v>
      </c>
      <c r="G18" s="4">
        <v>3715700</v>
      </c>
      <c r="H18" s="4">
        <v>1107681</v>
      </c>
      <c r="I18" s="4">
        <v>1106964</v>
      </c>
      <c r="J18" s="4">
        <v>815966</v>
      </c>
      <c r="K18" s="4">
        <v>580226</v>
      </c>
      <c r="L18">
        <f>($K18-$U18)*($U$1-L$1)/($U$1-$K$1)+$U18</f>
        <v>568621.48</v>
      </c>
      <c r="M18">
        <f t="shared" ref="M18:T18" si="11">($K18-$U18)*($U$1-M$1)/($U$1-$K$1)+$U18</f>
        <v>557016.96</v>
      </c>
      <c r="N18">
        <f t="shared" si="11"/>
        <v>545412.44000000006</v>
      </c>
      <c r="O18">
        <f t="shared" si="11"/>
        <v>533807.92000000004</v>
      </c>
      <c r="P18">
        <f t="shared" si="11"/>
        <v>522203.4</v>
      </c>
      <c r="Q18">
        <f t="shared" si="11"/>
        <v>510598.88</v>
      </c>
      <c r="R18">
        <f t="shared" si="11"/>
        <v>498994.36000000004</v>
      </c>
      <c r="S18">
        <f t="shared" si="11"/>
        <v>487389.84</v>
      </c>
      <c r="T18">
        <f t="shared" si="11"/>
        <v>475785.32000000007</v>
      </c>
      <c r="U18" s="4">
        <f>K18*0.8</f>
        <v>464180.80000000005</v>
      </c>
      <c r="V18">
        <f>($U18-$AE18)*($AE$1-V$1)/($AE$1-$U$1)+$AE18</f>
        <v>446774.02</v>
      </c>
      <c r="W18">
        <f t="shared" ref="W18:AD18" si="12">($U18-$AE18)*($AE$1-W$1)/($AE$1-$U$1)+$AE18</f>
        <v>429367.24000000005</v>
      </c>
      <c r="X18">
        <f t="shared" si="12"/>
        <v>411960.46</v>
      </c>
      <c r="Y18">
        <f t="shared" si="12"/>
        <v>394553.68000000005</v>
      </c>
      <c r="Z18">
        <f t="shared" si="12"/>
        <v>377146.9</v>
      </c>
      <c r="AA18">
        <f t="shared" si="12"/>
        <v>359740.12</v>
      </c>
      <c r="AB18">
        <f t="shared" si="12"/>
        <v>342333.34</v>
      </c>
      <c r="AC18">
        <f t="shared" si="12"/>
        <v>324926.56</v>
      </c>
      <c r="AD18">
        <f t="shared" si="12"/>
        <v>307519.78000000003</v>
      </c>
      <c r="AE18" s="4">
        <f>K18*0.5</f>
        <v>290113</v>
      </c>
      <c r="AF18">
        <f>$AE18*($AO$1-AF$1)/($AO$1-$AE$1)</f>
        <v>261101.7</v>
      </c>
      <c r="AG18">
        <f t="shared" ref="AG18:AN18" si="13">$AE18*($AO$1-AG$1)/($AO$1-$AE$1)</f>
        <v>232090.4</v>
      </c>
      <c r="AH18">
        <f t="shared" si="13"/>
        <v>203079.1</v>
      </c>
      <c r="AI18">
        <f t="shared" si="13"/>
        <v>174067.8</v>
      </c>
      <c r="AJ18">
        <f t="shared" si="13"/>
        <v>145056.5</v>
      </c>
      <c r="AK18">
        <f t="shared" si="13"/>
        <v>116045.2</v>
      </c>
      <c r="AL18">
        <f t="shared" si="13"/>
        <v>87033.9</v>
      </c>
      <c r="AM18">
        <f t="shared" si="13"/>
        <v>58022.6</v>
      </c>
      <c r="AN18">
        <f t="shared" si="13"/>
        <v>29011.3</v>
      </c>
      <c r="AO18">
        <v>0</v>
      </c>
    </row>
    <row r="19" spans="1:41" x14ac:dyDescent="0.15">
      <c r="A19" t="s">
        <v>57</v>
      </c>
      <c r="B19" t="s">
        <v>58</v>
      </c>
      <c r="C19" t="s">
        <v>59</v>
      </c>
      <c r="E19">
        <f t="shared" ref="E19:G19" si="14">F19</f>
        <v>1700245</v>
      </c>
      <c r="F19">
        <f t="shared" si="14"/>
        <v>1700245</v>
      </c>
      <c r="G19">
        <f t="shared" si="14"/>
        <v>1700245</v>
      </c>
      <c r="H19" s="4">
        <f>1700245</f>
        <v>1700245</v>
      </c>
      <c r="I19" s="4">
        <f>1863045</f>
        <v>1863045</v>
      </c>
      <c r="J19" s="4">
        <f>1744669</f>
        <v>1744669</v>
      </c>
      <c r="K19">
        <f t="shared" ref="K19:T19" si="15">($J19-$U19)*($U$1-K$1)/($U$1-$J$1)+$U19</f>
        <v>1694260.1363636362</v>
      </c>
      <c r="L19">
        <f t="shared" si="15"/>
        <v>1643851.2727272727</v>
      </c>
      <c r="M19">
        <f t="shared" si="15"/>
        <v>1593442.4090909092</v>
      </c>
      <c r="N19">
        <f t="shared" si="15"/>
        <v>1543033.5454545454</v>
      </c>
      <c r="O19">
        <f t="shared" si="15"/>
        <v>1492624.6818181819</v>
      </c>
      <c r="P19">
        <f t="shared" si="15"/>
        <v>1442215.8181818181</v>
      </c>
      <c r="Q19">
        <f t="shared" si="15"/>
        <v>1391806.9545454546</v>
      </c>
      <c r="R19">
        <f t="shared" si="15"/>
        <v>1341398.0909090908</v>
      </c>
      <c r="S19">
        <f t="shared" si="15"/>
        <v>1290989.2272727273</v>
      </c>
      <c r="T19">
        <f t="shared" si="15"/>
        <v>1240580.3636363635</v>
      </c>
      <c r="U19" s="4">
        <f>H19*0.7</f>
        <v>1190171.5</v>
      </c>
      <c r="V19">
        <f t="shared" ref="V19:AN22" si="16">$U19*($AO$1-V$1)/($AO$1-$U$1)</f>
        <v>1130662.925</v>
      </c>
      <c r="W19">
        <f t="shared" si="16"/>
        <v>1071154.3500000001</v>
      </c>
      <c r="X19">
        <f t="shared" si="16"/>
        <v>1011645.775</v>
      </c>
      <c r="Y19">
        <f t="shared" si="16"/>
        <v>952137.2</v>
      </c>
      <c r="Z19">
        <f t="shared" si="16"/>
        <v>892628.625</v>
      </c>
      <c r="AA19">
        <f t="shared" si="16"/>
        <v>833120.05</v>
      </c>
      <c r="AB19">
        <f t="shared" si="16"/>
        <v>773611.47499999998</v>
      </c>
      <c r="AC19">
        <f t="shared" si="16"/>
        <v>714102.9</v>
      </c>
      <c r="AD19">
        <f t="shared" si="16"/>
        <v>654594.32499999995</v>
      </c>
      <c r="AE19">
        <f t="shared" si="16"/>
        <v>595085.75</v>
      </c>
      <c r="AF19">
        <f t="shared" si="16"/>
        <v>535577.17500000005</v>
      </c>
      <c r="AG19">
        <f t="shared" si="16"/>
        <v>476068.6</v>
      </c>
      <c r="AH19">
        <f t="shared" si="16"/>
        <v>416560.02500000002</v>
      </c>
      <c r="AI19">
        <f t="shared" si="16"/>
        <v>357051.45</v>
      </c>
      <c r="AJ19">
        <f t="shared" si="16"/>
        <v>297542.875</v>
      </c>
      <c r="AK19">
        <f t="shared" si="16"/>
        <v>238034.3</v>
      </c>
      <c r="AL19">
        <f t="shared" si="16"/>
        <v>178525.72500000001</v>
      </c>
      <c r="AM19">
        <f t="shared" si="16"/>
        <v>119017.15</v>
      </c>
      <c r="AN19">
        <f t="shared" si="16"/>
        <v>59508.574999999997</v>
      </c>
      <c r="AO19">
        <f>'Steel EI_per_Fe_Ton'!AO19*'Steel Fe_tons'!AO21</f>
        <v>0</v>
      </c>
    </row>
    <row r="20" spans="1:41" x14ac:dyDescent="0.15">
      <c r="A20" t="s">
        <v>60</v>
      </c>
      <c r="B20" t="s">
        <v>61</v>
      </c>
      <c r="C20" t="s">
        <v>62</v>
      </c>
      <c r="E20">
        <f t="shared" ref="E20:H22" si="17">F20</f>
        <v>1000000</v>
      </c>
      <c r="F20">
        <f t="shared" si="17"/>
        <v>1000000</v>
      </c>
      <c r="G20">
        <f t="shared" si="17"/>
        <v>1000000</v>
      </c>
      <c r="H20">
        <f t="shared" si="17"/>
        <v>1000000</v>
      </c>
      <c r="I20" s="4">
        <v>1000000</v>
      </c>
      <c r="J20" s="4">
        <v>800000</v>
      </c>
      <c r="K20" s="4">
        <v>400000</v>
      </c>
      <c r="L20" s="4">
        <v>800000</v>
      </c>
      <c r="M20">
        <f>($L20-$U20)*($U$1-M$1)/($U$1-$L$1)+$U20</f>
        <v>788888.88888888888</v>
      </c>
      <c r="N20">
        <f t="shared" ref="N20:T20" si="18">($L20-$U20)*($U$1-N$1)/($U$1-$L$1)+$U20</f>
        <v>777777.77777777775</v>
      </c>
      <c r="O20">
        <f t="shared" si="18"/>
        <v>766666.66666666663</v>
      </c>
      <c r="P20">
        <f t="shared" si="18"/>
        <v>755555.5555555555</v>
      </c>
      <c r="Q20">
        <f t="shared" si="18"/>
        <v>744444.4444444445</v>
      </c>
      <c r="R20">
        <f t="shared" si="18"/>
        <v>733333.33333333337</v>
      </c>
      <c r="S20">
        <f t="shared" si="18"/>
        <v>722222.22222222225</v>
      </c>
      <c r="T20">
        <f t="shared" si="18"/>
        <v>711111.11111111112</v>
      </c>
      <c r="U20" s="4">
        <f>I20*0.7</f>
        <v>700000</v>
      </c>
      <c r="V20">
        <f t="shared" si="16"/>
        <v>665000</v>
      </c>
      <c r="W20">
        <f t="shared" si="16"/>
        <v>630000</v>
      </c>
      <c r="X20">
        <f t="shared" si="16"/>
        <v>595000</v>
      </c>
      <c r="Y20">
        <f t="shared" si="16"/>
        <v>560000</v>
      </c>
      <c r="Z20">
        <f t="shared" si="16"/>
        <v>525000</v>
      </c>
      <c r="AA20">
        <f t="shared" si="16"/>
        <v>490000</v>
      </c>
      <c r="AB20">
        <f t="shared" si="16"/>
        <v>455000</v>
      </c>
      <c r="AC20">
        <f t="shared" si="16"/>
        <v>420000</v>
      </c>
      <c r="AD20">
        <f t="shared" si="16"/>
        <v>385000</v>
      </c>
      <c r="AE20">
        <f t="shared" si="16"/>
        <v>350000</v>
      </c>
      <c r="AF20">
        <f t="shared" si="16"/>
        <v>315000</v>
      </c>
      <c r="AG20">
        <f t="shared" si="16"/>
        <v>280000</v>
      </c>
      <c r="AH20">
        <f t="shared" si="16"/>
        <v>245000</v>
      </c>
      <c r="AI20">
        <f t="shared" si="16"/>
        <v>210000</v>
      </c>
      <c r="AJ20">
        <f t="shared" si="16"/>
        <v>175000</v>
      </c>
      <c r="AK20">
        <f t="shared" si="16"/>
        <v>140000</v>
      </c>
      <c r="AL20">
        <f t="shared" si="16"/>
        <v>105000</v>
      </c>
      <c r="AM20">
        <f t="shared" si="16"/>
        <v>70000</v>
      </c>
      <c r="AN20">
        <f t="shared" si="16"/>
        <v>35000</v>
      </c>
      <c r="AO20">
        <v>0</v>
      </c>
    </row>
    <row r="21" spans="1:41" x14ac:dyDescent="0.15">
      <c r="A21" t="s">
        <v>63</v>
      </c>
      <c r="B21" t="s">
        <v>64</v>
      </c>
      <c r="C21" t="s">
        <v>65</v>
      </c>
      <c r="E21" s="3">
        <f t="shared" si="17"/>
        <v>858941</v>
      </c>
      <c r="F21" s="3">
        <f t="shared" si="17"/>
        <v>858941</v>
      </c>
      <c r="G21" s="3">
        <f t="shared" si="17"/>
        <v>858941</v>
      </c>
      <c r="H21" s="3">
        <f t="shared" si="17"/>
        <v>858941</v>
      </c>
      <c r="I21" s="6">
        <v>858941</v>
      </c>
      <c r="J21" s="6">
        <v>1141024</v>
      </c>
      <c r="K21" s="6">
        <v>1154111</v>
      </c>
      <c r="L21">
        <f t="shared" ref="L21:T22" si="19">($K21-$U21)*($U$1-L$1)/($U$1-$K$1)+$U21</f>
        <v>1107415.1800000002</v>
      </c>
      <c r="M21">
        <f t="shared" si="19"/>
        <v>1060719.3599999999</v>
      </c>
      <c r="N21">
        <f t="shared" si="19"/>
        <v>1014023.54</v>
      </c>
      <c r="O21">
        <f t="shared" si="19"/>
        <v>967327.72</v>
      </c>
      <c r="P21">
        <f t="shared" si="19"/>
        <v>920631.9</v>
      </c>
      <c r="Q21">
        <f t="shared" si="19"/>
        <v>873936.08000000007</v>
      </c>
      <c r="R21">
        <f t="shared" si="19"/>
        <v>827240.26</v>
      </c>
      <c r="S21">
        <f t="shared" si="19"/>
        <v>780544.44000000006</v>
      </c>
      <c r="T21">
        <f t="shared" si="19"/>
        <v>733848.62</v>
      </c>
      <c r="U21" s="4">
        <f>I21*0.8</f>
        <v>687152.8</v>
      </c>
      <c r="V21">
        <f t="shared" si="16"/>
        <v>652795.16</v>
      </c>
      <c r="W21">
        <f t="shared" si="16"/>
        <v>618437.52</v>
      </c>
      <c r="X21">
        <f t="shared" si="16"/>
        <v>584079.88000000012</v>
      </c>
      <c r="Y21">
        <f t="shared" si="16"/>
        <v>549722.24</v>
      </c>
      <c r="Z21">
        <f t="shared" si="16"/>
        <v>515364.6</v>
      </c>
      <c r="AA21">
        <f t="shared" si="16"/>
        <v>481006.96000000008</v>
      </c>
      <c r="AB21">
        <f t="shared" si="16"/>
        <v>446649.32</v>
      </c>
      <c r="AC21">
        <f t="shared" si="16"/>
        <v>412291.68000000005</v>
      </c>
      <c r="AD21">
        <f t="shared" si="16"/>
        <v>377934.04000000004</v>
      </c>
      <c r="AE21">
        <f t="shared" si="16"/>
        <v>343576.4</v>
      </c>
      <c r="AF21">
        <f t="shared" si="16"/>
        <v>309218.76</v>
      </c>
      <c r="AG21">
        <f t="shared" si="16"/>
        <v>274861.12</v>
      </c>
      <c r="AH21">
        <f t="shared" si="16"/>
        <v>240503.48000000004</v>
      </c>
      <c r="AI21">
        <f t="shared" si="16"/>
        <v>206145.84000000003</v>
      </c>
      <c r="AJ21">
        <f t="shared" si="16"/>
        <v>171788.2</v>
      </c>
      <c r="AK21">
        <f t="shared" si="16"/>
        <v>137430.56</v>
      </c>
      <c r="AL21">
        <f t="shared" si="16"/>
        <v>103072.92000000001</v>
      </c>
      <c r="AM21">
        <f t="shared" si="16"/>
        <v>68715.28</v>
      </c>
      <c r="AN21">
        <f t="shared" si="16"/>
        <v>34357.64</v>
      </c>
      <c r="AO21">
        <v>0</v>
      </c>
    </row>
    <row r="22" spans="1:41" x14ac:dyDescent="0.15">
      <c r="A22" t="s">
        <v>66</v>
      </c>
      <c r="B22" t="s">
        <v>67</v>
      </c>
      <c r="C22" t="s">
        <v>68</v>
      </c>
      <c r="E22" s="3">
        <f t="shared" si="17"/>
        <v>371530</v>
      </c>
      <c r="F22" s="3">
        <f t="shared" si="17"/>
        <v>371530</v>
      </c>
      <c r="G22" s="3">
        <f t="shared" si="17"/>
        <v>371530</v>
      </c>
      <c r="H22" s="3">
        <f t="shared" si="17"/>
        <v>371530</v>
      </c>
      <c r="I22" s="11">
        <v>371530</v>
      </c>
      <c r="J22" s="11">
        <v>336550</v>
      </c>
      <c r="K22" s="11">
        <v>316640</v>
      </c>
      <c r="L22">
        <f t="shared" si="19"/>
        <v>307267.8</v>
      </c>
      <c r="M22">
        <f t="shared" si="19"/>
        <v>297895.59999999998</v>
      </c>
      <c r="N22">
        <f t="shared" si="19"/>
        <v>288523.40000000002</v>
      </c>
      <c r="O22">
        <f t="shared" si="19"/>
        <v>279151.2</v>
      </c>
      <c r="P22">
        <f t="shared" si="19"/>
        <v>269779</v>
      </c>
      <c r="Q22">
        <f t="shared" si="19"/>
        <v>260406.8</v>
      </c>
      <c r="R22">
        <f t="shared" si="19"/>
        <v>251034.6</v>
      </c>
      <c r="S22">
        <f t="shared" si="19"/>
        <v>241662.4</v>
      </c>
      <c r="T22">
        <f t="shared" si="19"/>
        <v>232290.2</v>
      </c>
      <c r="U22" s="4">
        <f>I22*0.6</f>
        <v>222918</v>
      </c>
      <c r="V22">
        <f t="shared" si="16"/>
        <v>211772.1</v>
      </c>
      <c r="W22">
        <f t="shared" si="16"/>
        <v>200626.2</v>
      </c>
      <c r="X22">
        <f t="shared" si="16"/>
        <v>189480.3</v>
      </c>
      <c r="Y22">
        <f t="shared" si="16"/>
        <v>178334.4</v>
      </c>
      <c r="Z22">
        <f t="shared" si="16"/>
        <v>167188.5</v>
      </c>
      <c r="AA22">
        <f t="shared" si="16"/>
        <v>156042.6</v>
      </c>
      <c r="AB22">
        <f t="shared" si="16"/>
        <v>144896.70000000001</v>
      </c>
      <c r="AC22">
        <f t="shared" si="16"/>
        <v>133750.79999999999</v>
      </c>
      <c r="AD22">
        <f t="shared" si="16"/>
        <v>122604.9</v>
      </c>
      <c r="AE22">
        <f t="shared" si="16"/>
        <v>111459</v>
      </c>
      <c r="AF22">
        <f t="shared" si="16"/>
        <v>100313.1</v>
      </c>
      <c r="AG22">
        <f t="shared" si="16"/>
        <v>89167.2</v>
      </c>
      <c r="AH22">
        <f t="shared" si="16"/>
        <v>78021.3</v>
      </c>
      <c r="AI22">
        <f t="shared" si="16"/>
        <v>66875.399999999994</v>
      </c>
      <c r="AJ22">
        <f t="shared" si="16"/>
        <v>55729.5</v>
      </c>
      <c r="AK22">
        <f t="shared" si="16"/>
        <v>44583.6</v>
      </c>
      <c r="AL22">
        <f t="shared" si="16"/>
        <v>33437.699999999997</v>
      </c>
      <c r="AM22">
        <f t="shared" si="16"/>
        <v>22291.8</v>
      </c>
      <c r="AN22">
        <f t="shared" si="16"/>
        <v>11145.9</v>
      </c>
      <c r="AO22">
        <v>0</v>
      </c>
    </row>
    <row r="23" spans="1:41" x14ac:dyDescent="0.15">
      <c r="A23" t="s">
        <v>69</v>
      </c>
      <c r="B23" t="s">
        <v>70</v>
      </c>
      <c r="C23" t="s">
        <v>71</v>
      </c>
    </row>
    <row r="24" spans="1:41" x14ac:dyDescent="0.15">
      <c r="A24" t="s">
        <v>72</v>
      </c>
      <c r="B24" t="s">
        <v>73</v>
      </c>
      <c r="C24" t="s">
        <v>74</v>
      </c>
      <c r="E24" s="3">
        <f>F24</f>
        <v>3200000</v>
      </c>
      <c r="F24" s="3">
        <f>G24</f>
        <v>3200000</v>
      </c>
      <c r="G24" s="4">
        <f>3200000</f>
        <v>3200000</v>
      </c>
      <c r="H24" s="4">
        <v>3300000</v>
      </c>
      <c r="I24" s="4">
        <v>3300000</v>
      </c>
      <c r="J24" s="4">
        <v>3200000</v>
      </c>
      <c r="K24" s="4">
        <v>2000000</v>
      </c>
      <c r="L24">
        <f t="shared" ref="L24:T26" si="20">($K24-$U24)*($U$1-L$1)/($U$1-$K$1)+$U24</f>
        <v>2064000</v>
      </c>
      <c r="M24">
        <f t="shared" si="20"/>
        <v>2128000</v>
      </c>
      <c r="N24">
        <f t="shared" si="20"/>
        <v>2192000</v>
      </c>
      <c r="O24">
        <f t="shared" si="20"/>
        <v>2256000</v>
      </c>
      <c r="P24">
        <f t="shared" si="20"/>
        <v>2320000</v>
      </c>
      <c r="Q24">
        <f t="shared" si="20"/>
        <v>2384000</v>
      </c>
      <c r="R24">
        <f t="shared" si="20"/>
        <v>2448000</v>
      </c>
      <c r="S24">
        <f t="shared" si="20"/>
        <v>2512000</v>
      </c>
      <c r="T24">
        <f t="shared" si="20"/>
        <v>2576000</v>
      </c>
      <c r="U24" s="4">
        <f>I24*0.8</f>
        <v>2640000</v>
      </c>
      <c r="V24">
        <f t="shared" ref="V24:AN26" si="21">$U24*($AO$1-V$1)/($AO$1-$U$1)</f>
        <v>2508000</v>
      </c>
      <c r="W24">
        <f t="shared" si="21"/>
        <v>2376000</v>
      </c>
      <c r="X24">
        <f t="shared" si="21"/>
        <v>2244000</v>
      </c>
      <c r="Y24">
        <f t="shared" si="21"/>
        <v>2112000</v>
      </c>
      <c r="Z24">
        <f t="shared" si="21"/>
        <v>1980000</v>
      </c>
      <c r="AA24">
        <f t="shared" si="21"/>
        <v>1848000</v>
      </c>
      <c r="AB24">
        <f t="shared" si="21"/>
        <v>1716000</v>
      </c>
      <c r="AC24">
        <f t="shared" si="21"/>
        <v>1584000</v>
      </c>
      <c r="AD24">
        <f t="shared" si="21"/>
        <v>1452000</v>
      </c>
      <c r="AE24">
        <f t="shared" si="21"/>
        <v>1320000</v>
      </c>
      <c r="AF24">
        <f t="shared" si="21"/>
        <v>1188000</v>
      </c>
      <c r="AG24">
        <f t="shared" si="21"/>
        <v>1056000</v>
      </c>
      <c r="AH24">
        <f t="shared" si="21"/>
        <v>924000</v>
      </c>
      <c r="AI24">
        <f t="shared" si="21"/>
        <v>792000</v>
      </c>
      <c r="AJ24">
        <f t="shared" si="21"/>
        <v>660000</v>
      </c>
      <c r="AK24">
        <f t="shared" si="21"/>
        <v>528000</v>
      </c>
      <c r="AL24">
        <f t="shared" si="21"/>
        <v>396000</v>
      </c>
      <c r="AM24">
        <f t="shared" si="21"/>
        <v>264000</v>
      </c>
      <c r="AN24">
        <f t="shared" si="21"/>
        <v>132000</v>
      </c>
      <c r="AO24">
        <v>0</v>
      </c>
    </row>
    <row r="25" spans="1:41" x14ac:dyDescent="0.15">
      <c r="A25" t="s">
        <v>75</v>
      </c>
      <c r="B25" t="s">
        <v>76</v>
      </c>
      <c r="C25" t="s">
        <v>77</v>
      </c>
    </row>
    <row r="26" spans="1:41" x14ac:dyDescent="0.15">
      <c r="A26" t="s">
        <v>78</v>
      </c>
      <c r="B26" t="s">
        <v>79</v>
      </c>
      <c r="C26" t="s">
        <v>80</v>
      </c>
      <c r="E26">
        <f>F26</f>
        <v>196200</v>
      </c>
      <c r="F26">
        <f>196200</f>
        <v>196200</v>
      </c>
      <c r="G26">
        <f>191840</f>
        <v>191840</v>
      </c>
      <c r="H26">
        <f>176617</f>
        <v>176617</v>
      </c>
      <c r="I26">
        <f>175958</f>
        <v>175958</v>
      </c>
      <c r="J26">
        <f>160799</f>
        <v>160799</v>
      </c>
      <c r="K26">
        <f>139201</f>
        <v>139201</v>
      </c>
      <c r="L26">
        <f t="shared" si="20"/>
        <v>137597.96</v>
      </c>
      <c r="M26">
        <f t="shared" si="20"/>
        <v>135994.91999999998</v>
      </c>
      <c r="N26">
        <f t="shared" si="20"/>
        <v>134391.88</v>
      </c>
      <c r="O26">
        <f t="shared" si="20"/>
        <v>132788.84</v>
      </c>
      <c r="P26">
        <f t="shared" si="20"/>
        <v>131185.79999999999</v>
      </c>
      <c r="Q26">
        <f t="shared" si="20"/>
        <v>129582.76</v>
      </c>
      <c r="R26">
        <f t="shared" si="20"/>
        <v>127979.72</v>
      </c>
      <c r="S26">
        <f t="shared" si="20"/>
        <v>126376.68</v>
      </c>
      <c r="T26">
        <f t="shared" si="20"/>
        <v>124773.63999999998</v>
      </c>
      <c r="U26" s="9">
        <f>I26*0.7</f>
        <v>123170.59999999999</v>
      </c>
      <c r="V26">
        <f t="shared" si="21"/>
        <v>117012.06999999999</v>
      </c>
      <c r="W26">
        <f t="shared" si="21"/>
        <v>110853.54</v>
      </c>
      <c r="X26">
        <f t="shared" si="21"/>
        <v>104695.01</v>
      </c>
      <c r="Y26">
        <f t="shared" si="21"/>
        <v>98536.48</v>
      </c>
      <c r="Z26">
        <f t="shared" si="21"/>
        <v>92377.949999999983</v>
      </c>
      <c r="AA26">
        <f t="shared" si="21"/>
        <v>86219.42</v>
      </c>
      <c r="AB26">
        <f t="shared" si="21"/>
        <v>80060.889999999985</v>
      </c>
      <c r="AC26">
        <f t="shared" si="21"/>
        <v>73902.36</v>
      </c>
      <c r="AD26">
        <f t="shared" si="21"/>
        <v>67743.829999999987</v>
      </c>
      <c r="AE26">
        <f t="shared" si="21"/>
        <v>61585.3</v>
      </c>
      <c r="AF26">
        <f t="shared" si="21"/>
        <v>55426.77</v>
      </c>
      <c r="AG26">
        <f t="shared" si="21"/>
        <v>49268.24</v>
      </c>
      <c r="AH26">
        <f t="shared" si="21"/>
        <v>43109.71</v>
      </c>
      <c r="AI26">
        <f t="shared" si="21"/>
        <v>36951.18</v>
      </c>
      <c r="AJ26">
        <f t="shared" si="21"/>
        <v>30792.65</v>
      </c>
      <c r="AK26">
        <f t="shared" si="21"/>
        <v>24634.12</v>
      </c>
      <c r="AL26">
        <f t="shared" si="21"/>
        <v>18475.59</v>
      </c>
      <c r="AM26">
        <f t="shared" si="21"/>
        <v>12317.06</v>
      </c>
      <c r="AN26">
        <f t="shared" si="21"/>
        <v>6158.53</v>
      </c>
      <c r="AO26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8E26-62DC-D344-B133-FBF1113E0AE0}">
  <dimension ref="A1:AO26"/>
  <sheetViews>
    <sheetView zoomScale="200" zoomScaleNormal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ColWidth="11.5" defaultRowHeight="13" x14ac:dyDescent="0.15"/>
  <cols>
    <col min="1" max="1" width="34.33203125" customWidth="1"/>
    <col min="2" max="2" width="23.5" customWidth="1"/>
  </cols>
  <sheetData>
    <row r="1" spans="1:41" x14ac:dyDescent="0.15">
      <c r="A1" t="s">
        <v>0</v>
      </c>
      <c r="B1" t="s">
        <v>1</v>
      </c>
      <c r="C1" t="s">
        <v>2</v>
      </c>
      <c r="E1">
        <v>2014</v>
      </c>
      <c r="F1">
        <f t="shared" ref="F1:AO1" si="0">E1+1</f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  <c r="Z1">
        <f t="shared" si="0"/>
        <v>2035</v>
      </c>
      <c r="AA1">
        <f t="shared" si="0"/>
        <v>2036</v>
      </c>
      <c r="AB1">
        <f t="shared" si="0"/>
        <v>2037</v>
      </c>
      <c r="AC1">
        <f t="shared" si="0"/>
        <v>2038</v>
      </c>
      <c r="AD1">
        <f t="shared" si="0"/>
        <v>2039</v>
      </c>
      <c r="AE1">
        <f t="shared" si="0"/>
        <v>2040</v>
      </c>
      <c r="AF1">
        <f t="shared" si="0"/>
        <v>2041</v>
      </c>
      <c r="AG1">
        <f t="shared" si="0"/>
        <v>2042</v>
      </c>
      <c r="AH1">
        <f t="shared" si="0"/>
        <v>2043</v>
      </c>
      <c r="AI1">
        <f t="shared" si="0"/>
        <v>2044</v>
      </c>
      <c r="AJ1">
        <f t="shared" si="0"/>
        <v>2045</v>
      </c>
      <c r="AK1">
        <f t="shared" si="0"/>
        <v>2046</v>
      </c>
      <c r="AL1">
        <f t="shared" si="0"/>
        <v>2047</v>
      </c>
      <c r="AM1">
        <f t="shared" si="0"/>
        <v>2048</v>
      </c>
      <c r="AN1">
        <f t="shared" si="0"/>
        <v>2049</v>
      </c>
      <c r="AO1">
        <f t="shared" si="0"/>
        <v>2050</v>
      </c>
    </row>
    <row r="2" spans="1:41" x14ac:dyDescent="0.15">
      <c r="A2" t="s">
        <v>9</v>
      </c>
      <c r="B2" t="s">
        <v>10</v>
      </c>
      <c r="C2" t="s">
        <v>11</v>
      </c>
    </row>
    <row r="3" spans="1:41" x14ac:dyDescent="0.15">
      <c r="A3" s="2" t="s">
        <v>83</v>
      </c>
      <c r="B3" s="2" t="s">
        <v>81</v>
      </c>
      <c r="C3" s="2" t="s">
        <v>82</v>
      </c>
      <c r="E3" s="9">
        <v>5249238.4840799998</v>
      </c>
      <c r="F3" s="9">
        <v>3490892.1815999998</v>
      </c>
      <c r="G3" s="9">
        <v>1934075.55568</v>
      </c>
      <c r="H3" s="9">
        <v>2449774.8339999998</v>
      </c>
      <c r="I3" s="9">
        <v>2449865.6460000002</v>
      </c>
      <c r="J3" s="9">
        <v>2194701.7039999999</v>
      </c>
      <c r="K3" s="9">
        <f>J3*27/32</f>
        <v>1851779.56275</v>
      </c>
      <c r="L3">
        <f t="shared" ref="L3:T3" si="1">($K3-$U3)*($U$1-L$1)/($U$1-$K$1)+$U3</f>
        <v>1850334.719025</v>
      </c>
      <c r="M3">
        <f t="shared" si="1"/>
        <v>1848889.8753</v>
      </c>
      <c r="N3">
        <f t="shared" si="1"/>
        <v>1847445.0315749999</v>
      </c>
      <c r="O3">
        <f t="shared" si="1"/>
        <v>1846000.1878499999</v>
      </c>
      <c r="P3">
        <f t="shared" si="1"/>
        <v>1844555.3441249998</v>
      </c>
      <c r="Q3">
        <f t="shared" si="1"/>
        <v>1843110.5004</v>
      </c>
      <c r="R3">
        <f t="shared" si="1"/>
        <v>1841665.656675</v>
      </c>
      <c r="S3">
        <f t="shared" si="1"/>
        <v>1840220.8129499999</v>
      </c>
      <c r="T3">
        <f t="shared" si="1"/>
        <v>1838775.9692249999</v>
      </c>
      <c r="U3" s="4">
        <f>H3*0.75</f>
        <v>1837331.1254999998</v>
      </c>
      <c r="V3">
        <f t="shared" ref="V3:AN3" si="2">$U3*($AO$1-V$1)/($AO$1-$U$1)</f>
        <v>1745464.5692249998</v>
      </c>
      <c r="W3">
        <f t="shared" si="2"/>
        <v>1653598.0129499999</v>
      </c>
      <c r="X3">
        <f t="shared" si="2"/>
        <v>1561731.456675</v>
      </c>
      <c r="Y3">
        <f t="shared" si="2"/>
        <v>1469864.9003999999</v>
      </c>
      <c r="Z3">
        <f t="shared" si="2"/>
        <v>1377998.3441249998</v>
      </c>
      <c r="AA3">
        <f t="shared" si="2"/>
        <v>1286131.78785</v>
      </c>
      <c r="AB3">
        <f t="shared" si="2"/>
        <v>1194265.2315749999</v>
      </c>
      <c r="AC3">
        <f t="shared" si="2"/>
        <v>1102398.6752999998</v>
      </c>
      <c r="AD3">
        <f t="shared" si="2"/>
        <v>1010532.119025</v>
      </c>
      <c r="AE3">
        <f t="shared" si="2"/>
        <v>918665.56274999992</v>
      </c>
      <c r="AF3">
        <f t="shared" si="2"/>
        <v>826799.00647499994</v>
      </c>
      <c r="AG3">
        <f t="shared" si="2"/>
        <v>734932.45019999996</v>
      </c>
      <c r="AH3">
        <f t="shared" si="2"/>
        <v>643065.89392499998</v>
      </c>
      <c r="AI3">
        <f t="shared" si="2"/>
        <v>551199.33764999988</v>
      </c>
      <c r="AJ3">
        <f t="shared" si="2"/>
        <v>459332.78137499996</v>
      </c>
      <c r="AK3">
        <f t="shared" si="2"/>
        <v>367466.22509999998</v>
      </c>
      <c r="AL3">
        <f t="shared" si="2"/>
        <v>275599.66882499994</v>
      </c>
      <c r="AM3">
        <f t="shared" si="2"/>
        <v>183733.11254999999</v>
      </c>
      <c r="AN3">
        <f t="shared" si="2"/>
        <v>91866.556274999995</v>
      </c>
      <c r="AO3">
        <v>0</v>
      </c>
    </row>
    <row r="4" spans="1:41" x14ac:dyDescent="0.15">
      <c r="A4" t="s">
        <v>12</v>
      </c>
      <c r="B4" t="s">
        <v>13</v>
      </c>
      <c r="C4" t="s">
        <v>14</v>
      </c>
      <c r="J4" s="1"/>
      <c r="L4" s="1"/>
    </row>
    <row r="5" spans="1:41" x14ac:dyDescent="0.15">
      <c r="A5" t="s">
        <v>15</v>
      </c>
      <c r="B5" t="s">
        <v>16</v>
      </c>
      <c r="C5" t="s">
        <v>17</v>
      </c>
    </row>
    <row r="6" spans="1:41" x14ac:dyDescent="0.15">
      <c r="A6" t="s">
        <v>18</v>
      </c>
      <c r="B6" t="s">
        <v>19</v>
      </c>
      <c r="C6" t="s">
        <v>20</v>
      </c>
    </row>
    <row r="7" spans="1:41" x14ac:dyDescent="0.15">
      <c r="A7" t="s">
        <v>21</v>
      </c>
      <c r="B7" t="s">
        <v>22</v>
      </c>
      <c r="C7" t="s">
        <v>23</v>
      </c>
    </row>
    <row r="8" spans="1:41" x14ac:dyDescent="0.15">
      <c r="A8" t="s">
        <v>24</v>
      </c>
      <c r="B8" t="s">
        <v>25</v>
      </c>
      <c r="C8" t="s">
        <v>26</v>
      </c>
    </row>
    <row r="9" spans="1:41" x14ac:dyDescent="0.15">
      <c r="A9" t="s">
        <v>27</v>
      </c>
      <c r="B9" t="s">
        <v>28</v>
      </c>
      <c r="C9" t="s">
        <v>29</v>
      </c>
    </row>
    <row r="10" spans="1:41" x14ac:dyDescent="0.15">
      <c r="A10" t="s">
        <v>30</v>
      </c>
      <c r="B10" t="s">
        <v>31</v>
      </c>
      <c r="C10" t="s">
        <v>32</v>
      </c>
    </row>
    <row r="11" spans="1:41" x14ac:dyDescent="0.15">
      <c r="A11" t="s">
        <v>33</v>
      </c>
      <c r="B11" t="s">
        <v>34</v>
      </c>
      <c r="C11" t="s">
        <v>35</v>
      </c>
    </row>
    <row r="12" spans="1:41" x14ac:dyDescent="0.15">
      <c r="A12" t="s">
        <v>36</v>
      </c>
      <c r="B12" t="s">
        <v>37</v>
      </c>
      <c r="C12" t="s">
        <v>38</v>
      </c>
    </row>
    <row r="13" spans="1:41" x14ac:dyDescent="0.15">
      <c r="A13" t="s">
        <v>39</v>
      </c>
      <c r="B13" t="s">
        <v>40</v>
      </c>
      <c r="C13" t="s">
        <v>41</v>
      </c>
    </row>
    <row r="14" spans="1:41" x14ac:dyDescent="0.15">
      <c r="A14" t="s">
        <v>42</v>
      </c>
      <c r="B14" t="s">
        <v>43</v>
      </c>
      <c r="C14" t="s">
        <v>44</v>
      </c>
    </row>
    <row r="15" spans="1:41" x14ac:dyDescent="0.15">
      <c r="A15" t="s">
        <v>45</v>
      </c>
      <c r="B15" t="s">
        <v>46</v>
      </c>
      <c r="C15" t="s">
        <v>47</v>
      </c>
      <c r="E15">
        <f>F15</f>
        <v>20957000</v>
      </c>
      <c r="F15">
        <f>G15</f>
        <v>20957000</v>
      </c>
      <c r="G15">
        <f>H15</f>
        <v>20957000</v>
      </c>
      <c r="H15" s="4">
        <f>17494000+1417000+422000+756000+5000+3000+12000+848000</f>
        <v>20957000</v>
      </c>
      <c r="I15" s="4">
        <f>17280000+1516000+368000+775000+5000+3000+13000+1231000</f>
        <v>21191000</v>
      </c>
      <c r="J15" s="4">
        <f>17063000+1656000+305000+683000+5000+4000+13000+1208000</f>
        <v>20937000</v>
      </c>
      <c r="K15" s="4">
        <f>14379000+1632000+291000+629000+4000+4000+14000+1125000</f>
        <v>18078000</v>
      </c>
      <c r="L15">
        <f>($K15-$U15)*($U$1-L$1)/($U$1-$K$1)+$U15</f>
        <v>17737190</v>
      </c>
      <c r="M15">
        <f t="shared" ref="M15:T15" si="3">($K15-$U15)*($U$1-M$1)/($U$1-$K$1)+$U15</f>
        <v>17396380</v>
      </c>
      <c r="N15">
        <f t="shared" si="3"/>
        <v>17055570</v>
      </c>
      <c r="O15">
        <f t="shared" si="3"/>
        <v>16714760</v>
      </c>
      <c r="P15">
        <f t="shared" si="3"/>
        <v>16373950</v>
      </c>
      <c r="Q15">
        <f t="shared" si="3"/>
        <v>16033140</v>
      </c>
      <c r="R15">
        <f t="shared" si="3"/>
        <v>15692330</v>
      </c>
      <c r="S15">
        <f t="shared" si="3"/>
        <v>15351520</v>
      </c>
      <c r="T15">
        <f t="shared" si="3"/>
        <v>15010710</v>
      </c>
      <c r="U15" s="4">
        <f>H15*0.7</f>
        <v>14669900</v>
      </c>
      <c r="V15">
        <f t="shared" ref="V15:AN15" si="4">$U15*($AO$1-V$1)/($AO$1-$U$1)</f>
        <v>13936405</v>
      </c>
      <c r="W15">
        <f t="shared" si="4"/>
        <v>13202910</v>
      </c>
      <c r="X15">
        <f t="shared" si="4"/>
        <v>12469415</v>
      </c>
      <c r="Y15">
        <f t="shared" si="4"/>
        <v>11735920</v>
      </c>
      <c r="Z15">
        <f t="shared" si="4"/>
        <v>11002425</v>
      </c>
      <c r="AA15">
        <f t="shared" si="4"/>
        <v>10268930</v>
      </c>
      <c r="AB15">
        <f t="shared" si="4"/>
        <v>9535435</v>
      </c>
      <c r="AC15">
        <f t="shared" si="4"/>
        <v>8801940</v>
      </c>
      <c r="AD15">
        <f t="shared" si="4"/>
        <v>8068445</v>
      </c>
      <c r="AE15">
        <f t="shared" si="4"/>
        <v>7334950</v>
      </c>
      <c r="AF15">
        <f t="shared" si="4"/>
        <v>6601455</v>
      </c>
      <c r="AG15">
        <f t="shared" si="4"/>
        <v>5867960</v>
      </c>
      <c r="AH15">
        <f t="shared" si="4"/>
        <v>5134465</v>
      </c>
      <c r="AI15">
        <f t="shared" si="4"/>
        <v>4400970</v>
      </c>
      <c r="AJ15">
        <f t="shared" si="4"/>
        <v>3667475</v>
      </c>
      <c r="AK15">
        <f t="shared" si="4"/>
        <v>2933980</v>
      </c>
      <c r="AL15">
        <f t="shared" si="4"/>
        <v>2200485</v>
      </c>
      <c r="AM15">
        <f t="shared" si="4"/>
        <v>1466990</v>
      </c>
      <c r="AN15">
        <f t="shared" si="4"/>
        <v>733495</v>
      </c>
      <c r="AO15">
        <f>'Steel EI_per_Fe_Ton'!AO15*'Steel Fe_tons'!AO17</f>
        <v>0</v>
      </c>
    </row>
    <row r="16" spans="1:41" x14ac:dyDescent="0.15">
      <c r="A16" t="s">
        <v>48</v>
      </c>
      <c r="B16" t="s">
        <v>49</v>
      </c>
      <c r="C16" t="s">
        <v>50</v>
      </c>
      <c r="E16">
        <f t="shared" ref="E16:H16" si="5">F16</f>
        <v>7557446.8085106378</v>
      </c>
      <c r="F16">
        <f t="shared" si="5"/>
        <v>7557446.8085106378</v>
      </c>
      <c r="G16">
        <f t="shared" si="5"/>
        <v>7557446.8085106378</v>
      </c>
      <c r="H16">
        <f t="shared" si="5"/>
        <v>7557446.8085106378</v>
      </c>
      <c r="I16" s="9">
        <f>$K16*'Steel CO2e S1'!I16/'Steel CO2e S1'!$K16</f>
        <v>7557446.8085106378</v>
      </c>
      <c r="J16" s="9">
        <f>$K16*'Steel CO2e S1'!J16/'Steel CO2e S1'!$K16</f>
        <v>6927659.5744680855</v>
      </c>
      <c r="K16" s="4">
        <v>7400000</v>
      </c>
      <c r="L16">
        <f>($K16-$U16)*($U$1-L$1)/($U$1-$K$1)+$U16</f>
        <v>7151234.0425531911</v>
      </c>
      <c r="M16">
        <f t="shared" ref="M16:T16" si="6">($K16-$U16)*($U$1-M$1)/($U$1-$K$1)+$U16</f>
        <v>6902468.0851063831</v>
      </c>
      <c r="N16">
        <f t="shared" si="6"/>
        <v>6653702.1276595742</v>
      </c>
      <c r="O16">
        <f t="shared" si="6"/>
        <v>6404936.1702127662</v>
      </c>
      <c r="P16">
        <f t="shared" si="6"/>
        <v>6156170.2127659572</v>
      </c>
      <c r="Q16">
        <f t="shared" si="6"/>
        <v>5907404.2553191483</v>
      </c>
      <c r="R16">
        <f t="shared" si="6"/>
        <v>5658638.2978723403</v>
      </c>
      <c r="S16">
        <f t="shared" si="6"/>
        <v>5409872.3404255314</v>
      </c>
      <c r="T16">
        <f t="shared" si="6"/>
        <v>5161106.3829787234</v>
      </c>
      <c r="U16" s="4">
        <f>H16*0.65</f>
        <v>4912340.4255319145</v>
      </c>
      <c r="V16">
        <f t="shared" ref="V16:AN16" si="7">$U16*($AO$1-V$1)/($AO$1-$U$1)</f>
        <v>4666723.4042553185</v>
      </c>
      <c r="W16">
        <f t="shared" si="7"/>
        <v>4421106.3829787234</v>
      </c>
      <c r="X16">
        <f t="shared" si="7"/>
        <v>4175489.3617021269</v>
      </c>
      <c r="Y16">
        <f t="shared" si="7"/>
        <v>3929872.3404255314</v>
      </c>
      <c r="Z16">
        <f t="shared" si="7"/>
        <v>3684255.3191489363</v>
      </c>
      <c r="AA16">
        <f t="shared" si="7"/>
        <v>3438638.2978723398</v>
      </c>
      <c r="AB16">
        <f t="shared" si="7"/>
        <v>3193021.2765957443</v>
      </c>
      <c r="AC16">
        <f t="shared" si="7"/>
        <v>2947404.2553191488</v>
      </c>
      <c r="AD16">
        <f t="shared" si="7"/>
        <v>2701787.2340425528</v>
      </c>
      <c r="AE16">
        <f t="shared" si="7"/>
        <v>2456170.2127659572</v>
      </c>
      <c r="AF16">
        <f t="shared" si="7"/>
        <v>2210553.1914893617</v>
      </c>
      <c r="AG16">
        <f t="shared" si="7"/>
        <v>1964936.1702127657</v>
      </c>
      <c r="AH16">
        <f t="shared" si="7"/>
        <v>1719319.1489361699</v>
      </c>
      <c r="AI16">
        <f t="shared" si="7"/>
        <v>1473702.1276595744</v>
      </c>
      <c r="AJ16">
        <f t="shared" si="7"/>
        <v>1228085.1063829786</v>
      </c>
      <c r="AK16">
        <f t="shared" si="7"/>
        <v>982468.08510638284</v>
      </c>
      <c r="AL16">
        <f t="shared" si="7"/>
        <v>736851.06382978719</v>
      </c>
      <c r="AM16">
        <f t="shared" si="7"/>
        <v>491234.04255319142</v>
      </c>
      <c r="AN16">
        <f t="shared" si="7"/>
        <v>245617.02127659571</v>
      </c>
      <c r="AO16">
        <f>'Steel EI_per_Fe_Ton'!AO16*'Steel Fe_tons'!AO18</f>
        <v>0</v>
      </c>
    </row>
    <row r="17" spans="1:41" x14ac:dyDescent="0.15">
      <c r="A17" t="s">
        <v>51</v>
      </c>
      <c r="B17" t="s">
        <v>52</v>
      </c>
      <c r="C17" t="s">
        <v>53</v>
      </c>
    </row>
    <row r="18" spans="1:41" x14ac:dyDescent="0.15">
      <c r="A18" t="s">
        <v>54</v>
      </c>
      <c r="B18" t="s">
        <v>55</v>
      </c>
      <c r="C18" t="s">
        <v>56</v>
      </c>
      <c r="E18">
        <f>F18</f>
        <v>18044000</v>
      </c>
      <c r="F18">
        <f>G18</f>
        <v>18044000</v>
      </c>
      <c r="G18">
        <f>H18</f>
        <v>18044000</v>
      </c>
      <c r="H18" s="4">
        <v>18044000</v>
      </c>
      <c r="I18" s="4">
        <v>18903000</v>
      </c>
      <c r="J18" s="4">
        <v>13139000</v>
      </c>
      <c r="K18" s="4">
        <v>11951000</v>
      </c>
      <c r="L18">
        <f>($K18-$U18)*($U$1-L$1)/($U$1-$K$1)+$U18</f>
        <v>11711980</v>
      </c>
      <c r="M18">
        <f t="shared" ref="M18:T18" si="8">($K18-$U18)*($U$1-M$1)/($U$1-$K$1)+$U18</f>
        <v>11472960</v>
      </c>
      <c r="N18">
        <f t="shared" si="8"/>
        <v>11233940</v>
      </c>
      <c r="O18">
        <f t="shared" si="8"/>
        <v>10994920</v>
      </c>
      <c r="P18">
        <f t="shared" si="8"/>
        <v>10755900</v>
      </c>
      <c r="Q18">
        <f t="shared" si="8"/>
        <v>10516880</v>
      </c>
      <c r="R18">
        <f t="shared" si="8"/>
        <v>10277860</v>
      </c>
      <c r="S18">
        <f t="shared" si="8"/>
        <v>10038840</v>
      </c>
      <c r="T18">
        <f t="shared" si="8"/>
        <v>9799820</v>
      </c>
      <c r="U18" s="4">
        <f>K18*0.8</f>
        <v>9560800</v>
      </c>
      <c r="V18">
        <f>($U18-$AE18)*($AE$1-V$1)/($AE$1-$U$1)+$AE18</f>
        <v>9202270</v>
      </c>
      <c r="W18">
        <f t="shared" ref="W18:AD18" si="9">($U18-$AE18)*($AE$1-W$1)/($AE$1-$U$1)+$AE18</f>
        <v>8843740</v>
      </c>
      <c r="X18">
        <f t="shared" si="9"/>
        <v>8485210</v>
      </c>
      <c r="Y18">
        <f t="shared" si="9"/>
        <v>8126680</v>
      </c>
      <c r="Z18">
        <f t="shared" si="9"/>
        <v>7768150</v>
      </c>
      <c r="AA18">
        <f t="shared" si="9"/>
        <v>7409620</v>
      </c>
      <c r="AB18">
        <f t="shared" si="9"/>
        <v>7051090</v>
      </c>
      <c r="AC18">
        <f t="shared" si="9"/>
        <v>6692560</v>
      </c>
      <c r="AD18">
        <f t="shared" si="9"/>
        <v>6334030</v>
      </c>
      <c r="AE18" s="4">
        <f>K18*0.5</f>
        <v>5975500</v>
      </c>
      <c r="AF18">
        <f>$AE18*($AO$1-AF$1)/($AO$1-$AE$1)</f>
        <v>5377950</v>
      </c>
      <c r="AG18">
        <f t="shared" ref="AG18:AN18" si="10">$AE18*($AO$1-AG$1)/($AO$1-$AE$1)</f>
        <v>4780400</v>
      </c>
      <c r="AH18">
        <f t="shared" si="10"/>
        <v>4182850</v>
      </c>
      <c r="AI18">
        <f t="shared" si="10"/>
        <v>3585300</v>
      </c>
      <c r="AJ18">
        <f t="shared" si="10"/>
        <v>2987750</v>
      </c>
      <c r="AK18">
        <f t="shared" si="10"/>
        <v>2390200</v>
      </c>
      <c r="AL18">
        <f t="shared" si="10"/>
        <v>1792650</v>
      </c>
      <c r="AM18">
        <f t="shared" si="10"/>
        <v>1195100</v>
      </c>
      <c r="AN18">
        <f t="shared" si="10"/>
        <v>597550</v>
      </c>
      <c r="AO18">
        <v>0</v>
      </c>
    </row>
    <row r="19" spans="1:41" x14ac:dyDescent="0.15">
      <c r="A19" t="s">
        <v>57</v>
      </c>
      <c r="B19" t="s">
        <v>58</v>
      </c>
      <c r="C19" t="s">
        <v>59</v>
      </c>
    </row>
    <row r="20" spans="1:41" x14ac:dyDescent="0.15">
      <c r="A20" t="s">
        <v>60</v>
      </c>
      <c r="B20" t="s">
        <v>61</v>
      </c>
      <c r="C20" t="s">
        <v>62</v>
      </c>
      <c r="E20">
        <f t="shared" ref="E20:H21" si="11">F20</f>
        <v>3200000</v>
      </c>
      <c r="F20">
        <f t="shared" si="11"/>
        <v>3200000</v>
      </c>
      <c r="G20">
        <f t="shared" si="11"/>
        <v>3200000</v>
      </c>
      <c r="H20">
        <f t="shared" si="11"/>
        <v>3200000</v>
      </c>
      <c r="I20" s="4">
        <v>3200000</v>
      </c>
      <c r="J20" s="4">
        <v>2300000</v>
      </c>
      <c r="K20" s="4">
        <v>1300000</v>
      </c>
      <c r="L20" s="4">
        <v>1700000</v>
      </c>
      <c r="M20" s="9">
        <f t="shared" ref="M20:T20" si="12">($J20-$U20)*($U$1-M$1)/($U$1-$J$1)+$U20</f>
        <v>2111818.1818181816</v>
      </c>
      <c r="N20" s="9">
        <f t="shared" si="12"/>
        <v>2049090.9090909092</v>
      </c>
      <c r="O20" s="9">
        <f t="shared" si="12"/>
        <v>1986363.6363636362</v>
      </c>
      <c r="P20" s="9">
        <f t="shared" si="12"/>
        <v>1923636.3636363638</v>
      </c>
      <c r="Q20" s="9">
        <f t="shared" si="12"/>
        <v>1860909.0909090908</v>
      </c>
      <c r="R20" s="9">
        <f t="shared" si="12"/>
        <v>1798181.8181818181</v>
      </c>
      <c r="S20" s="9">
        <f t="shared" si="12"/>
        <v>1735454.5454545454</v>
      </c>
      <c r="T20" s="9">
        <f t="shared" si="12"/>
        <v>1672727.2727272727</v>
      </c>
      <c r="U20" s="9">
        <f>J20*0.7</f>
        <v>1610000</v>
      </c>
      <c r="V20">
        <f t="shared" ref="V20:AN21" si="13">$U20*($AO$1-V$1)/($AO$1-$U$1)</f>
        <v>1529500</v>
      </c>
      <c r="W20">
        <f t="shared" si="13"/>
        <v>1449000</v>
      </c>
      <c r="X20">
        <f t="shared" si="13"/>
        <v>1368500</v>
      </c>
      <c r="Y20">
        <f t="shared" si="13"/>
        <v>1288000</v>
      </c>
      <c r="Z20">
        <f t="shared" si="13"/>
        <v>1207500</v>
      </c>
      <c r="AA20">
        <f t="shared" si="13"/>
        <v>1127000</v>
      </c>
      <c r="AB20">
        <f t="shared" si="13"/>
        <v>1046500</v>
      </c>
      <c r="AC20">
        <f t="shared" si="13"/>
        <v>966000</v>
      </c>
      <c r="AD20">
        <f t="shared" si="13"/>
        <v>885500</v>
      </c>
      <c r="AE20">
        <f t="shared" si="13"/>
        <v>805000</v>
      </c>
      <c r="AF20">
        <f t="shared" si="13"/>
        <v>724500</v>
      </c>
      <c r="AG20">
        <f t="shared" si="13"/>
        <v>644000</v>
      </c>
      <c r="AH20">
        <f t="shared" si="13"/>
        <v>563500</v>
      </c>
      <c r="AI20">
        <f t="shared" si="13"/>
        <v>483000</v>
      </c>
      <c r="AJ20">
        <f t="shared" si="13"/>
        <v>402500</v>
      </c>
      <c r="AK20">
        <f t="shared" si="13"/>
        <v>322000</v>
      </c>
      <c r="AL20">
        <f t="shared" si="13"/>
        <v>241500</v>
      </c>
      <c r="AM20">
        <f t="shared" si="13"/>
        <v>161000</v>
      </c>
      <c r="AN20">
        <f t="shared" si="13"/>
        <v>80500</v>
      </c>
      <c r="AO20">
        <v>0</v>
      </c>
    </row>
    <row r="21" spans="1:41" x14ac:dyDescent="0.15">
      <c r="A21" t="s">
        <v>63</v>
      </c>
      <c r="B21" t="s">
        <v>64</v>
      </c>
      <c r="C21" t="s">
        <v>65</v>
      </c>
      <c r="E21" s="3">
        <f t="shared" si="11"/>
        <v>1056210</v>
      </c>
      <c r="F21" s="3">
        <f t="shared" si="11"/>
        <v>1056210</v>
      </c>
      <c r="G21" s="3">
        <f t="shared" si="11"/>
        <v>1056210</v>
      </c>
      <c r="H21" s="3">
        <f t="shared" si="11"/>
        <v>1056210</v>
      </c>
      <c r="I21" s="6">
        <v>1056210</v>
      </c>
      <c r="J21" s="6">
        <v>910292</v>
      </c>
      <c r="K21" s="6">
        <v>767666</v>
      </c>
      <c r="L21">
        <f t="shared" ref="L21:T21" si="14">($K21-$U21)*($U$1-L$1)/($U$1-$K$1)+$U21</f>
        <v>764834.1</v>
      </c>
      <c r="M21">
        <f t="shared" si="14"/>
        <v>762002.2</v>
      </c>
      <c r="N21">
        <f t="shared" si="14"/>
        <v>759170.3</v>
      </c>
      <c r="O21">
        <f t="shared" si="14"/>
        <v>756338.4</v>
      </c>
      <c r="P21">
        <f t="shared" si="14"/>
        <v>753506.5</v>
      </c>
      <c r="Q21">
        <f t="shared" si="14"/>
        <v>750674.6</v>
      </c>
      <c r="R21">
        <f t="shared" si="14"/>
        <v>747842.7</v>
      </c>
      <c r="S21">
        <f t="shared" si="14"/>
        <v>745010.8</v>
      </c>
      <c r="T21">
        <f t="shared" si="14"/>
        <v>742178.9</v>
      </c>
      <c r="U21" s="9">
        <f>I21*0.7</f>
        <v>739347</v>
      </c>
      <c r="V21">
        <f t="shared" si="13"/>
        <v>702379.65</v>
      </c>
      <c r="W21">
        <f t="shared" si="13"/>
        <v>665412.30000000005</v>
      </c>
      <c r="X21">
        <f t="shared" si="13"/>
        <v>628444.94999999995</v>
      </c>
      <c r="Y21">
        <f t="shared" si="13"/>
        <v>591477.6</v>
      </c>
      <c r="Z21">
        <f t="shared" si="13"/>
        <v>554510.25</v>
      </c>
      <c r="AA21">
        <f t="shared" si="13"/>
        <v>517542.9</v>
      </c>
      <c r="AB21">
        <f t="shared" si="13"/>
        <v>480575.55</v>
      </c>
      <c r="AC21">
        <f t="shared" si="13"/>
        <v>443608.2</v>
      </c>
      <c r="AD21">
        <f t="shared" si="13"/>
        <v>406640.85</v>
      </c>
      <c r="AE21">
        <f t="shared" si="13"/>
        <v>369673.5</v>
      </c>
      <c r="AF21">
        <f t="shared" si="13"/>
        <v>332706.15000000002</v>
      </c>
      <c r="AG21">
        <f t="shared" si="13"/>
        <v>295738.8</v>
      </c>
      <c r="AH21">
        <f t="shared" si="13"/>
        <v>258771.45</v>
      </c>
      <c r="AI21">
        <f t="shared" si="13"/>
        <v>221804.1</v>
      </c>
      <c r="AJ21">
        <f t="shared" si="13"/>
        <v>184836.75</v>
      </c>
      <c r="AK21">
        <f t="shared" si="13"/>
        <v>147869.4</v>
      </c>
      <c r="AL21">
        <f t="shared" si="13"/>
        <v>110902.05</v>
      </c>
      <c r="AM21">
        <f t="shared" si="13"/>
        <v>73934.7</v>
      </c>
      <c r="AN21">
        <f t="shared" si="13"/>
        <v>36967.35</v>
      </c>
      <c r="AO21">
        <v>0</v>
      </c>
    </row>
    <row r="22" spans="1:41" x14ac:dyDescent="0.15">
      <c r="A22" t="s">
        <v>66</v>
      </c>
      <c r="B22" t="s">
        <v>67</v>
      </c>
      <c r="C22" t="s">
        <v>68</v>
      </c>
      <c r="E22" s="10">
        <v>421722</v>
      </c>
      <c r="F22" s="10">
        <v>421722</v>
      </c>
      <c r="G22" s="10">
        <v>421722</v>
      </c>
      <c r="H22" s="10">
        <v>421722</v>
      </c>
      <c r="I22" s="10">
        <v>421722</v>
      </c>
      <c r="J22" s="10">
        <v>298526</v>
      </c>
      <c r="K22" s="10">
        <v>197605</v>
      </c>
      <c r="L22">
        <f>'Steel EI_per_Fe_Ton'!L22*'Steel Fe_tons'!L24</f>
        <v>84331.329301180434</v>
      </c>
      <c r="M22">
        <f>'Steel EI_per_Fe_Ton'!M22*'Steel Fe_tons'!M24</f>
        <v>82615.661466280144</v>
      </c>
      <c r="N22">
        <f>'Steel EI_per_Fe_Ton'!N22*'Steel Fe_tons'!N24</f>
        <v>80629.708065648389</v>
      </c>
      <c r="O22">
        <f>'Steel EI_per_Fe_Ton'!O22*'Steel Fe_tons'!O24</f>
        <v>78565.587539167798</v>
      </c>
      <c r="P22">
        <f>'Steel EI_per_Fe_Ton'!P22*'Steel Fe_tons'!P24</f>
        <v>76421.401712577979</v>
      </c>
      <c r="Q22">
        <f>'Steel EI_per_Fe_Ton'!Q22*'Steel Fe_tons'!Q24</f>
        <v>74195.213053994172</v>
      </c>
      <c r="R22">
        <f>'Steel EI_per_Fe_Ton'!R22*'Steel Fe_tons'!R24</f>
        <v>71885.043920267533</v>
      </c>
      <c r="S22">
        <f>'Steel EI_per_Fe_Ton'!S22*'Steel Fe_tons'!S24</f>
        <v>69488.875789591941</v>
      </c>
      <c r="T22">
        <f>'Steel EI_per_Fe_Ton'!T22*'Steel Fe_tons'!T24</f>
        <v>67004.648480114018</v>
      </c>
      <c r="U22">
        <f>I22*0.6</f>
        <v>253033.19999999998</v>
      </c>
      <c r="V22">
        <f>'Steel EI_per_Fe_Ton'!V22*'Steel Fe_tons'!V24</f>
        <v>62126.877582382898</v>
      </c>
      <c r="W22">
        <f>'Steel EI_per_Fe_Ton'!W22*'Steel Fe_tons'!W24</f>
        <v>59739.897548954505</v>
      </c>
      <c r="X22">
        <f>'Steel EI_per_Fe_Ton'!X22*'Steel Fe_tons'!X24</f>
        <v>57267.329567067201</v>
      </c>
      <c r="Y22">
        <f>'Steel EI_per_Fe_Ton'!Y22*'Steel Fe_tons'!Y24</f>
        <v>54707.143068774778</v>
      </c>
      <c r="Z22">
        <f>'Steel EI_per_Fe_Ton'!Z22*'Steel Fe_tons'!Z24</f>
        <v>52057.265826380994</v>
      </c>
      <c r="AA22">
        <f>'Steel EI_per_Fe_Ton'!AA22*'Steel Fe_tons'!AA24</f>
        <v>49315.583159524926</v>
      </c>
      <c r="AB22">
        <f>'Steel EI_per_Fe_Ton'!AB22*'Steel Fe_tons'!AB24</f>
        <v>46479.93712785223</v>
      </c>
      <c r="AC22">
        <f>'Steel EI_per_Fe_Ton'!AC22*'Steel Fe_tons'!AC24</f>
        <v>43548.125709018481</v>
      </c>
      <c r="AD22">
        <f>'Steel EI_per_Fe_Ton'!AD22*'Steel Fe_tons'!AD24</f>
        <v>40517.901961765921</v>
      </c>
      <c r="AE22">
        <f>'Steel EI_per_Fe_Ton'!AE22*'Steel Fe_tons'!AE24</f>
        <v>37386.973173811282</v>
      </c>
      <c r="AF22">
        <f>'Steel EI_per_Fe_Ton'!AF22*'Steel Fe_tons'!AF24</f>
        <v>34152.999994276601</v>
      </c>
      <c r="AG22">
        <f>'Steel EI_per_Fe_Ton'!AG22*'Steel Fe_tons'!AG24</f>
        <v>30813.595550391779</v>
      </c>
      <c r="AH22">
        <f>'Steel EI_per_Fe_Ton'!AH22*'Steel Fe_tons'!AH24</f>
        <v>27366.324548191693</v>
      </c>
      <c r="AI22">
        <f>'Steel EI_per_Fe_Ton'!AI22*'Steel Fe_tons'!AI24</f>
        <v>23808.702356926773</v>
      </c>
      <c r="AJ22">
        <f>'Steel EI_per_Fe_Ton'!AJ22*'Steel Fe_tons'!AJ24</f>
        <v>20138.194076900556</v>
      </c>
      <c r="AK22">
        <f>'Steel EI_per_Fe_Ton'!AK22*'Steel Fe_tons'!AK24</f>
        <v>16352.213590443251</v>
      </c>
      <c r="AL22">
        <f>'Steel EI_per_Fe_Ton'!AL22*'Steel Fe_tons'!AL24</f>
        <v>12448.122595724923</v>
      </c>
      <c r="AM22">
        <f>'Steel EI_per_Fe_Ton'!AM22*'Steel Fe_tons'!AM24</f>
        <v>8423.2296231071978</v>
      </c>
      <c r="AN22">
        <f>'Steel EI_per_Fe_Ton'!AN22*'Steel Fe_tons'!AN24</f>
        <v>4274.7890337269009</v>
      </c>
      <c r="AO22">
        <v>0</v>
      </c>
    </row>
    <row r="23" spans="1:41" x14ac:dyDescent="0.15">
      <c r="A23" t="s">
        <v>69</v>
      </c>
      <c r="B23" t="s">
        <v>70</v>
      </c>
      <c r="C23" t="s">
        <v>71</v>
      </c>
    </row>
    <row r="24" spans="1:41" x14ac:dyDescent="0.15">
      <c r="A24" t="s">
        <v>72</v>
      </c>
      <c r="B24" t="s">
        <v>73</v>
      </c>
      <c r="C24" t="s">
        <v>74</v>
      </c>
    </row>
    <row r="25" spans="1:41" x14ac:dyDescent="0.15">
      <c r="A25" t="s">
        <v>75</v>
      </c>
      <c r="B25" t="s">
        <v>76</v>
      </c>
      <c r="C25" t="s">
        <v>77</v>
      </c>
    </row>
    <row r="26" spans="1:41" x14ac:dyDescent="0.15">
      <c r="A26" t="s">
        <v>78</v>
      </c>
      <c r="B26" t="s">
        <v>79</v>
      </c>
      <c r="C26" t="s">
        <v>80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Steel EI_per_Fe_Ton</vt:lpstr>
      <vt:lpstr>Steel Fe_tons</vt:lpstr>
      <vt:lpstr>Steel CO2e S1</vt:lpstr>
      <vt:lpstr>Steel CO2e S2</vt:lpstr>
      <vt:lpstr>Steel CO2e 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Tiemann</cp:lastModifiedBy>
  <dcterms:modified xsi:type="dcterms:W3CDTF">2023-03-18T19:14:24Z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2022-01-21T06:44:51Z</dcterms:modified>
  <cp:revision>41</cp:revision>
  <dc:subject/>
  <dc:title/>
</cp:coreProperties>
</file>