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Proyectos R\Informe Accionistas GitHub\"/>
    </mc:Choice>
  </mc:AlternateContent>
  <xr:revisionPtr revIDLastSave="0" documentId="13_ncr:1_{7E6BDEC7-949D-43A3-9B34-A66C300E126D}" xr6:coauthVersionLast="47" xr6:coauthVersionMax="47" xr10:uidLastSave="{00000000-0000-0000-0000-000000000000}"/>
  <bookViews>
    <workbookView xWindow="-120" yWindow="-120" windowWidth="38640" windowHeight="21120" tabRatio="839" activeTab="1" xr2:uid="{BD004A66-9185-4E6D-BF08-D1A3E612F239}"/>
  </bookViews>
  <sheets>
    <sheet name="tabla_trans" sheetId="1" r:id="rId1"/>
    <sheet name="folio_libro" sheetId="21" r:id="rId2"/>
    <sheet name="tabla_pagos" sheetId="4" state="hidden" r:id="rId3"/>
    <sheet name="tabla_p_firma_respaldo" sheetId="8" state="hidden" r:id="rId4"/>
    <sheet name="tabla_bloques" sheetId="6" state="hidden" r:id="rId5"/>
    <sheet name="Saldos_Bancos" sheetId="19" state="hidden" r:id="rId6"/>
    <sheet name="ListaRegiones" sheetId="20" state="hidden" r:id="rId7"/>
    <sheet name="listas" sheetId="9" state="hidden" r:id="rId8"/>
    <sheet name="accionistas_2022" sheetId="10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F11" i="6" l="1"/>
  <c r="F16" i="6"/>
  <c r="E6" i="6" l="1"/>
  <c r="F12" i="6"/>
  <c r="F13" i="6"/>
  <c r="F7" i="6"/>
  <c r="F8" i="6"/>
  <c r="F9" i="6"/>
  <c r="F10" i="6"/>
  <c r="F14" i="6"/>
  <c r="F15" i="6"/>
  <c r="F17" i="6"/>
  <c r="F18" i="6"/>
  <c r="F19" i="6"/>
  <c r="F20" i="6"/>
  <c r="F21" i="6"/>
  <c r="F6" i="6"/>
  <c r="K18" i="8" l="1"/>
  <c r="I18" i="8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D9" i="8"/>
  <c r="F9" i="8" s="1"/>
  <c r="D8" i="8"/>
  <c r="F8" i="8" s="1"/>
  <c r="D7" i="8"/>
  <c r="F7" i="8" s="1"/>
  <c r="D6" i="8"/>
  <c r="F6" i="8" s="1"/>
  <c r="D5" i="8"/>
  <c r="F5" i="8" s="1"/>
  <c r="D4" i="8"/>
  <c r="F4" i="8" s="1"/>
  <c r="J18" i="8" l="1"/>
  <c r="F10" i="8"/>
  <c r="L18" i="8" s="1"/>
  <c r="J12" i="4" l="1"/>
  <c r="J13" i="4"/>
  <c r="J14" i="4"/>
  <c r="J15" i="4"/>
  <c r="J16" i="4"/>
  <c r="J17" i="4"/>
  <c r="J18" i="4"/>
  <c r="J19" i="4"/>
  <c r="J20" i="4"/>
  <c r="J21" i="4"/>
  <c r="J22" i="4"/>
  <c r="B22" i="6" l="1"/>
  <c r="H21" i="6"/>
  <c r="G21" i="6"/>
  <c r="E21" i="6"/>
  <c r="H20" i="6"/>
  <c r="G20" i="6"/>
  <c r="E20" i="6"/>
  <c r="H19" i="6"/>
  <c r="G19" i="6"/>
  <c r="E19" i="6"/>
  <c r="H18" i="6"/>
  <c r="G18" i="6"/>
  <c r="E18" i="6"/>
  <c r="H17" i="6"/>
  <c r="G17" i="6"/>
  <c r="E17" i="6"/>
  <c r="H16" i="6"/>
  <c r="G16" i="6"/>
  <c r="E16" i="6"/>
  <c r="H15" i="6"/>
  <c r="G15" i="6"/>
  <c r="E15" i="6"/>
  <c r="H14" i="6"/>
  <c r="G14" i="6"/>
  <c r="E14" i="6"/>
  <c r="H13" i="6"/>
  <c r="G13" i="6"/>
  <c r="E13" i="6"/>
  <c r="H12" i="6"/>
  <c r="G12" i="6"/>
  <c r="E12" i="6"/>
  <c r="H11" i="6"/>
  <c r="G11" i="6"/>
  <c r="E11" i="6"/>
  <c r="H10" i="6"/>
  <c r="G10" i="6"/>
  <c r="E10" i="6"/>
  <c r="H9" i="6"/>
  <c r="G9" i="6"/>
  <c r="E9" i="6"/>
  <c r="H8" i="6"/>
  <c r="G8" i="6"/>
  <c r="E8" i="6"/>
  <c r="H7" i="6"/>
  <c r="G7" i="6"/>
  <c r="E7" i="6"/>
  <c r="H6" i="6"/>
  <c r="G6" i="6"/>
  <c r="J15" i="6" l="1"/>
  <c r="K15" i="6" s="1"/>
  <c r="J11" i="6"/>
  <c r="K11" i="6" s="1"/>
  <c r="J17" i="6"/>
  <c r="K17" i="6" s="1"/>
  <c r="J16" i="6"/>
  <c r="K16" i="6" s="1"/>
  <c r="J20" i="6"/>
  <c r="K20" i="6" s="1"/>
  <c r="J18" i="6"/>
  <c r="K18" i="6" s="1"/>
  <c r="J13" i="6"/>
  <c r="K13" i="6" s="1"/>
  <c r="J12" i="6"/>
  <c r="K12" i="6" s="1"/>
  <c r="J14" i="6"/>
  <c r="K14" i="6" s="1"/>
  <c r="J19" i="6"/>
  <c r="K19" i="6" s="1"/>
  <c r="J21" i="6"/>
  <c r="K21" i="6" s="1"/>
  <c r="I16" i="6"/>
  <c r="I11" i="6"/>
  <c r="I8" i="6"/>
  <c r="J7" i="6"/>
  <c r="K7" i="6" s="1"/>
  <c r="I21" i="6"/>
  <c r="I18" i="6"/>
  <c r="I7" i="6"/>
  <c r="I20" i="6"/>
  <c r="F22" i="6"/>
  <c r="I10" i="6"/>
  <c r="I14" i="6"/>
  <c r="I15" i="6"/>
  <c r="I19" i="6"/>
  <c r="J8" i="6"/>
  <c r="K8" i="6" s="1"/>
  <c r="I12" i="6"/>
  <c r="J9" i="6"/>
  <c r="K9" i="6" s="1"/>
  <c r="I9" i="6"/>
  <c r="I13" i="6"/>
  <c r="I17" i="6"/>
  <c r="G22" i="6"/>
  <c r="J10" i="6"/>
  <c r="K10" i="6" s="1"/>
  <c r="H22" i="6"/>
  <c r="J6" i="6" l="1"/>
  <c r="J22" i="6" s="1"/>
  <c r="I6" i="6"/>
  <c r="E22" i="6"/>
  <c r="J7" i="4"/>
  <c r="J8" i="4"/>
  <c r="J9" i="4"/>
  <c r="J10" i="4"/>
  <c r="J11" i="4"/>
  <c r="J6" i="4"/>
  <c r="K6" i="6" l="1"/>
  <c r="K22" i="6" s="1"/>
  <c r="I22" i="6"/>
  <c r="I23" i="6" s="1"/>
  <c r="I2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tc={1214A597-406F-4978-9F0D-CD4277DDD9B4}</author>
  </authors>
  <commentList>
    <comment ref="K1" authorId="0" shapeId="0" xr:uid="{1214A597-406F-4978-9F0D-CD4277DDD9B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usar esta columna si inventan un precio.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tc={3C762A23-9B69-4D66-A9CD-AE2A57FA5889}</author>
    <author>tc={74266E6C-51B4-423C-B455-CCF235FF12C0}</author>
  </authors>
  <commentList>
    <comment ref="H6" authorId="0" shapeId="0" xr:uid="{3C762A23-9B69-4D66-A9CD-AE2A57FA588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Las 50 de 100.000 resciliacion sud a eliana</t>
      </text>
    </comment>
    <comment ref="H8" authorId="1" shapeId="0" xr:uid="{74266E6C-51B4-423C-B455-CCF235FF12C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Las 4 de 120.000 para eliana de sud a eliana</t>
      </text>
    </comment>
  </commentList>
</comments>
</file>

<file path=xl/sharedStrings.xml><?xml version="1.0" encoding="utf-8"?>
<sst xmlns="http://schemas.openxmlformats.org/spreadsheetml/2006/main" count="178" uniqueCount="154">
  <si>
    <t>ID_Trans</t>
  </si>
  <si>
    <t>Accionista</t>
  </si>
  <si>
    <t>RUT</t>
  </si>
  <si>
    <t>EMISION</t>
  </si>
  <si>
    <t>EJECUTIVA</t>
  </si>
  <si>
    <t>T_ESTADO</t>
  </si>
  <si>
    <t>Estado_Firma</t>
  </si>
  <si>
    <t>Fecha_Notaria</t>
  </si>
  <si>
    <t>Q_Acciones</t>
  </si>
  <si>
    <t>BLOQUE</t>
  </si>
  <si>
    <t>PRECIO_ESPECIAL</t>
  </si>
  <si>
    <t>Total</t>
  </si>
  <si>
    <t>Pagado</t>
  </si>
  <si>
    <t>PorPagar</t>
  </si>
  <si>
    <t>COMPRA</t>
  </si>
  <si>
    <t>DIEGO AMERICO TORRES ROJAS</t>
  </si>
  <si>
    <t>FIRMADO</t>
  </si>
  <si>
    <t>CRHISTIAN ANDRES ASTUDILLO AMPUERO</t>
  </si>
  <si>
    <t>Betsabé Rodriguez</t>
  </si>
  <si>
    <t>MARCELO FERNANDO PAVEZ RIOS</t>
  </si>
  <si>
    <t>Mariana Astudillo</t>
  </si>
  <si>
    <t>MONICA DEL CARMEN LOYOLA QUIROZ</t>
  </si>
  <si>
    <t>ENRIQUE JAVIER MERINO LARA (FLOW)</t>
  </si>
  <si>
    <t>BARBARA ALESSANDRA GUDENSCHWAGER MARTINI (FLOW)</t>
  </si>
  <si>
    <t>IGNACIO SEBASTIÁN PINO PARADA</t>
  </si>
  <si>
    <t>JAVIER IGNACIO GALLEGOS ACCATINI</t>
  </si>
  <si>
    <t>GERALDO ANDRE LAZARO LOYOLA</t>
  </si>
  <si>
    <t>Tenderly Ríos</t>
  </si>
  <si>
    <t>MARCELO ANTONIO ZOPPI PIMENTEL</t>
  </si>
  <si>
    <t>Tea Dekovic</t>
  </si>
  <si>
    <t>CLAUDIA LORENA VASQUEZ YOCELEVZKY</t>
  </si>
  <si>
    <t>Leyla Godoy</t>
  </si>
  <si>
    <t>DANIEL GERMAN CRUZ CARVAJAL</t>
  </si>
  <si>
    <t>HAROLDO BRUCE AQUINO CONDORI</t>
  </si>
  <si>
    <t>LETICIA MERINO CLAROS</t>
  </si>
  <si>
    <t>MARIO GABRIEL ALONSO ESPINOZA DOMINGUEZ</t>
  </si>
  <si>
    <t>RAUL EDUARDO LYNCH ARELLANO</t>
  </si>
  <si>
    <t>Verónica Rojas</t>
  </si>
  <si>
    <t>SEBASTIAN EDUARDO GALDAMES VASQUEZ</t>
  </si>
  <si>
    <t>JUAN ALBERTO RODRIGUEZ ALARCON</t>
  </si>
  <si>
    <t>VICTOR MANUEL ROMAN LARA</t>
  </si>
  <si>
    <t>DANIELA ANDREA HIDALGO RODRIGUEZ</t>
  </si>
  <si>
    <t>Betania Sanchez</t>
  </si>
  <si>
    <t>Gissela Puelpan</t>
  </si>
  <si>
    <t>JOSE EUGENIO LAGOS YAÑEZ</t>
  </si>
  <si>
    <t>MARIA CRISTINA GAMARRA SANCHEZ</t>
  </si>
  <si>
    <t>MERCEDES FRANCISCA BENÍTEZ  SECUL</t>
  </si>
  <si>
    <t>PABLO FRANCISCO PUENTES PUENTES</t>
  </si>
  <si>
    <t>GRISELDA JAZMÍN NADAL</t>
  </si>
  <si>
    <t>LUIS EDUARDO SOTO SCHULZ</t>
  </si>
  <si>
    <t>RENE ROBERTO MONTAÑO ZAMBRANO</t>
  </si>
  <si>
    <t>JAVIER ANTONIO BRITO CASTILLO</t>
  </si>
  <si>
    <t>Paola Egoavil</t>
  </si>
  <si>
    <t>ID</t>
  </si>
  <si>
    <t>Región de Los Lagos</t>
  </si>
  <si>
    <t>Región de Valparaíso</t>
  </si>
  <si>
    <t>Región Metropolitana de Santiago</t>
  </si>
  <si>
    <t>Región de Antofagasta</t>
  </si>
  <si>
    <t>DANIELA FERNANDA CRUZ VASQUEZ</t>
  </si>
  <si>
    <t>Región del Biobío</t>
  </si>
  <si>
    <t>ALFREDO SANTIAGO KARMY SARAH</t>
  </si>
  <si>
    <t>MARÍA CRISTINA TORO PIZARRO</t>
  </si>
  <si>
    <t>Región del Maule</t>
  </si>
  <si>
    <t>Región de Coquimbo</t>
  </si>
  <si>
    <t>Región de La Araucanía</t>
  </si>
  <si>
    <t>Región del Libertador General Bernardo O'Higgins</t>
  </si>
  <si>
    <t>Región Aysén del General Carlos Ibáñez del Campo</t>
  </si>
  <si>
    <t>Región de Tarapacá</t>
  </si>
  <si>
    <t>Región de Arica y Parinacota</t>
  </si>
  <si>
    <t>Pagos identificados desde cartola</t>
  </si>
  <si>
    <t>ID_PAGO</t>
  </si>
  <si>
    <t>Fecha</t>
  </si>
  <si>
    <t>Monto</t>
  </si>
  <si>
    <t>Reservas de acciones</t>
  </si>
  <si>
    <t>NOMBRE</t>
  </si>
  <si>
    <t>CANTIDAD</t>
  </si>
  <si>
    <t>PRECIO</t>
  </si>
  <si>
    <t>TOTAL</t>
  </si>
  <si>
    <t>PAGADO</t>
  </si>
  <si>
    <t>PENDIENTE</t>
  </si>
  <si>
    <t>Daniela Cruz Vasquez</t>
  </si>
  <si>
    <t>Antes del cambio del 03-02-2022</t>
  </si>
  <si>
    <t>Claudia Vasquez Yocelevsky</t>
  </si>
  <si>
    <t>Daniel Cruz Carvajal</t>
  </si>
  <si>
    <t>Diego Torres</t>
  </si>
  <si>
    <t>Ignacio Pino</t>
  </si>
  <si>
    <t>Marcelo Zoppi</t>
  </si>
  <si>
    <t>Enrique Merino</t>
  </si>
  <si>
    <t>Barbara Gudenschwager</t>
  </si>
  <si>
    <t>Jose Gallegos Accatani</t>
  </si>
  <si>
    <t>Valeria Menendez</t>
  </si>
  <si>
    <t>Marcelo Bordones</t>
  </si>
  <si>
    <t>Pablo Varas</t>
  </si>
  <si>
    <t>Sacha Fuentealba</t>
  </si>
  <si>
    <t>Dago Ulloa</t>
  </si>
  <si>
    <t>CANTIDAD TOTAL</t>
  </si>
  <si>
    <t>VALOR TOTAL</t>
  </si>
  <si>
    <t>Sergio Arancibia Ortiz</t>
  </si>
  <si>
    <t>Rafael Ordeman</t>
  </si>
  <si>
    <t>Alex Corvalan</t>
  </si>
  <si>
    <t>Veronica Perez</t>
  </si>
  <si>
    <t>Magdalena Zoppi</t>
  </si>
  <si>
    <t>Noelia Zoppi</t>
  </si>
  <si>
    <t>Bloque de acciones</t>
  </si>
  <si>
    <t>VALOR</t>
  </si>
  <si>
    <t>VENDIDAS</t>
  </si>
  <si>
    <t>RESERVADAS</t>
  </si>
  <si>
    <t>RECOMPRADAS</t>
  </si>
  <si>
    <t>RESCILIADAS</t>
  </si>
  <si>
    <t>VENDIDAS_AJUSTE</t>
  </si>
  <si>
    <t>DISPONIBLES</t>
  </si>
  <si>
    <t>DISPONIBLES_AJUSTADAS</t>
  </si>
  <si>
    <t>BLOQUE_1</t>
  </si>
  <si>
    <t>BLOQUE_2</t>
  </si>
  <si>
    <t>BLOQUE_3</t>
  </si>
  <si>
    <t>BLOQUE_4</t>
  </si>
  <si>
    <t>BLOQUE_5</t>
  </si>
  <si>
    <t>BLOQUE_6</t>
  </si>
  <si>
    <t>BLOQUE_7</t>
  </si>
  <si>
    <t>BLOQUE_8</t>
  </si>
  <si>
    <t>BLOQUE_9</t>
  </si>
  <si>
    <t>BLOQUE_10</t>
  </si>
  <si>
    <t>BLOQUE_11</t>
  </si>
  <si>
    <t>BLOQUE_12</t>
  </si>
  <si>
    <t>BLOQUE_13</t>
  </si>
  <si>
    <t>BLOQUE_14</t>
  </si>
  <si>
    <t>BLOQUE_15</t>
  </si>
  <si>
    <t>BLOQUE_16</t>
  </si>
  <si>
    <t>Totales</t>
  </si>
  <si>
    <t>Acciones disponibles</t>
  </si>
  <si>
    <t>Acciones disponibles incluyendo reservadas</t>
  </si>
  <si>
    <t>*El 4 reservadas es de valeria menendez, como lo agregue a la "mala", tuve que reajustar en algunas celdas con "+4" o "-4"</t>
  </si>
  <si>
    <t>Banco</t>
  </si>
  <si>
    <t>RMSI SPA</t>
  </si>
  <si>
    <t>Ya no se usa</t>
  </si>
  <si>
    <t>CONSTRUCTORA</t>
  </si>
  <si>
    <t>Lo deje aca en caso de que haya un error en el tablero con los flujos</t>
  </si>
  <si>
    <t>Los saldos ahora se basan en el flujo neto de los correlativos</t>
  </si>
  <si>
    <t>Lista regiones de Chile</t>
  </si>
  <si>
    <t>Región de Atacama</t>
  </si>
  <si>
    <t>Región de Ñuble</t>
  </si>
  <si>
    <t>Región de Los Ríos</t>
  </si>
  <si>
    <t>Región de Magallanes y de la Antártica Chilena</t>
  </si>
  <si>
    <t>LISTAS</t>
  </si>
  <si>
    <t>Ejecutivas</t>
  </si>
  <si>
    <t>Para uso futuro BD-PowerBI</t>
  </si>
  <si>
    <t>Nombre</t>
  </si>
  <si>
    <t>ALEJANDRA DEL PILAR PACHECHO JARA</t>
  </si>
  <si>
    <t>FELIPE VILLARROEL BECERRA</t>
  </si>
  <si>
    <t>17809470-K</t>
  </si>
  <si>
    <t>NADIE</t>
  </si>
  <si>
    <t>LIBRO</t>
  </si>
  <si>
    <t>FOLIO</t>
  </si>
  <si>
    <t>LIBRO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</si>
</sst>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1" formatCode="_-* #,##0_-;\-* #,##0_-;_-* &quot;-&quot;_-;_-@_-"/>
    <numFmt numFmtId="43" formatCode="_-* #,##0.00_-;\-* #,##0.00_-;_-* &quot;-&quot;??_-;_-@_-"/>
    <numFmt numFmtId="164" formatCode="_ &quot;$&quot;* #,##0_ ;_ &quot;$&quot;* \-#,##0_ ;_ &quot;$&quot;* &quot;-&quot;_ ;_ @_ "/>
    <numFmt numFmtId="165" formatCode="_ * #,##0_ ;_ * \-#,##0_ ;_ * &quot;-&quot;_ ;_ @_ "/>
    <numFmt numFmtId="166" formatCode="_-* #,##0_-;\-* #,##0_-;_-* &quot;-&quot;??_-;_-@_-"/>
    <numFmt numFmtId="167" formatCode="#,##0_ ;\-#,##0\ "/>
    <numFmt numFmtId="168" formatCode="0_ ;\-0\ "/>
    <numFmt numFmtId="169" formatCode="_ [$$-340A]* #,##0_ ;_ [$$-340A]* \-#,##0_ ;_ [$$-340A]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4A4A4A"/>
      <name val="Roboto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0" xfId="0" applyFont="1" applyFill="1"/>
    <xf numFmtId="14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  <xf numFmtId="168" fontId="0" fillId="0" borderId="0" xfId="0" applyNumberFormat="1"/>
    <xf numFmtId="0" fontId="6" fillId="0" borderId="0" xfId="0" applyFont="1"/>
    <xf numFmtId="0" fontId="2" fillId="2" borderId="7" xfId="0" applyFont="1" applyFill="1" applyBorder="1"/>
    <xf numFmtId="0" fontId="0" fillId="0" borderId="2" xfId="0" applyBorder="1"/>
    <xf numFmtId="0" fontId="2" fillId="2" borderId="3" xfId="0" applyFont="1" applyFill="1" applyBorder="1"/>
    <xf numFmtId="167" fontId="0" fillId="0" borderId="0" xfId="0" applyNumberFormat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0" xfId="0" applyFont="1" applyFill="1"/>
    <xf numFmtId="0" fontId="0" fillId="0" borderId="4" xfId="0" applyBorder="1"/>
    <xf numFmtId="167" fontId="0" fillId="0" borderId="0" xfId="1" applyNumberFormat="1" applyFont="1" applyBorder="1"/>
    <xf numFmtId="0" fontId="2" fillId="2" borderId="5" xfId="0" applyFont="1" applyFill="1" applyBorder="1"/>
    <xf numFmtId="166" fontId="0" fillId="0" borderId="0" xfId="1" applyNumberFormat="1" applyFont="1" applyBorder="1"/>
    <xf numFmtId="167" fontId="0" fillId="0" borderId="2" xfId="1" applyNumberFormat="1" applyFont="1" applyBorder="1"/>
    <xf numFmtId="167" fontId="0" fillId="0" borderId="7" xfId="1" applyNumberFormat="1" applyFont="1" applyBorder="1"/>
    <xf numFmtId="0" fontId="6" fillId="0" borderId="3" xfId="0" applyFont="1" applyBorder="1"/>
    <xf numFmtId="167" fontId="0" fillId="0" borderId="2" xfId="1" applyNumberFormat="1" applyFont="1" applyFill="1" applyBorder="1"/>
    <xf numFmtId="0" fontId="0" fillId="0" borderId="1" xfId="0" applyBorder="1"/>
    <xf numFmtId="0" fontId="0" fillId="0" borderId="9" xfId="0" applyBorder="1"/>
    <xf numFmtId="0" fontId="0" fillId="0" borderId="8" xfId="0" applyBorder="1"/>
    <xf numFmtId="14" fontId="0" fillId="0" borderId="2" xfId="0" applyNumberFormat="1" applyBorder="1"/>
    <xf numFmtId="14" fontId="0" fillId="0" borderId="8" xfId="0" applyNumberFormat="1" applyBorder="1"/>
    <xf numFmtId="0" fontId="2" fillId="2" borderId="11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0" fontId="7" fillId="0" borderId="3" xfId="0" applyFont="1" applyBorder="1"/>
    <xf numFmtId="41" fontId="7" fillId="0" borderId="2" xfId="2" applyFont="1" applyBorder="1"/>
    <xf numFmtId="0" fontId="7" fillId="0" borderId="8" xfId="0" applyFont="1" applyBorder="1"/>
    <xf numFmtId="169" fontId="7" fillId="0" borderId="2" xfId="3" applyNumberFormat="1" applyFont="1" applyBorder="1"/>
    <xf numFmtId="0" fontId="7" fillId="0" borderId="4" xfId="0" applyFont="1" applyBorder="1"/>
    <xf numFmtId="169" fontId="7" fillId="0" borderId="1" xfId="3" applyNumberFormat="1" applyFont="1" applyBorder="1"/>
    <xf numFmtId="0" fontId="7" fillId="0" borderId="6" xfId="0" applyFont="1" applyBorder="1"/>
    <xf numFmtId="0" fontId="7" fillId="0" borderId="9" xfId="0" applyFont="1" applyBorder="1"/>
    <xf numFmtId="0" fontId="3" fillId="4" borderId="0" xfId="0" applyFont="1" applyFill="1"/>
    <xf numFmtId="0" fontId="7" fillId="5" borderId="4" xfId="0" applyFont="1" applyFill="1" applyBorder="1"/>
    <xf numFmtId="41" fontId="7" fillId="5" borderId="2" xfId="2" applyFont="1" applyFill="1" applyBorder="1"/>
    <xf numFmtId="169" fontId="7" fillId="5" borderId="2" xfId="3" applyNumberFormat="1" applyFont="1" applyFill="1" applyBorder="1"/>
    <xf numFmtId="169" fontId="7" fillId="5" borderId="1" xfId="3" applyNumberFormat="1" applyFont="1" applyFill="1" applyBorder="1"/>
    <xf numFmtId="164" fontId="0" fillId="3" borderId="3" xfId="0" applyNumberFormat="1" applyFill="1" applyBorder="1"/>
    <xf numFmtId="165" fontId="0" fillId="0" borderId="3" xfId="0" applyNumberFormat="1" applyBorder="1"/>
    <xf numFmtId="0" fontId="8" fillId="0" borderId="0" xfId="0" applyFont="1"/>
    <xf numFmtId="0" fontId="9" fillId="0" borderId="3" xfId="0" applyFont="1" applyBorder="1"/>
    <xf numFmtId="166" fontId="0" fillId="0" borderId="0" xfId="1" applyNumberFormat="1" applyFont="1" applyFill="1" applyBorder="1"/>
    <xf numFmtId="0" fontId="12" fillId="0" borderId="0" xfId="0" applyFont="1"/>
    <xf numFmtId="0" fontId="3" fillId="2" borderId="0" xfId="0" applyFont="1" applyFill="1" applyAlignment="1">
      <alignment horizontal="right"/>
    </xf>
    <xf numFmtId="3" fontId="0" fillId="0" borderId="0" xfId="0" applyNumberFormat="1"/>
    <xf numFmtId="0" fontId="13" fillId="0" borderId="0" xfId="0" applyFont="1"/>
    <xf numFmtId="0" fontId="14" fillId="0" borderId="0" xfId="0" applyFont="1" applyAlignment="1">
      <alignment horizontal="left" vertical="center" wrapText="1"/>
    </xf>
    <xf numFmtId="0" fontId="3" fillId="0" borderId="0" xfId="0" applyFont="1"/>
    <xf numFmtId="3" fontId="0" fillId="0" borderId="0" xfId="1" applyNumberFormat="1" applyFont="1"/>
    <xf numFmtId="3" fontId="3" fillId="4" borderId="0" xfId="0" applyNumberFormat="1" applyFont="1" applyFill="1"/>
    <xf numFmtId="166" fontId="0" fillId="0" borderId="0" xfId="0" applyNumberFormat="1" applyFont="1"/>
    <xf numFmtId="3" fontId="0" fillId="0" borderId="0" xfId="0" applyNumberFormat="1" applyFont="1"/>
    <xf numFmtId="0" fontId="5" fillId="2" borderId="1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4">
    <cellStyle name="Millares" xfId="1" builtinId="3"/>
    <cellStyle name="Millares [0]" xfId="2" builtinId="6"/>
    <cellStyle name="Moneda [0]" xfId="3" builtinId="7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numFmt numFmtId="167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7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#,##0_ ;\-#,##0\ "/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167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7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7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7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_ [$$-340A]* #,##0_ ;_ [$$-340A]* \-#,##0_ ;_ [$$-340A]* &quot;-&quot;??_ ;_ @_ 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_ [$$-340A]* #,##0_ ;_ [$$-340A]* \-#,##0_ ;_ [$$-340A]* &quot;-&quot;??_ ;_ @_ 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_ [$$-340A]* #,##0_ ;_ [$$-340A]* \-#,##0_ ;_ [$$-340A]* &quot;-&quot;??_ ;_ @_ 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_ [$$-340A]* #,##0_ ;_ [$$-340A]* \-#,##0_ ;_ [$$-340A]* &quot;-&quot;??_ ;_ @_ 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rgb="FFC6E0B4"/>
          <bgColor rgb="FF000000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numFmt numFmtId="168" formatCode="0_ ;\-0\ "/>
    </dxf>
    <dxf>
      <numFmt numFmtId="19" formatCode="dd/mm/yyyy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pe Villarroel" id="{8A57046E-7F99-49CF-8636-9A7EADA755D7}" userId="Felipe Villarroel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CADDCB-274A-4CC0-BCC0-934EEEE3D31F}" name="trans_2" displayName="trans_2" ref="A1:N5" headerRowDxfId="42">
  <autoFilter ref="A1:N5" xr:uid="{1BCADDCB-274A-4CC0-BCC0-934EEEE3D31F}"/>
  <tableColumns count="14">
    <tableColumn id="1" xr3:uid="{BFA783A2-82B6-4516-BC0A-634A2D4FCABD}" name="ID_Trans" dataDxfId="41"/>
    <tableColumn id="2" xr3:uid="{BA65BD43-5483-4E57-8C6C-04F187E869E6}" name="Accionista"/>
    <tableColumn id="3" xr3:uid="{0D2DE812-5D1E-4ADF-83CA-94845D8D333C}" name="RUT"/>
    <tableColumn id="9" xr3:uid="{D784E3EF-1CBC-4652-A04F-2C73029D0555}" name="EMISION"/>
    <tableColumn id="13" xr3:uid="{01F0A45F-5DFA-46DD-BE95-B6A316579F14}" name="EJECUTIVA"/>
    <tableColumn id="8" xr3:uid="{FCAFF9D3-7A78-42A4-9FE8-A2AC2B03C816}" name="T_ESTADO"/>
    <tableColumn id="14" xr3:uid="{6F5DAF0B-6A93-46CC-A942-88BBBD2E9002}" name="Estado_Firma"/>
    <tableColumn id="4" xr3:uid="{E9E29D05-E78E-4677-8AF8-AB602A0735DF}" name="Fecha_Notaria" dataDxfId="40"/>
    <tableColumn id="5" xr3:uid="{2B7BE9F3-CE70-44E9-95AE-E7C5CFE99C38}" name="Q_Acciones" dataDxfId="39"/>
    <tableColumn id="6" xr3:uid="{CF9DDC5F-93BD-43AB-8FB1-CB4A332F67FA}" name="BLOQUE" dataDxfId="38" totalsRowDxfId="37"/>
    <tableColumn id="12" xr3:uid="{D0A89610-E21A-420B-AC8C-928825F831E2}" name="PRECIO_ESPECIAL" dataDxfId="36" totalsRowDxfId="35"/>
    <tableColumn id="7" xr3:uid="{90EE4C49-1439-44C5-BB33-1509F6555C73}" name="Total" dataDxfId="34"/>
    <tableColumn id="10" xr3:uid="{A172DA6C-89C2-4359-BD34-AED0E69B05A9}" name="Pagado" dataDxfId="33"/>
    <tableColumn id="11" xr3:uid="{EA1EFFF0-CFA5-4841-BEF0-700394B86626}" name="PorPagar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3108D7-1384-4BC3-8176-63A608CF1829}" name="Tabla2" displayName="Tabla2" ref="A1:C2" totalsRowShown="0">
  <autoFilter ref="A1:C2" xr:uid="{CC3108D7-1384-4BC3-8176-63A608CF1829}"/>
  <tableColumns count="3">
    <tableColumn id="1" xr3:uid="{338CF432-F239-4FF7-B0F6-36D868DEFF0F}" name="RUT"/>
    <tableColumn id="6" xr3:uid="{38036884-0E66-47B8-8139-152C218E5EE5}" name="LIBRO"/>
    <tableColumn id="7" xr3:uid="{DAE2D7AF-CAE5-4EE4-BAC2-E75DA0E7449E}" name="FOL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F0F0C3-680B-4553-8A79-07769835618A}" name="pagos_2022" displayName="pagos_2022" ref="H5:L22" totalsRowShown="0" headerRowDxfId="31" headerRowBorderDxfId="30" tableBorderDxfId="29">
  <autoFilter ref="H5:L22" xr:uid="{92F7E1A3-ED34-4D41-8518-2AFABE400441}"/>
  <tableColumns count="5">
    <tableColumn id="1" xr3:uid="{654C13E9-F157-4477-B31C-3B089705E9B7}" name="ID_PAGO" dataDxfId="28"/>
    <tableColumn id="2" xr3:uid="{9C8A1491-3F0E-4DB4-9078-EF988AF3BB74}" name="ID_Trans" dataDxfId="27"/>
    <tableColumn id="5" xr3:uid="{6E98E349-7B4F-4E9E-A2AF-BFB6BAF1EBF6}" name="Accionista" dataDxfId="26"/>
    <tableColumn id="3" xr3:uid="{C5359377-0928-4229-9147-CD38D6F2D9B4}" name="Fecha" dataDxfId="25"/>
    <tableColumn id="4" xr3:uid="{00B27208-23E5-4521-AC44-A24BA75AFD5C}" name="Monto" data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26F01E-D19C-4B82-9FC8-D43B71C7D3CF}" name="tabla_p_firma6" displayName="tabla_p_firma6" ref="A3:F23" totalsRowShown="0" headerRowDxfId="23" dataDxfId="21" headerRowBorderDxfId="22" tableBorderDxfId="20">
  <autoFilter ref="A3:F23" xr:uid="{67173E8A-3B4F-4CFC-AF9B-8352757388FC}"/>
  <sortState xmlns:xlrd2="http://schemas.microsoft.com/office/spreadsheetml/2017/richdata2" ref="A4:F24">
    <sortCondition sortBy="cellColor" ref="A3:A24" dxfId="19"/>
  </sortState>
  <tableColumns count="6">
    <tableColumn id="1" xr3:uid="{56149ED8-96C7-41F2-AFAA-88455B72C999}" name="NOMBRE" dataDxfId="18"/>
    <tableColumn id="2" xr3:uid="{7D77933A-C3FE-4449-9499-6F3515423E3A}" name="CANTIDAD" dataDxfId="17"/>
    <tableColumn id="3" xr3:uid="{9544DF5B-D293-4B84-A8A5-25E24AD3A941}" name="PRECIO" dataDxfId="16"/>
    <tableColumn id="4" xr3:uid="{B99006AE-C4AC-4CBA-89D8-6F0DA6FB2C3D}" name="TOTAL" dataDxfId="15">
      <calculatedColumnFormula>+B4*C4</calculatedColumnFormula>
    </tableColumn>
    <tableColumn id="5" xr3:uid="{AF2D04E3-DB99-47AA-902A-9D01DDC41106}" name="PAGADO" dataDxfId="14"/>
    <tableColumn id="6" xr3:uid="{F53DB95D-FB4A-4BA5-BA54-89F10FB730DB}" name="PENDIENTE" dataDxfId="1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8DA7CF-D109-4415-A27D-DBEAA50C89BE}" name="bloque_acciones9" displayName="bloque_acciones9" ref="B5:K21" totalsRowShown="0" headerRowDxfId="12" tableBorderDxfId="11">
  <autoFilter ref="B5:K21" xr:uid="{5B8DA7CF-D109-4415-A27D-DBEAA50C89BE}"/>
  <tableColumns count="10">
    <tableColumn id="1" xr3:uid="{F0ABD3D4-25D4-4EE3-A5BF-04ECCBDD808F}" name="Q_Acciones" dataDxfId="10"/>
    <tableColumn id="2" xr3:uid="{D10008E0-78BE-4165-B6BB-8296E24D4F68}" name="BLOQUE" dataDxfId="9"/>
    <tableColumn id="3" xr3:uid="{15FC65FC-476C-4F56-96CE-6915F36EE8A2}" name="VALOR" dataDxfId="8"/>
    <tableColumn id="4" xr3:uid="{CE93E8D7-3783-4ACF-9B96-D663AE2833F2}" name="VENDIDAS" dataDxfId="7">
      <calculatedColumnFormula>SUMIFS(trans_2[[#All],[Q_Acciones]],trans_2[[#All],[BLOQUE]],D6,trans_2[[#All],[T_ESTADO]],"COMPRA")</calculatedColumnFormula>
    </tableColumn>
    <tableColumn id="5" xr3:uid="{84B0E8ED-415A-4C8F-B1B4-DFDF5FE973E9}" name="RESERVADAS" dataDxfId="6">
      <calculatedColumnFormula>SUMIFS(trans_2[Q_Acciones],trans_2[Estado_Firma],"POR FIRMAR",trans_2[BLOQUE],D6)</calculatedColumnFormula>
    </tableColumn>
    <tableColumn id="6" xr3:uid="{83809F98-0FFB-4EDE-B0F5-22BEF4438026}" name="RECOMPRADAS" dataDxfId="5">
      <calculatedColumnFormula>SUMIFS(trans_2[[#All],[Q_Acciones]],trans_2[[#All],[BLOQUE]],D6,trans_2[[#All],[T_ESTADO]],"RECOMPRA")</calculatedColumnFormula>
    </tableColumn>
    <tableColumn id="7" xr3:uid="{470B2841-6E5A-498D-86C8-1CF677CDA034}" name="RESCILIADAS" dataDxfId="4">
      <calculatedColumnFormula>SUMIFS(trans_2[[#All],[Q_Acciones]],trans_2[[#All],[BLOQUE]],D6,trans_2[[#All],[T_ESTADO]],"RESCILIACION")</calculatedColumnFormula>
    </tableColumn>
    <tableColumn id="9" xr3:uid="{0D1494E2-FC4D-4BEC-A04C-F58A11D55EFD}" name="VENDIDAS_AJUSTE" dataDxfId="3">
      <calculatedColumnFormula>+bloque_acciones9[[#This Row],[RECOMPRADAS]]+bloque_acciones9[[#This Row],[VENDIDAS]]+bloque_acciones9[[#This Row],[RESCILIADAS]]</calculatedColumnFormula>
    </tableColumn>
    <tableColumn id="8" xr3:uid="{DB57A5FE-E5CA-42E4-83AF-12BEC8FCAA58}" name="DISPONIBLES" dataDxfId="2">
      <calculatedColumnFormula>+bloque_acciones9[[#This Row],[Q_Acciones]]-bloque_acciones9[[#This Row],[VENDIDAS]]-bloque_acciones9[[#This Row],[RESERVADAS]]-bloque_acciones9[[#This Row],[RECOMPRADAS]]-bloque_acciones9[[#This Row],[RESCILIADAS]]</calculatedColumnFormula>
    </tableColumn>
    <tableColumn id="10" xr3:uid="{E4DF95A5-6E2D-4E60-815B-6DF919D36094}" name="DISPONIBLES_AJUSTADAS" dataDxfId="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58E801-DD14-46C7-935F-5A8D33800EAD}" name="Saldo_Bancos" displayName="Saldo_Bancos" ref="A1:B3" totalsRowShown="0">
  <autoFilter ref="A1:B3" xr:uid="{7858E801-DD14-46C7-935F-5A8D33800EAD}"/>
  <tableColumns count="2">
    <tableColumn id="1" xr3:uid="{B54A4095-7C4A-4444-9C17-63B5E621465F}" name="Banco"/>
    <tableColumn id="2" xr3:uid="{6C6BD712-074A-45E2-8358-1CF4589BD177}" name="Mo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A31A0F-E60C-4F77-BEBE-380808B3F0CF}" name="Tabla6" displayName="Tabla6" ref="F4:G55" totalsRowShown="0">
  <autoFilter ref="F4:G55" xr:uid="{24A31A0F-E60C-4F77-BEBE-380808B3F0CF}"/>
  <tableColumns count="2">
    <tableColumn id="1" xr3:uid="{9702C462-9D54-40E4-AB6A-24F44BAEC959}" name="ID"/>
    <tableColumn id="2" xr3:uid="{0C47119D-F24E-4753-B39C-7A252F24AF4A}" name="Nomb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02-03T15:19:59.74" personId="{8A57046E-7F99-49CF-8636-9A7EADA755D7}" id="{1214A597-406F-4978-9F0D-CD4277DDD9B4}">
    <text>Solo usar esta columna si inventan un precio.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6" dT="2022-01-20T21:06:36.22" personId="{8A57046E-7F99-49CF-8636-9A7EADA755D7}" id="{3C762A23-9B69-4D66-A9CD-AE2A57FA5889}">
    <text>Las 50 de 100.000 resciliacion sud a eliana</text>
  </threadedComment>
  <threadedComment ref="H8" dT="2022-01-20T21:06:24.99" personId="{8A57046E-7F99-49CF-8636-9A7EADA755D7}" id="{74266E6C-51B4-423C-B455-CCF235FF12C0}">
    <text>Las 4 de 120.000 para eliana de sud a eliana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829C-75C3-4BAA-AA4A-AE3E131B3265}">
  <sheetPr codeName="Hoja1"/>
  <dimension ref="A1:P5"/>
  <sheetViews>
    <sheetView showGridLines="0" topLeftCell="C1" zoomScaleNormal="100" workbookViewId="0">
      <pane ySplit="1" topLeftCell="A2" activePane="bottomLeft" state="frozen"/>
      <selection activeCell="D834" sqref="D834"/>
      <selection pane="bottomLeft" activeCell="N4" sqref="N4:N5"/>
    </sheetView>
  </sheetViews>
  <sheetFormatPr baseColWidth="10" defaultColWidth="11.42578125" defaultRowHeight="15" x14ac:dyDescent="0.25"/>
  <cols>
    <col min="1" max="1" width="11.42578125" style="4" bestFit="1" customWidth="1"/>
    <col min="2" max="2" width="52.28515625" customWidth="1"/>
    <col min="3" max="3" width="14.5703125" bestFit="1" customWidth="1"/>
    <col min="4" max="4" width="11.85546875" customWidth="1"/>
    <col min="5" max="5" width="17.5703125" customWidth="1"/>
    <col min="6" max="6" width="16.85546875" customWidth="1"/>
    <col min="7" max="7" width="24.140625" customWidth="1"/>
    <col min="8" max="8" width="18.140625" customWidth="1"/>
    <col min="9" max="9" width="14.5703125" customWidth="1"/>
    <col min="10" max="10" width="14.42578125" customWidth="1"/>
    <col min="11" max="11" width="16.140625" customWidth="1"/>
    <col min="12" max="12" width="17.140625" bestFit="1" customWidth="1"/>
    <col min="13" max="13" width="13.42578125" bestFit="1" customWidth="1"/>
    <col min="14" max="14" width="17.140625" bestFit="1" customWidth="1"/>
    <col min="15" max="16" width="15" customWidth="1"/>
    <col min="17" max="17" width="17.5703125" customWidth="1"/>
  </cols>
  <sheetData>
    <row r="1" spans="1:16" ht="15.75" x14ac:dyDescent="0.25">
      <c r="A1" s="4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5" t="s">
        <v>11</v>
      </c>
      <c r="M1" s="38" t="s">
        <v>12</v>
      </c>
      <c r="N1" s="38" t="s">
        <v>13</v>
      </c>
      <c r="O1" s="38"/>
      <c r="P1" s="53"/>
    </row>
    <row r="2" spans="1:16" x14ac:dyDescent="0.25">
      <c r="A2" s="4">
        <v>2022176</v>
      </c>
      <c r="B2" t="s">
        <v>148</v>
      </c>
      <c r="C2" t="s">
        <v>149</v>
      </c>
      <c r="D2">
        <v>2</v>
      </c>
      <c r="E2" t="s">
        <v>150</v>
      </c>
      <c r="F2" t="s">
        <v>14</v>
      </c>
      <c r="G2" t="s">
        <v>16</v>
      </c>
      <c r="H2" s="2">
        <v>44776</v>
      </c>
      <c r="I2" s="5">
        <v>1</v>
      </c>
      <c r="J2" s="56">
        <v>1130000</v>
      </c>
      <c r="K2" s="56"/>
      <c r="L2" s="57">
        <v>1130000</v>
      </c>
      <c r="M2" s="3">
        <v>0</v>
      </c>
      <c r="N2" s="54">
        <f>+trans_2[[#This Row],[Total]]-trans_2[[#This Row],[Pagado]]</f>
        <v>1130000</v>
      </c>
    </row>
    <row r="3" spans="1:16" x14ac:dyDescent="0.25">
      <c r="A3" s="4">
        <v>2022177</v>
      </c>
      <c r="B3" t="s">
        <v>148</v>
      </c>
      <c r="C3" t="s">
        <v>149</v>
      </c>
      <c r="D3">
        <v>2</v>
      </c>
      <c r="E3" t="s">
        <v>150</v>
      </c>
      <c r="F3" t="s">
        <v>14</v>
      </c>
      <c r="G3" t="s">
        <v>16</v>
      </c>
      <c r="H3" s="2">
        <v>44784</v>
      </c>
      <c r="I3" s="5">
        <v>1</v>
      </c>
      <c r="J3" s="56">
        <v>1130000</v>
      </c>
      <c r="K3" s="56"/>
      <c r="L3" s="57">
        <v>1130000</v>
      </c>
      <c r="M3" s="3">
        <v>600000</v>
      </c>
      <c r="N3" s="54">
        <f>+trans_2[[#This Row],[Total]]-trans_2[[#This Row],[Pagado]]</f>
        <v>530000</v>
      </c>
    </row>
    <row r="4" spans="1:16" x14ac:dyDescent="0.25">
      <c r="A4" s="4">
        <v>2022178</v>
      </c>
      <c r="B4" t="s">
        <v>148</v>
      </c>
      <c r="C4" t="s">
        <v>149</v>
      </c>
      <c r="E4" t="s">
        <v>150</v>
      </c>
      <c r="F4" t="s">
        <v>14</v>
      </c>
      <c r="G4" t="s">
        <v>16</v>
      </c>
      <c r="H4" s="2">
        <v>44864</v>
      </c>
      <c r="I4" s="5">
        <v>5</v>
      </c>
      <c r="J4" s="56">
        <v>2000000</v>
      </c>
      <c r="K4" s="56"/>
      <c r="L4" s="57">
        <v>10000000</v>
      </c>
      <c r="M4" s="56">
        <v>5000000</v>
      </c>
      <c r="N4" s="56">
        <f>+trans_2[[#This Row],[Total]]-trans_2[[#This Row],[Pagado]]</f>
        <v>5000000</v>
      </c>
    </row>
    <row r="5" spans="1:16" x14ac:dyDescent="0.25">
      <c r="A5" s="4">
        <v>2022179</v>
      </c>
      <c r="B5" t="s">
        <v>148</v>
      </c>
      <c r="C5" t="s">
        <v>149</v>
      </c>
      <c r="E5" t="s">
        <v>150</v>
      </c>
      <c r="F5" t="s">
        <v>14</v>
      </c>
      <c r="G5" t="s">
        <v>16</v>
      </c>
      <c r="H5" s="2">
        <v>44781</v>
      </c>
      <c r="I5" s="5">
        <v>5</v>
      </c>
      <c r="J5" s="56">
        <v>2000000</v>
      </c>
      <c r="K5" s="56"/>
      <c r="L5" s="57">
        <v>10000000</v>
      </c>
      <c r="M5" s="56">
        <v>5500000</v>
      </c>
      <c r="N5" s="56">
        <f>+trans_2[[#This Row],[Total]]-trans_2[[#This Row],[Pagado]]</f>
        <v>4500000</v>
      </c>
    </row>
  </sheetData>
  <phoneticPr fontId="4" type="noConversion"/>
  <conditionalFormatting sqref="A2:A5">
    <cfRule type="duplicateValues" dxfId="0" priority="9"/>
  </conditionalFormatting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4E8-0777-4654-8C40-029E40E44F1F}">
  <dimension ref="A1:C2"/>
  <sheetViews>
    <sheetView tabSelected="1" workbookViewId="0">
      <selection activeCell="E11" sqref="E10:E11"/>
    </sheetView>
  </sheetViews>
  <sheetFormatPr baseColWidth="10" defaultRowHeight="15" x14ac:dyDescent="0.25"/>
  <sheetData>
    <row r="1" spans="1:3" x14ac:dyDescent="0.25">
      <c r="A1" t="s">
        <v>2</v>
      </c>
      <c r="B1" t="s">
        <v>151</v>
      </c>
      <c r="C1" t="s">
        <v>152</v>
      </c>
    </row>
    <row r="2" spans="1:3" x14ac:dyDescent="0.25">
      <c r="A2" t="s">
        <v>149</v>
      </c>
      <c r="B2" t="s">
        <v>153</v>
      </c>
      <c r="C2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57E2-5DDA-4FAB-94E6-930533B6C838}">
  <sheetPr codeName="Hoja3"/>
  <dimension ref="H3:L22"/>
  <sheetViews>
    <sheetView showGridLines="0" workbookViewId="0">
      <selection activeCell="L6" sqref="L6:L16"/>
    </sheetView>
  </sheetViews>
  <sheetFormatPr baseColWidth="10" defaultColWidth="11.42578125" defaultRowHeight="15" x14ac:dyDescent="0.25"/>
  <cols>
    <col min="9" max="9" width="11.85546875" customWidth="1"/>
    <col min="10" max="10" width="38.140625" bestFit="1" customWidth="1"/>
  </cols>
  <sheetData>
    <row r="3" spans="8:12" ht="18.75" x14ac:dyDescent="0.3">
      <c r="H3" s="58" t="s">
        <v>69</v>
      </c>
      <c r="I3" s="59"/>
      <c r="J3" s="59"/>
      <c r="K3" s="59"/>
      <c r="L3" s="60"/>
    </row>
    <row r="5" spans="8:12" x14ac:dyDescent="0.25">
      <c r="H5" s="27" t="s">
        <v>70</v>
      </c>
      <c r="I5" s="9" t="s">
        <v>0</v>
      </c>
      <c r="J5" s="9" t="s">
        <v>1</v>
      </c>
      <c r="K5" s="28" t="s">
        <v>71</v>
      </c>
      <c r="L5" s="29" t="s">
        <v>72</v>
      </c>
    </row>
    <row r="6" spans="8:12" x14ac:dyDescent="0.25">
      <c r="H6" s="22">
        <v>6</v>
      </c>
      <c r="I6" s="8">
        <v>2022001</v>
      </c>
      <c r="J6" s="8" t="e">
        <f>VLOOKUP(pagos_2022[[#This Row],[ID_Trans]],trans_2[],2,FALSE)</f>
        <v>#N/A</v>
      </c>
      <c r="K6" s="25">
        <v>44566</v>
      </c>
      <c r="L6" s="17">
        <v>250000</v>
      </c>
    </row>
    <row r="7" spans="8:12" x14ac:dyDescent="0.25">
      <c r="H7" s="22">
        <v>9</v>
      </c>
      <c r="I7" s="8">
        <v>2022001</v>
      </c>
      <c r="J7" s="8" t="e">
        <f>VLOOKUP(pagos_2022[[#This Row],[ID_Trans]],trans_2[],2,FALSE)</f>
        <v>#N/A</v>
      </c>
      <c r="K7" s="25">
        <v>44567</v>
      </c>
      <c r="L7" s="17">
        <v>620000</v>
      </c>
    </row>
    <row r="8" spans="8:12" x14ac:dyDescent="0.25">
      <c r="H8" s="22">
        <v>11</v>
      </c>
      <c r="I8" s="8">
        <v>2022002</v>
      </c>
      <c r="J8" s="8" t="e">
        <f>VLOOKUP(pagos_2022[[#This Row],[ID_Trans]],trans_2[],2,FALSE)</f>
        <v>#N/A</v>
      </c>
      <c r="K8" s="25">
        <v>44579</v>
      </c>
      <c r="L8" s="17">
        <v>870000</v>
      </c>
    </row>
    <row r="9" spans="8:12" x14ac:dyDescent="0.25">
      <c r="H9" s="22">
        <v>12</v>
      </c>
      <c r="I9" s="8">
        <v>2022003</v>
      </c>
      <c r="J9" s="8" t="e">
        <f>VLOOKUP(pagos_2022[[#This Row],[ID_Trans]],trans_2[],2,FALSE)</f>
        <v>#N/A</v>
      </c>
      <c r="K9" s="25">
        <v>44579</v>
      </c>
      <c r="L9" s="17">
        <v>800000</v>
      </c>
    </row>
    <row r="10" spans="8:12" x14ac:dyDescent="0.25">
      <c r="H10" s="22">
        <v>13</v>
      </c>
      <c r="I10" s="8">
        <v>2022003</v>
      </c>
      <c r="J10" s="8" t="e">
        <f>VLOOKUP(pagos_2022[[#This Row],[ID_Trans]],trans_2[],2,FALSE)</f>
        <v>#N/A</v>
      </c>
      <c r="K10" s="25">
        <v>44580</v>
      </c>
      <c r="L10" s="17">
        <v>940000</v>
      </c>
    </row>
    <row r="11" spans="8:12" x14ac:dyDescent="0.25">
      <c r="H11" s="22">
        <v>14</v>
      </c>
      <c r="I11" s="8">
        <v>2022005</v>
      </c>
      <c r="J11" s="8" t="e">
        <f>VLOOKUP(pagos_2022[[#This Row],[ID_Trans]],trans_2[],2,FALSE)</f>
        <v>#N/A</v>
      </c>
      <c r="K11" s="25">
        <v>44581</v>
      </c>
      <c r="L11" s="17">
        <v>600000</v>
      </c>
    </row>
    <row r="12" spans="8:12" x14ac:dyDescent="0.25">
      <c r="H12" s="22">
        <v>16</v>
      </c>
      <c r="I12" s="8">
        <v>2022005</v>
      </c>
      <c r="J12" s="8" t="e">
        <f>VLOOKUP(pagos_2022[[#This Row],[ID_Trans]],trans_2[],2,FALSE)</f>
        <v>#N/A</v>
      </c>
      <c r="K12" s="25">
        <v>44582</v>
      </c>
      <c r="L12" s="17">
        <v>1140000</v>
      </c>
    </row>
    <row r="13" spans="8:12" x14ac:dyDescent="0.25">
      <c r="H13" s="22">
        <v>17</v>
      </c>
      <c r="I13" s="8">
        <v>2022008</v>
      </c>
      <c r="J13" s="8" t="e">
        <f>VLOOKUP(pagos_2022[[#This Row],[ID_Trans]],trans_2[],2,FALSE)</f>
        <v>#N/A</v>
      </c>
      <c r="K13" s="25">
        <v>44582</v>
      </c>
      <c r="L13" s="17">
        <v>340000</v>
      </c>
    </row>
    <row r="14" spans="8:12" x14ac:dyDescent="0.25">
      <c r="H14" s="22">
        <v>19</v>
      </c>
      <c r="I14" s="8">
        <v>2022008</v>
      </c>
      <c r="J14" s="8" t="e">
        <f>VLOOKUP(pagos_2022[[#This Row],[ID_Trans]],trans_2[],2,FALSE)</f>
        <v>#N/A</v>
      </c>
      <c r="K14" s="25">
        <v>44585</v>
      </c>
      <c r="L14" s="17">
        <v>1400000</v>
      </c>
    </row>
    <row r="15" spans="8:12" x14ac:dyDescent="0.25">
      <c r="H15" s="22">
        <v>20</v>
      </c>
      <c r="I15" s="8">
        <v>2022004</v>
      </c>
      <c r="J15" s="8" t="e">
        <f>VLOOKUP(pagos_2022[[#This Row],[ID_Trans]],trans_2[],2,FALSE)</f>
        <v>#N/A</v>
      </c>
      <c r="K15" s="25">
        <v>44585</v>
      </c>
      <c r="L15" s="17">
        <v>1400798</v>
      </c>
    </row>
    <row r="16" spans="8:12" x14ac:dyDescent="0.25">
      <c r="H16" s="22">
        <v>21</v>
      </c>
      <c r="I16" s="8">
        <v>2022004</v>
      </c>
      <c r="J16" s="8" t="e">
        <f>VLOOKUP(pagos_2022[[#This Row],[ID_Trans]],trans_2[],2,FALSE)</f>
        <v>#N/A</v>
      </c>
      <c r="K16" s="25">
        <v>44585</v>
      </c>
      <c r="L16" s="17">
        <v>7000000</v>
      </c>
    </row>
    <row r="17" spans="8:12" x14ac:dyDescent="0.25">
      <c r="H17" s="22"/>
      <c r="I17" s="8"/>
      <c r="J17" s="8" t="e">
        <f>VLOOKUP(pagos_2022[[#This Row],[ID_Trans]],trans_2[],2,FALSE)</f>
        <v>#N/A</v>
      </c>
      <c r="K17" s="25"/>
      <c r="L17" s="17"/>
    </row>
    <row r="18" spans="8:12" x14ac:dyDescent="0.25">
      <c r="H18" s="22"/>
      <c r="I18" s="8"/>
      <c r="J18" s="8" t="e">
        <f>VLOOKUP(pagos_2022[[#This Row],[ID_Trans]],trans_2[],2,FALSE)</f>
        <v>#N/A</v>
      </c>
      <c r="K18" s="25"/>
      <c r="L18" s="17"/>
    </row>
    <row r="19" spans="8:12" x14ac:dyDescent="0.25">
      <c r="H19" s="22"/>
      <c r="I19" s="8"/>
      <c r="J19" s="8" t="e">
        <f>VLOOKUP(pagos_2022[[#This Row],[ID_Trans]],trans_2[],2,FALSE)</f>
        <v>#N/A</v>
      </c>
      <c r="K19" s="25"/>
      <c r="L19" s="17"/>
    </row>
    <row r="20" spans="8:12" x14ac:dyDescent="0.25">
      <c r="H20" s="22"/>
      <c r="I20" s="8"/>
      <c r="J20" s="8" t="e">
        <f>VLOOKUP(pagos_2022[[#This Row],[ID_Trans]],trans_2[],2,FALSE)</f>
        <v>#N/A</v>
      </c>
      <c r="K20" s="25"/>
      <c r="L20" s="17"/>
    </row>
    <row r="21" spans="8:12" x14ac:dyDescent="0.25">
      <c r="H21" s="22"/>
      <c r="I21" s="8"/>
      <c r="J21" s="8" t="e">
        <f>VLOOKUP(pagos_2022[[#This Row],[ID_Trans]],trans_2[],2,FALSE)</f>
        <v>#N/A</v>
      </c>
      <c r="K21" s="25"/>
      <c r="L21" s="17"/>
    </row>
    <row r="22" spans="8:12" x14ac:dyDescent="0.25">
      <c r="H22" s="23"/>
      <c r="I22" s="24"/>
      <c r="J22" s="8" t="e">
        <f>VLOOKUP(pagos_2022[[#This Row],[ID_Trans]],trans_2[],2,FALSE)</f>
        <v>#N/A</v>
      </c>
      <c r="K22" s="26"/>
      <c r="L22" s="17"/>
    </row>
  </sheetData>
  <mergeCells count="1">
    <mergeCell ref="H3:L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932E-C3CC-4E69-919C-77F34613493C}">
  <sheetPr codeName="Hoja4"/>
  <dimension ref="A1:L23"/>
  <sheetViews>
    <sheetView showGridLines="0" workbookViewId="0">
      <selection activeCell="F35" sqref="F35"/>
    </sheetView>
  </sheetViews>
  <sheetFormatPr baseColWidth="10" defaultColWidth="11.42578125" defaultRowHeight="15" x14ac:dyDescent="0.25"/>
  <cols>
    <col min="1" max="1" width="23.140625" bestFit="1" customWidth="1"/>
    <col min="2" max="2" width="11" customWidth="1"/>
    <col min="3" max="3" width="11.7109375" bestFit="1" customWidth="1"/>
    <col min="4" max="6" width="13.140625" bestFit="1" customWidth="1"/>
    <col min="9" max="9" width="14" bestFit="1" customWidth="1"/>
    <col min="10" max="10" width="11.7109375" bestFit="1" customWidth="1"/>
    <col min="12" max="12" width="11.7109375" bestFit="1" customWidth="1"/>
  </cols>
  <sheetData>
    <row r="1" spans="1:9" ht="18.75" x14ac:dyDescent="0.3">
      <c r="A1" s="61" t="s">
        <v>73</v>
      </c>
      <c r="B1" s="62"/>
      <c r="C1" s="62"/>
      <c r="D1" s="62"/>
      <c r="E1" s="62"/>
      <c r="F1" s="62"/>
    </row>
    <row r="3" spans="1:9" x14ac:dyDescent="0.25">
      <c r="A3" s="36" t="s">
        <v>74</v>
      </c>
      <c r="B3" s="32" t="s">
        <v>75</v>
      </c>
      <c r="C3" s="32" t="s">
        <v>76</v>
      </c>
      <c r="D3" s="32" t="s">
        <v>77</v>
      </c>
      <c r="E3" s="32" t="s">
        <v>78</v>
      </c>
      <c r="F3" s="37" t="s">
        <v>79</v>
      </c>
    </row>
    <row r="4" spans="1:9" x14ac:dyDescent="0.25">
      <c r="A4" s="39" t="s">
        <v>80</v>
      </c>
      <c r="B4" s="40">
        <v>10</v>
      </c>
      <c r="C4" s="41">
        <v>870000</v>
      </c>
      <c r="D4" s="41">
        <f t="shared" ref="D4:D23" si="0">+B4*C4</f>
        <v>8700000</v>
      </c>
      <c r="E4" s="41"/>
      <c r="F4" s="42">
        <f t="shared" ref="F4:F23" si="1">+D4-E4</f>
        <v>8700000</v>
      </c>
      <c r="I4" s="45" t="s">
        <v>81</v>
      </c>
    </row>
    <row r="5" spans="1:9" x14ac:dyDescent="0.25">
      <c r="A5" s="39" t="s">
        <v>82</v>
      </c>
      <c r="B5" s="40">
        <v>10</v>
      </c>
      <c r="C5" s="41">
        <v>870000</v>
      </c>
      <c r="D5" s="41">
        <f t="shared" si="0"/>
        <v>8700000</v>
      </c>
      <c r="E5" s="41"/>
      <c r="F5" s="42">
        <f t="shared" si="1"/>
        <v>8700000</v>
      </c>
    </row>
    <row r="6" spans="1:9" x14ac:dyDescent="0.25">
      <c r="A6" s="39" t="s">
        <v>83</v>
      </c>
      <c r="B6" s="40">
        <v>10</v>
      </c>
      <c r="C6" s="41">
        <v>870000</v>
      </c>
      <c r="D6" s="41">
        <f t="shared" si="0"/>
        <v>8700000</v>
      </c>
      <c r="E6" s="41"/>
      <c r="F6" s="42">
        <f t="shared" si="1"/>
        <v>8700000</v>
      </c>
    </row>
    <row r="7" spans="1:9" x14ac:dyDescent="0.25">
      <c r="A7" s="39" t="s">
        <v>84</v>
      </c>
      <c r="B7" s="40">
        <v>2</v>
      </c>
      <c r="C7" s="41">
        <v>870000</v>
      </c>
      <c r="D7" s="41">
        <f t="shared" si="0"/>
        <v>1740000</v>
      </c>
      <c r="E7" s="41"/>
      <c r="F7" s="42">
        <f t="shared" si="1"/>
        <v>1740000</v>
      </c>
    </row>
    <row r="8" spans="1:9" x14ac:dyDescent="0.25">
      <c r="A8" s="39" t="s">
        <v>85</v>
      </c>
      <c r="B8" s="40">
        <v>2</v>
      </c>
      <c r="C8" s="41">
        <v>870000</v>
      </c>
      <c r="D8" s="41">
        <f t="shared" si="0"/>
        <v>1740000</v>
      </c>
      <c r="E8" s="41"/>
      <c r="F8" s="42">
        <f t="shared" si="1"/>
        <v>1740000</v>
      </c>
    </row>
    <row r="9" spans="1:9" x14ac:dyDescent="0.25">
      <c r="A9" s="39" t="s">
        <v>86</v>
      </c>
      <c r="B9" s="40">
        <v>1</v>
      </c>
      <c r="C9" s="41">
        <v>870000</v>
      </c>
      <c r="D9" s="41">
        <f t="shared" si="0"/>
        <v>870000</v>
      </c>
      <c r="E9" s="41"/>
      <c r="F9" s="42">
        <f t="shared" si="1"/>
        <v>870000</v>
      </c>
    </row>
    <row r="10" spans="1:9" x14ac:dyDescent="0.25">
      <c r="A10" s="39" t="s">
        <v>87</v>
      </c>
      <c r="B10" s="40">
        <v>10</v>
      </c>
      <c r="C10" s="41">
        <v>870000</v>
      </c>
      <c r="D10" s="41">
        <f t="shared" si="0"/>
        <v>8700000</v>
      </c>
      <c r="E10" s="41"/>
      <c r="F10" s="42">
        <f t="shared" si="1"/>
        <v>8700000</v>
      </c>
    </row>
    <row r="11" spans="1:9" x14ac:dyDescent="0.25">
      <c r="A11" s="39" t="s">
        <v>88</v>
      </c>
      <c r="B11" s="40">
        <v>10</v>
      </c>
      <c r="C11" s="41">
        <v>870000</v>
      </c>
      <c r="D11" s="41">
        <f t="shared" si="0"/>
        <v>8700000</v>
      </c>
      <c r="E11" s="41"/>
      <c r="F11" s="42">
        <f t="shared" si="1"/>
        <v>8700000</v>
      </c>
    </row>
    <row r="12" spans="1:9" x14ac:dyDescent="0.25">
      <c r="A12" s="39" t="s">
        <v>89</v>
      </c>
      <c r="B12" s="40">
        <v>2</v>
      </c>
      <c r="C12" s="41">
        <v>870000</v>
      </c>
      <c r="D12" s="41">
        <f t="shared" si="0"/>
        <v>1740000</v>
      </c>
      <c r="E12" s="41"/>
      <c r="F12" s="42">
        <f t="shared" si="1"/>
        <v>1740000</v>
      </c>
    </row>
    <row r="13" spans="1:9" x14ac:dyDescent="0.25">
      <c r="A13" s="34" t="s">
        <v>90</v>
      </c>
      <c r="B13" s="31">
        <v>4</v>
      </c>
      <c r="C13" s="33">
        <v>545000</v>
      </c>
      <c r="D13" s="33">
        <f t="shared" si="0"/>
        <v>2180000</v>
      </c>
      <c r="E13" s="33">
        <v>2180000</v>
      </c>
      <c r="F13" s="35">
        <f t="shared" si="1"/>
        <v>0</v>
      </c>
    </row>
    <row r="14" spans="1:9" x14ac:dyDescent="0.25">
      <c r="A14" s="34" t="s">
        <v>91</v>
      </c>
      <c r="B14" s="31">
        <v>1</v>
      </c>
      <c r="C14" s="33">
        <v>805000</v>
      </c>
      <c r="D14" s="33">
        <f t="shared" si="0"/>
        <v>805000</v>
      </c>
      <c r="E14" s="33"/>
      <c r="F14" s="35">
        <f t="shared" si="1"/>
        <v>805000</v>
      </c>
    </row>
    <row r="15" spans="1:9" x14ac:dyDescent="0.25">
      <c r="A15" s="34" t="s">
        <v>92</v>
      </c>
      <c r="B15" s="31">
        <v>3</v>
      </c>
      <c r="C15" s="33">
        <v>805000</v>
      </c>
      <c r="D15" s="33">
        <f t="shared" si="0"/>
        <v>2415000</v>
      </c>
      <c r="E15" s="33"/>
      <c r="F15" s="35">
        <f t="shared" si="1"/>
        <v>2415000</v>
      </c>
    </row>
    <row r="16" spans="1:9" x14ac:dyDescent="0.25">
      <c r="A16" s="34" t="s">
        <v>93</v>
      </c>
      <c r="B16" s="31">
        <v>2</v>
      </c>
      <c r="C16" s="33">
        <v>805000</v>
      </c>
      <c r="D16" s="33">
        <f t="shared" si="0"/>
        <v>1610000</v>
      </c>
      <c r="E16" s="33"/>
      <c r="F16" s="35">
        <f t="shared" si="1"/>
        <v>1610000</v>
      </c>
    </row>
    <row r="17" spans="1:12" x14ac:dyDescent="0.25">
      <c r="A17" s="34" t="s">
        <v>94</v>
      </c>
      <c r="B17" s="31">
        <v>1</v>
      </c>
      <c r="C17" s="33">
        <v>805000</v>
      </c>
      <c r="D17" s="33">
        <f t="shared" si="0"/>
        <v>805000</v>
      </c>
      <c r="E17" s="33"/>
      <c r="F17" s="35">
        <f t="shared" si="1"/>
        <v>805000</v>
      </c>
      <c r="I17" s="30" t="s">
        <v>95</v>
      </c>
      <c r="J17" s="30" t="s">
        <v>96</v>
      </c>
      <c r="K17" s="30" t="s">
        <v>78</v>
      </c>
      <c r="L17" s="30" t="s">
        <v>79</v>
      </c>
    </row>
    <row r="18" spans="1:12" x14ac:dyDescent="0.25">
      <c r="A18" s="34" t="s">
        <v>97</v>
      </c>
      <c r="B18" s="31">
        <v>5</v>
      </c>
      <c r="C18" s="33">
        <v>805000</v>
      </c>
      <c r="D18" s="33">
        <f t="shared" si="0"/>
        <v>4025000</v>
      </c>
      <c r="E18" s="33"/>
      <c r="F18" s="35">
        <f t="shared" si="1"/>
        <v>4025000</v>
      </c>
      <c r="I18" s="44">
        <f>SUM(B4:B23)</f>
        <v>80</v>
      </c>
      <c r="J18" s="43">
        <f>SUM(D4:D23)</f>
        <v>67520000</v>
      </c>
      <c r="K18" s="43">
        <f>SUM(E4:E23)</f>
        <v>2180000</v>
      </c>
      <c r="L18" s="43">
        <f>SUM(F4:F23)</f>
        <v>65340000</v>
      </c>
    </row>
    <row r="19" spans="1:12" x14ac:dyDescent="0.25">
      <c r="A19" s="34" t="s">
        <v>98</v>
      </c>
      <c r="B19" s="31">
        <v>2</v>
      </c>
      <c r="C19" s="33">
        <v>870000</v>
      </c>
      <c r="D19" s="33">
        <f t="shared" si="0"/>
        <v>1740000</v>
      </c>
      <c r="E19" s="33"/>
      <c r="F19" s="35">
        <f t="shared" si="1"/>
        <v>1740000</v>
      </c>
    </row>
    <row r="20" spans="1:12" x14ac:dyDescent="0.25">
      <c r="A20" s="34" t="s">
        <v>99</v>
      </c>
      <c r="B20" s="31">
        <v>2</v>
      </c>
      <c r="C20" s="33">
        <v>870000</v>
      </c>
      <c r="D20" s="33">
        <f t="shared" si="0"/>
        <v>1740000</v>
      </c>
      <c r="E20" s="33"/>
      <c r="F20" s="35">
        <f t="shared" si="1"/>
        <v>1740000</v>
      </c>
    </row>
    <row r="21" spans="1:12" x14ac:dyDescent="0.25">
      <c r="A21" s="34" t="s">
        <v>100</v>
      </c>
      <c r="B21" s="31">
        <v>1</v>
      </c>
      <c r="C21" s="33">
        <v>870000</v>
      </c>
      <c r="D21" s="33">
        <f t="shared" si="0"/>
        <v>870000</v>
      </c>
      <c r="E21" s="33"/>
      <c r="F21" s="35">
        <f t="shared" si="1"/>
        <v>870000</v>
      </c>
    </row>
    <row r="22" spans="1:12" x14ac:dyDescent="0.25">
      <c r="A22" s="34" t="s">
        <v>101</v>
      </c>
      <c r="B22" s="31">
        <v>1</v>
      </c>
      <c r="C22" s="33">
        <v>870000</v>
      </c>
      <c r="D22" s="33">
        <f t="shared" si="0"/>
        <v>870000</v>
      </c>
      <c r="E22" s="33"/>
      <c r="F22" s="35">
        <f t="shared" si="1"/>
        <v>870000</v>
      </c>
    </row>
    <row r="23" spans="1:12" x14ac:dyDescent="0.25">
      <c r="A23" s="34" t="s">
        <v>102</v>
      </c>
      <c r="B23" s="31">
        <v>1</v>
      </c>
      <c r="C23" s="33">
        <v>870000</v>
      </c>
      <c r="D23" s="33">
        <f t="shared" si="0"/>
        <v>870000</v>
      </c>
      <c r="E23" s="33"/>
      <c r="F23" s="35">
        <f t="shared" si="1"/>
        <v>870000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1593-F85E-4AFB-857B-F70230411289}">
  <sheetPr codeName="Hoja6"/>
  <dimension ref="A2:L30"/>
  <sheetViews>
    <sheetView showGridLines="0" topLeftCell="A4" zoomScale="140" zoomScaleNormal="140" workbookViewId="0">
      <selection activeCell="I26" sqref="I26"/>
    </sheetView>
  </sheetViews>
  <sheetFormatPr baseColWidth="10" defaultColWidth="11.42578125" defaultRowHeight="15" x14ac:dyDescent="0.25"/>
  <cols>
    <col min="7" max="7" width="17" bestFit="1" customWidth="1"/>
    <col min="8" max="8" width="14.42578125" bestFit="1" customWidth="1"/>
    <col min="9" max="9" width="20" bestFit="1" customWidth="1"/>
    <col min="10" max="10" width="19.7109375" bestFit="1" customWidth="1"/>
    <col min="11" max="11" width="26.28515625" bestFit="1" customWidth="1"/>
  </cols>
  <sheetData>
    <row r="2" spans="2:12" ht="18.75" x14ac:dyDescent="0.3">
      <c r="B2" s="58" t="s">
        <v>103</v>
      </c>
      <c r="C2" s="59"/>
      <c r="D2" s="59"/>
      <c r="E2" s="59"/>
      <c r="F2" s="59"/>
      <c r="G2" s="59"/>
      <c r="H2" s="59"/>
      <c r="I2" s="59"/>
      <c r="J2" s="59"/>
      <c r="K2" s="60"/>
    </row>
    <row r="5" spans="2:12" x14ac:dyDescent="0.25">
      <c r="B5" s="11" t="s">
        <v>8</v>
      </c>
      <c r="C5" s="12" t="s">
        <v>9</v>
      </c>
      <c r="D5" s="16" t="s">
        <v>104</v>
      </c>
      <c r="E5" s="7" t="s">
        <v>105</v>
      </c>
      <c r="F5" s="7" t="s">
        <v>106</v>
      </c>
      <c r="G5" s="7" t="s">
        <v>107</v>
      </c>
      <c r="H5" s="13" t="s">
        <v>108</v>
      </c>
      <c r="I5" s="9" t="s">
        <v>109</v>
      </c>
      <c r="J5" s="13" t="s">
        <v>110</v>
      </c>
      <c r="K5" s="13" t="s">
        <v>111</v>
      </c>
    </row>
    <row r="6" spans="2:12" x14ac:dyDescent="0.25">
      <c r="B6" s="14">
        <v>24000</v>
      </c>
      <c r="C6" s="8" t="s">
        <v>112</v>
      </c>
      <c r="D6" s="17">
        <v>100000</v>
      </c>
      <c r="E6" s="18">
        <f>SUMIFS(trans_2[[#All],[Q_Acciones]],trans_2[[#All],[BLOQUE]],D6,trans_2[[#All],[T_ESTADO]],"COMPRA")</f>
        <v>0</v>
      </c>
      <c r="F6" s="18">
        <f>SUMIFS(trans_2[Q_Acciones],trans_2[Estado_Firma],"POR FIRMAR",trans_2[BLOQUE],D6)</f>
        <v>0</v>
      </c>
      <c r="G6" s="18">
        <f>SUMIFS(trans_2[[#All],[Q_Acciones]],trans_2[[#All],[BLOQUE]],D6,trans_2[[#All],[T_ESTADO]],"RECOMPRA")</f>
        <v>0</v>
      </c>
      <c r="H6" s="19">
        <f>SUMIFS(trans_2[[#All],[Q_Acciones]],trans_2[[#All],[BLOQUE]],D6,trans_2[[#All],[T_ESTADO]],"RESCILIACION")</f>
        <v>0</v>
      </c>
      <c r="I6" s="21">
        <f>+bloque_acciones9[[#This Row],[RECOMPRADAS]]+bloque_acciones9[[#This Row],[VENDIDAS]]+bloque_acciones9[[#This Row],[RESCILIADAS]]</f>
        <v>0</v>
      </c>
      <c r="J6" s="15">
        <f>+bloque_acciones9[[#This Row],[Q_Acciones]]-bloque_acciones9[[#This Row],[VENDIDAS]]-bloque_acciones9[[#This Row],[RESERVADAS]]-bloque_acciones9[[#This Row],[RECOMPRADAS]]-bloque_acciones9[[#This Row],[RESCILIADAS]]</f>
        <v>24000</v>
      </c>
      <c r="K6" s="18">
        <f>+bloque_acciones9[[#This Row],[DISPONIBLES]]</f>
        <v>24000</v>
      </c>
    </row>
    <row r="7" spans="2:12" x14ac:dyDescent="0.25">
      <c r="B7" s="14">
        <v>891</v>
      </c>
      <c r="C7" s="8" t="s">
        <v>113</v>
      </c>
      <c r="D7" s="17">
        <v>110000</v>
      </c>
      <c r="E7" s="18">
        <f>SUMIFS(trans_2[[#All],[Q_Acciones]],trans_2[[#All],[BLOQUE]],D7,trans_2[[#All],[T_ESTADO]],"COMPRA")</f>
        <v>0</v>
      </c>
      <c r="F7" s="18">
        <f>SUMIFS(trans_2[Q_Acciones],trans_2[Estado_Firma],"POR FIRMAR",trans_2[BLOQUE],D7)</f>
        <v>0</v>
      </c>
      <c r="G7" s="18">
        <f>SUMIFS(trans_2[[#All],[Q_Acciones]],trans_2[[#All],[BLOQUE]],D7,trans_2[[#All],[T_ESTADO]],"RECOMPRA")</f>
        <v>0</v>
      </c>
      <c r="H7" s="18">
        <f>SUMIFS(trans_2[[#All],[Q_Acciones]],trans_2[[#All],[BLOQUE]],D7,trans_2[[#All],[T_ESTADO]],"RESCILIACION")</f>
        <v>0</v>
      </c>
      <c r="I7" s="21">
        <f>+bloque_acciones9[[#This Row],[RECOMPRADAS]]+bloque_acciones9[[#This Row],[VENDIDAS]]+bloque_acciones9[[#This Row],[RESCILIADAS]]</f>
        <v>0</v>
      </c>
      <c r="J7" s="15">
        <f>+bloque_acciones9[[#This Row],[Q_Acciones]]-bloque_acciones9[[#This Row],[VENDIDAS]]-bloque_acciones9[[#This Row],[RESERVADAS]]-bloque_acciones9[[#This Row],[RECOMPRADAS]]-bloque_acciones9[[#This Row],[RESCILIADAS]]</f>
        <v>891</v>
      </c>
      <c r="K7" s="18">
        <f>+bloque_acciones9[[#This Row],[DISPONIBLES]]</f>
        <v>891</v>
      </c>
    </row>
    <row r="8" spans="2:12" x14ac:dyDescent="0.25">
      <c r="B8" s="14">
        <v>2262</v>
      </c>
      <c r="C8" s="8" t="s">
        <v>114</v>
      </c>
      <c r="D8" s="17">
        <v>120000</v>
      </c>
      <c r="E8" s="18">
        <f>SUMIFS(trans_2[[#All],[Q_Acciones]],trans_2[[#All],[BLOQUE]],D8,trans_2[[#All],[T_ESTADO]],"COMPRA")</f>
        <v>0</v>
      </c>
      <c r="F8" s="18">
        <f>SUMIFS(trans_2[Q_Acciones],trans_2[Estado_Firma],"POR FIRMAR",trans_2[BLOQUE],D8)</f>
        <v>0</v>
      </c>
      <c r="G8" s="18">
        <f>SUMIFS(trans_2[[#All],[Q_Acciones]],trans_2[[#All],[BLOQUE]],D8,trans_2[[#All],[T_ESTADO]],"RECOMPRA")</f>
        <v>0</v>
      </c>
      <c r="H8" s="18">
        <f>SUMIFS(trans_2[[#All],[Q_Acciones]],trans_2[[#All],[BLOQUE]],D8,trans_2[[#All],[T_ESTADO]],"RESCILIACION")</f>
        <v>0</v>
      </c>
      <c r="I8" s="21">
        <f>+bloque_acciones9[[#This Row],[RECOMPRADAS]]+bloque_acciones9[[#This Row],[VENDIDAS]]+bloque_acciones9[[#This Row],[RESCILIADAS]]</f>
        <v>0</v>
      </c>
      <c r="J8" s="15">
        <f>+bloque_acciones9[[#This Row],[Q_Acciones]]-bloque_acciones9[[#This Row],[VENDIDAS]]-bloque_acciones9[[#This Row],[RESERVADAS]]-bloque_acciones9[[#This Row],[RECOMPRADAS]]-bloque_acciones9[[#This Row],[RESCILIADAS]]</f>
        <v>2262</v>
      </c>
      <c r="K8" s="18">
        <f>+bloque_acciones9[[#This Row],[DISPONIBLES]]-171</f>
        <v>2091</v>
      </c>
      <c r="L8" s="10"/>
    </row>
    <row r="9" spans="2:12" x14ac:dyDescent="0.25">
      <c r="B9" s="14">
        <v>2061</v>
      </c>
      <c r="C9" s="8" t="s">
        <v>115</v>
      </c>
      <c r="D9" s="17">
        <v>155000</v>
      </c>
      <c r="E9" s="18">
        <f>SUMIFS(trans_2[[#All],[Q_Acciones]],trans_2[[#All],[BLOQUE]],D9,trans_2[[#All],[T_ESTADO]],"COMPRA")</f>
        <v>0</v>
      </c>
      <c r="F9" s="18">
        <f>SUMIFS(trans_2[Q_Acciones],trans_2[Estado_Firma],"POR FIRMAR",trans_2[BLOQUE],D9)</f>
        <v>0</v>
      </c>
      <c r="G9" s="18">
        <f>SUMIFS(trans_2[[#All],[Q_Acciones]],trans_2[[#All],[BLOQUE]],D9,trans_2[[#All],[T_ESTADO]],"RECOMPRA")</f>
        <v>0</v>
      </c>
      <c r="H9" s="18">
        <f>SUMIFS(trans_2[[#All],[Q_Acciones]],trans_2[[#All],[BLOQUE]],D9,trans_2[[#All],[T_ESTADO]],"RESCILIACION")</f>
        <v>0</v>
      </c>
      <c r="I9" s="21">
        <f>+bloque_acciones9[[#This Row],[RECOMPRADAS]]+bloque_acciones9[[#This Row],[VENDIDAS]]+bloque_acciones9[[#This Row],[RESCILIADAS]]</f>
        <v>0</v>
      </c>
      <c r="J9" s="15">
        <f>+bloque_acciones9[[#This Row],[Q_Acciones]]-bloque_acciones9[[#This Row],[VENDIDAS]]-bloque_acciones9[[#This Row],[RESERVADAS]]-bloque_acciones9[[#This Row],[RECOMPRADAS]]-bloque_acciones9[[#This Row],[RESCILIADAS]]</f>
        <v>2061</v>
      </c>
      <c r="K9" s="18">
        <f>+bloque_acciones9[[#This Row],[DISPONIBLES]]-104</f>
        <v>1957</v>
      </c>
    </row>
    <row r="10" spans="2:12" x14ac:dyDescent="0.25">
      <c r="B10" s="14">
        <v>85</v>
      </c>
      <c r="C10" s="8" t="s">
        <v>116</v>
      </c>
      <c r="D10" s="17">
        <v>480000</v>
      </c>
      <c r="E10" s="18">
        <f>SUMIFS(trans_2[[#All],[Q_Acciones]],trans_2[[#All],[BLOQUE]],D10,trans_2[[#All],[T_ESTADO]],"COMPRA")</f>
        <v>0</v>
      </c>
      <c r="F10" s="18">
        <f>SUMIFS(trans_2[Q_Acciones],trans_2[Estado_Firma],"POR FIRMAR",trans_2[BLOQUE],D10)</f>
        <v>0</v>
      </c>
      <c r="G10" s="18">
        <f>SUMIFS(trans_2[[#All],[Q_Acciones]],trans_2[[#All],[BLOQUE]],D10,trans_2[[#All],[T_ESTADO]],"RECOMPRA")</f>
        <v>0</v>
      </c>
      <c r="H10" s="18">
        <f>SUMIFS(trans_2[[#All],[Q_Acciones]],trans_2[[#All],[BLOQUE]],D10,trans_2[[#All],[T_ESTADO]],"RESCILIACION")</f>
        <v>0</v>
      </c>
      <c r="I10" s="21">
        <f>+bloque_acciones9[[#This Row],[RECOMPRADAS]]+bloque_acciones9[[#This Row],[VENDIDAS]]+bloque_acciones9[[#This Row],[RESCILIADAS]]</f>
        <v>0</v>
      </c>
      <c r="J10" s="15">
        <f>+bloque_acciones9[[#This Row],[Q_Acciones]]-bloque_acciones9[[#This Row],[VENDIDAS]]-bloque_acciones9[[#This Row],[RESERVADAS]]-bloque_acciones9[[#This Row],[RECOMPRADAS]]-bloque_acciones9[[#This Row],[RESCILIADAS]]</f>
        <v>85</v>
      </c>
      <c r="K10" s="18">
        <f>+bloque_acciones9[[#This Row],[DISPONIBLES]]</f>
        <v>85</v>
      </c>
    </row>
    <row r="11" spans="2:12" x14ac:dyDescent="0.25">
      <c r="B11" s="14">
        <v>751</v>
      </c>
      <c r="C11" s="8" t="s">
        <v>117</v>
      </c>
      <c r="D11" s="17">
        <v>545000</v>
      </c>
      <c r="E11" s="18">
        <f>SUMIFS(trans_2[[#All],[Q_Acciones]],trans_2[[#All],[BLOQUE]],D11,trans_2[[#All],[T_ESTADO]],"COMPRA")</f>
        <v>0</v>
      </c>
      <c r="F11" s="18">
        <f>SUMIFS(trans_2[Q_Acciones],trans_2[Estado_Firma],"POR FIRMAR",trans_2[BLOQUE],D11)+4</f>
        <v>4</v>
      </c>
      <c r="G11" s="18">
        <f>SUMIFS(trans_2[[#All],[Q_Acciones]],trans_2[[#All],[BLOQUE]],D11,trans_2[[#All],[T_ESTADO]],"RECOMPRA")</f>
        <v>0</v>
      </c>
      <c r="H11" s="18">
        <f>SUMIFS(trans_2[[#All],[Q_Acciones]],trans_2[[#All],[BLOQUE]],D11,trans_2[[#All],[T_ESTADO]],"RESCILIACION")</f>
        <v>0</v>
      </c>
      <c r="I11" s="21">
        <f>+bloque_acciones9[[#This Row],[RECOMPRADAS]]+bloque_acciones9[[#This Row],[VENDIDAS]]+bloque_acciones9[[#This Row],[RESCILIADAS]]</f>
        <v>0</v>
      </c>
      <c r="J11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751</v>
      </c>
      <c r="K11" s="18">
        <f>+bloque_acciones9[[#This Row],[DISPONIBLES]]+171+104+124+4-4</f>
        <v>1150</v>
      </c>
    </row>
    <row r="12" spans="2:12" x14ac:dyDescent="0.25">
      <c r="B12" s="14">
        <v>795</v>
      </c>
      <c r="C12" s="8" t="s">
        <v>118</v>
      </c>
      <c r="D12" s="17">
        <v>610000</v>
      </c>
      <c r="E12" s="18">
        <f>SUMIFS(trans_2[[#All],[Q_Acciones]],trans_2[[#All],[BLOQUE]],D12,trans_2[[#All],[T_ESTADO]],"COMPRA")</f>
        <v>0</v>
      </c>
      <c r="F12" s="18">
        <f>SUMIFS(trans_2[Q_Acciones],trans_2[Estado_Firma],"POR FIRMAR",trans_2[BLOQUE],D12)</f>
        <v>0</v>
      </c>
      <c r="G12" s="18">
        <f>SUMIFS(trans_2[[#All],[Q_Acciones]],trans_2[[#All],[BLOQUE]],D12,trans_2[[#All],[T_ESTADO]],"RECOMPRA")</f>
        <v>0</v>
      </c>
      <c r="H12" s="18">
        <f>SUMIFS(trans_2[[#All],[Q_Acciones]],trans_2[[#All],[BLOQUE]],D12,trans_2[[#All],[T_ESTADO]],"RESCILIACION")</f>
        <v>0</v>
      </c>
      <c r="I12" s="21">
        <f>+bloque_acciones9[[#This Row],[RECOMPRADAS]]+bloque_acciones9[[#This Row],[VENDIDAS]]+bloque_acciones9[[#This Row],[RESCILIADAS]]</f>
        <v>0</v>
      </c>
      <c r="J12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795</v>
      </c>
      <c r="K12" s="18">
        <f>+bloque_acciones9[[#This Row],[DISPONIBLES]]-124-206-314-151</f>
        <v>0</v>
      </c>
      <c r="L12" s="10"/>
    </row>
    <row r="13" spans="2:12" x14ac:dyDescent="0.25">
      <c r="B13" s="14">
        <v>795</v>
      </c>
      <c r="C13" s="8" t="s">
        <v>119</v>
      </c>
      <c r="D13" s="17">
        <v>675000</v>
      </c>
      <c r="E13" s="18">
        <f>SUMIFS(trans_2[[#All],[Q_Acciones]],trans_2[[#All],[BLOQUE]],D13,trans_2[[#All],[T_ESTADO]],"COMPRA")</f>
        <v>0</v>
      </c>
      <c r="F13" s="18">
        <f>SUMIFS(trans_2[Q_Acciones],trans_2[Estado_Firma],"POR FIRMAR",trans_2[BLOQUE],D13)</f>
        <v>0</v>
      </c>
      <c r="G13" s="18">
        <f>SUMIFS(trans_2[[#All],[Q_Acciones]],trans_2[[#All],[BLOQUE]],D13,trans_2[[#All],[T_ESTADO]],"RECOMPRA")</f>
        <v>0</v>
      </c>
      <c r="H13" s="18">
        <f>SUMIFS(trans_2[[#All],[Q_Acciones]],trans_2[[#All],[BLOQUE]],D13,trans_2[[#All],[T_ESTADO]],"RESCILIACION")</f>
        <v>0</v>
      </c>
      <c r="I13" s="21">
        <f>+bloque_acciones9[[#This Row],[RECOMPRADAS]]+bloque_acciones9[[#This Row],[VENDIDAS]]+bloque_acciones9[[#This Row],[RESCILIADAS]]</f>
        <v>0</v>
      </c>
      <c r="J13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795</v>
      </c>
      <c r="K13" s="18">
        <f>+bloque_acciones9[[#This Row],[DISPONIBLES]]+206-4</f>
        <v>997</v>
      </c>
    </row>
    <row r="14" spans="2:12" x14ac:dyDescent="0.25">
      <c r="B14" s="14">
        <v>795</v>
      </c>
      <c r="C14" s="8" t="s">
        <v>120</v>
      </c>
      <c r="D14" s="17">
        <v>740000</v>
      </c>
      <c r="E14" s="21">
        <f>SUMIFS(trans_2[[#All],[Q_Acciones]],trans_2[[#All],[BLOQUE]],D14,trans_2[[#All],[T_ESTADO]],"COMPRA")</f>
        <v>0</v>
      </c>
      <c r="F14" s="18">
        <f>SUMIFS(trans_2[Q_Acciones],trans_2[Estado_Firma],"POR FIRMAR",trans_2[BLOQUE],D14)</f>
        <v>0</v>
      </c>
      <c r="G14" s="21">
        <f>SUMIFS(trans_2[[#All],[Q_Acciones]],trans_2[[#All],[BLOQUE]],D14,trans_2[[#All],[T_ESTADO]],"RECOMPRA")</f>
        <v>0</v>
      </c>
      <c r="H14" s="21">
        <f>SUMIFS(trans_2[[#All],[Q_Acciones]],trans_2[[#All],[BLOQUE]],D14,trans_2[[#All],[T_ESTADO]],"RESCILIACION")</f>
        <v>0</v>
      </c>
      <c r="I14" s="21">
        <f>+bloque_acciones9[[#This Row],[RECOMPRADAS]]+bloque_acciones9[[#This Row],[VENDIDAS]]+bloque_acciones9[[#This Row],[RESCILIADAS]]</f>
        <v>0</v>
      </c>
      <c r="J14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795</v>
      </c>
      <c r="K14" s="18">
        <f>+bloque_acciones9[[#This Row],[DISPONIBLES]]+314</f>
        <v>1109</v>
      </c>
    </row>
    <row r="15" spans="2:12" x14ac:dyDescent="0.25">
      <c r="B15" s="14">
        <v>795</v>
      </c>
      <c r="C15" s="8" t="s">
        <v>121</v>
      </c>
      <c r="D15" s="17">
        <v>805000</v>
      </c>
      <c r="E15" s="18">
        <f>SUMIFS(trans_2[[#All],[Q_Acciones]],trans_2[[#All],[BLOQUE]],D15,trans_2[[#All],[T_ESTADO]],"COMPRA")</f>
        <v>0</v>
      </c>
      <c r="F15" s="18">
        <f>SUMIFS(trans_2[Q_Acciones],trans_2[Estado_Firma],"POR FIRMAR",trans_2[BLOQUE],D15)</f>
        <v>0</v>
      </c>
      <c r="G15" s="18">
        <f>SUMIFS(trans_2[[#All],[Q_Acciones]],trans_2[[#All],[BLOQUE]],D15,trans_2[[#All],[T_ESTADO]],"RECOMPRA")</f>
        <v>0</v>
      </c>
      <c r="H15" s="18">
        <f>SUMIFS(trans_2[[#All],[Q_Acciones]],trans_2[[#All],[BLOQUE]],D15,trans_2[[#All],[T_ESTADO]],"RESCILIACION")</f>
        <v>0</v>
      </c>
      <c r="I15" s="21">
        <f>+bloque_acciones9[[#This Row],[RECOMPRADAS]]+bloque_acciones9[[#This Row],[VENDIDAS]]+bloque_acciones9[[#This Row],[RESCILIADAS]]</f>
        <v>0</v>
      </c>
      <c r="J15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795</v>
      </c>
      <c r="K15" s="18">
        <f>+bloque_acciones9[[#This Row],[DISPONIBLES]]+151+4</f>
        <v>950</v>
      </c>
    </row>
    <row r="16" spans="2:12" x14ac:dyDescent="0.25">
      <c r="B16" s="14">
        <v>795</v>
      </c>
      <c r="C16" s="8" t="s">
        <v>122</v>
      </c>
      <c r="D16" s="47">
        <v>870000</v>
      </c>
      <c r="E16" s="21">
        <f>SUMIFS(trans_2[[#All],[Q_Acciones]],trans_2[[#All],[BLOQUE]],D16,trans_2[[#All],[T_ESTADO]],"COMPRA")</f>
        <v>0</v>
      </c>
      <c r="F16" s="21">
        <f>SUMIFS(trans_2[Q_Acciones],trans_2[Estado_Firma],"POR FIRMAR",trans_2[BLOQUE],D16)</f>
        <v>0</v>
      </c>
      <c r="G16" s="21">
        <f>SUMIFS(trans_2[[#All],[Q_Acciones]],trans_2[[#All],[BLOQUE]],D16,trans_2[[#All],[T_ESTADO]],"RECOMPRA")</f>
        <v>0</v>
      </c>
      <c r="H16" s="21">
        <f>SUMIFS(trans_2[[#All],[Q_Acciones]],trans_2[[#All],[BLOQUE]],D16,trans_2[[#All],[T_ESTADO]],"RESCILIACION")</f>
        <v>0</v>
      </c>
      <c r="I16" s="21">
        <f>+bloque_acciones9[[#This Row],[RECOMPRADAS]]+bloque_acciones9[[#This Row],[VENDIDAS]]+bloque_acciones9[[#This Row],[RESCILIADAS]]</f>
        <v>0</v>
      </c>
      <c r="J16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795</v>
      </c>
      <c r="K16" s="21">
        <f>+bloque_acciones9[[#This Row],[DISPONIBLES]]</f>
        <v>795</v>
      </c>
    </row>
    <row r="17" spans="1:11" x14ac:dyDescent="0.25">
      <c r="B17" s="14">
        <v>795</v>
      </c>
      <c r="C17" s="8" t="s">
        <v>123</v>
      </c>
      <c r="D17" s="17">
        <v>935000</v>
      </c>
      <c r="E17" s="18">
        <f>SUMIFS(trans_2[[#All],[Q_Acciones]],trans_2[[#All],[BLOQUE]],D17,trans_2[[#All],[T_ESTADO]],"COMPRA")</f>
        <v>0</v>
      </c>
      <c r="F17" s="18">
        <f>SUMIFS(trans_2[Q_Acciones],trans_2[Estado_Firma],"POR FIRMAR",trans_2[BLOQUE],D17)</f>
        <v>0</v>
      </c>
      <c r="G17" s="18">
        <f>SUMIFS(trans_2[[#All],[Q_Acciones]],trans_2[[#All],[BLOQUE]],D17,trans_2[[#All],[T_ESTADO]],"RECOMPRA")</f>
        <v>0</v>
      </c>
      <c r="H17" s="18">
        <f>SUMIFS(trans_2[[#All],[Q_Acciones]],trans_2[[#All],[BLOQUE]],D17,trans_2[[#All],[T_ESTADO]],"RESCILIACION")</f>
        <v>0</v>
      </c>
      <c r="I17" s="18">
        <f>+bloque_acciones9[[#This Row],[RECOMPRADAS]]+bloque_acciones9[[#This Row],[VENDIDAS]]+bloque_acciones9[[#This Row],[RESCILIADAS]]</f>
        <v>0</v>
      </c>
      <c r="J17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795</v>
      </c>
      <c r="K17" s="18">
        <f>+bloque_acciones9[[#This Row],[DISPONIBLES]]</f>
        <v>795</v>
      </c>
    </row>
    <row r="18" spans="1:11" x14ac:dyDescent="0.25">
      <c r="B18" s="14">
        <v>795</v>
      </c>
      <c r="C18" s="8" t="s">
        <v>124</v>
      </c>
      <c r="D18" s="17">
        <v>1000000</v>
      </c>
      <c r="E18" s="18">
        <f>SUMIFS(trans_2[[#All],[Q_Acciones]],trans_2[[#All],[BLOQUE]],D18,trans_2[[#All],[T_ESTADO]],"COMPRA")</f>
        <v>0</v>
      </c>
      <c r="F18" s="18">
        <f>SUMIFS(trans_2[Q_Acciones],trans_2[Estado_Firma],"POR FIRMAR",trans_2[BLOQUE],D18)</f>
        <v>0</v>
      </c>
      <c r="G18" s="18">
        <f>SUMIFS(trans_2[[#All],[Q_Acciones]],trans_2[[#All],[BLOQUE]],D18,trans_2[[#All],[T_ESTADO]],"RECOMPRA")</f>
        <v>0</v>
      </c>
      <c r="H18" s="18">
        <f>SUMIFS(trans_2[[#All],[Q_Acciones]],trans_2[[#All],[BLOQUE]],D18,trans_2[[#All],[T_ESTADO]],"RESCILIACION")</f>
        <v>0</v>
      </c>
      <c r="I18" s="18">
        <f>+bloque_acciones9[[#This Row],[RECOMPRADAS]]+bloque_acciones9[[#This Row],[VENDIDAS]]+bloque_acciones9[[#This Row],[RESCILIADAS]]</f>
        <v>0</v>
      </c>
      <c r="J18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795</v>
      </c>
      <c r="K18" s="18">
        <f>+bloque_acciones9[[#This Row],[DISPONIBLES]]</f>
        <v>795</v>
      </c>
    </row>
    <row r="19" spans="1:11" x14ac:dyDescent="0.25">
      <c r="B19" s="14">
        <v>795</v>
      </c>
      <c r="C19" s="8" t="s">
        <v>125</v>
      </c>
      <c r="D19" s="17">
        <v>1065000</v>
      </c>
      <c r="E19" s="18">
        <f>SUMIFS(trans_2[[#All],[Q_Acciones]],trans_2[[#All],[BLOQUE]],D19,trans_2[[#All],[T_ESTADO]],"COMPRA")</f>
        <v>0</v>
      </c>
      <c r="F19" s="18">
        <f>SUMIFS(trans_2[Q_Acciones],trans_2[Estado_Firma],"POR FIRMAR",trans_2[BLOQUE],D19)</f>
        <v>0</v>
      </c>
      <c r="G19" s="18">
        <f>SUMIFS(trans_2[[#All],[Q_Acciones]],trans_2[[#All],[BLOQUE]],D19,trans_2[[#All],[T_ESTADO]],"RECOMPRA")</f>
        <v>0</v>
      </c>
      <c r="H19" s="18">
        <f>SUMIFS(trans_2[[#All],[Q_Acciones]],trans_2[[#All],[BLOQUE]],D19,trans_2[[#All],[T_ESTADO]],"RESCILIACION")</f>
        <v>0</v>
      </c>
      <c r="I19" s="18">
        <f>+bloque_acciones9[[#This Row],[RECOMPRADAS]]+bloque_acciones9[[#This Row],[VENDIDAS]]+bloque_acciones9[[#This Row],[RESCILIADAS]]</f>
        <v>0</v>
      </c>
      <c r="J19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795</v>
      </c>
      <c r="K19" s="18">
        <f>+bloque_acciones9[[#This Row],[DISPONIBLES]]</f>
        <v>795</v>
      </c>
    </row>
    <row r="20" spans="1:11" x14ac:dyDescent="0.25">
      <c r="B20" s="14">
        <v>795</v>
      </c>
      <c r="C20" s="8" t="s">
        <v>126</v>
      </c>
      <c r="D20" s="17">
        <v>1130000</v>
      </c>
      <c r="E20" s="18">
        <f>SUMIFS(trans_2[[#All],[Q_Acciones]],trans_2[[#All],[BLOQUE]],D20,trans_2[[#All],[T_ESTADO]],"COMPRA")</f>
        <v>2</v>
      </c>
      <c r="F20" s="18">
        <f>SUMIFS(trans_2[Q_Acciones],trans_2[Estado_Firma],"POR FIRMAR",trans_2[BLOQUE],D20)</f>
        <v>0</v>
      </c>
      <c r="G20" s="18">
        <f>SUMIFS(trans_2[[#All],[Q_Acciones]],trans_2[[#All],[BLOQUE]],D20,trans_2[[#All],[T_ESTADO]],"RECOMPRA")</f>
        <v>0</v>
      </c>
      <c r="H20" s="18">
        <f>SUMIFS(trans_2[[#All],[Q_Acciones]],trans_2[[#All],[BLOQUE]],D20,trans_2[[#All],[T_ESTADO]],"RESCILIACION")</f>
        <v>0</v>
      </c>
      <c r="I20" s="18">
        <f>+bloque_acciones9[[#This Row],[RECOMPRADAS]]+bloque_acciones9[[#This Row],[VENDIDAS]]+bloque_acciones9[[#This Row],[RESCILIADAS]]</f>
        <v>2</v>
      </c>
      <c r="J20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793</v>
      </c>
      <c r="K20" s="18">
        <f>+bloque_acciones9[[#This Row],[DISPONIBLES]]</f>
        <v>793</v>
      </c>
    </row>
    <row r="21" spans="1:11" x14ac:dyDescent="0.25">
      <c r="B21" s="14">
        <v>795</v>
      </c>
      <c r="C21" s="8" t="s">
        <v>127</v>
      </c>
      <c r="D21" s="17">
        <v>1195000</v>
      </c>
      <c r="E21" s="18">
        <f>SUMIFS(trans_2[[#All],[Q_Acciones]],trans_2[[#All],[BLOQUE]],D21,trans_2[[#All],[T_ESTADO]],"COMPRA")</f>
        <v>0</v>
      </c>
      <c r="F21" s="18">
        <f>SUMIFS(trans_2[Q_Acciones],trans_2[Estado_Firma],"POR FIRMAR",trans_2[BLOQUE],D21)</f>
        <v>0</v>
      </c>
      <c r="G21" s="18">
        <f>SUMIFS(trans_2[[#All],[Q_Acciones]],trans_2[[#All],[BLOQUE]],D21,trans_2[[#All],[T_ESTADO]],"RECOMPRA")</f>
        <v>0</v>
      </c>
      <c r="H21" s="18">
        <f>SUMIFS(trans_2[[#All],[Q_Acciones]],trans_2[[#All],[BLOQUE]],D21,trans_2[[#All],[T_ESTADO]],"RESCILIACION")</f>
        <v>0</v>
      </c>
      <c r="I21" s="18">
        <f>+bloque_acciones9[[#This Row],[RECOMPRADAS]]+bloque_acciones9[[#This Row],[VENDIDAS]]+bloque_acciones9[[#This Row],[RESCILIADAS]]</f>
        <v>0</v>
      </c>
      <c r="J21" s="15">
        <f>+bloque_acciones9[[#This Row],[Q_Acciones]]-bloque_acciones9[[#This Row],[VENDIDAS]]-bloque_acciones9[[#This Row],[RESERVADAS]]-bloque_acciones9[[#This Row],[RECOMPRADAS]]-bloque_acciones9[[#This Row],[RESCILIADAS]]+bloque_acciones9[[#This Row],[RESERVADAS]]</f>
        <v>795</v>
      </c>
      <c r="K21" s="18">
        <f>+bloque_acciones9[[#This Row],[DISPONIBLES]]</f>
        <v>795</v>
      </c>
    </row>
    <row r="22" spans="1:11" x14ac:dyDescent="0.25">
      <c r="A22" s="20" t="s">
        <v>128</v>
      </c>
      <c r="B22" s="20">
        <f>SUBTOTAL(109,bloque_acciones9[Q_Acciones])</f>
        <v>38000</v>
      </c>
      <c r="C22" s="20"/>
      <c r="D22" s="20"/>
      <c r="E22" s="20">
        <f>SUBTOTAL(109,bloque_acciones9[VENDIDAS])</f>
        <v>2</v>
      </c>
      <c r="F22" s="20">
        <f>SUBTOTAL(109,bloque_acciones9[RESERVADAS])</f>
        <v>4</v>
      </c>
      <c r="G22" s="20">
        <f>SUBTOTAL(109,bloque_acciones9[RECOMPRADAS])</f>
        <v>0</v>
      </c>
      <c r="H22" s="20">
        <f>SUBTOTAL(109,bloque_acciones9[RESCILIADAS])</f>
        <v>0</v>
      </c>
      <c r="I22" s="20">
        <f>SUBTOTAL(109,bloque_acciones9[VENDIDAS_AJUSTE])</f>
        <v>2</v>
      </c>
      <c r="J22" s="20">
        <f>SUBTOTAL(109,bloque_acciones9[DISPONIBLES])-4</f>
        <v>37994</v>
      </c>
      <c r="K22" s="20">
        <f>SUBTOTAL(109,bloque_acciones9[DISPONIBLES_AJUSTADAS])-4</f>
        <v>37994</v>
      </c>
    </row>
    <row r="23" spans="1:11" x14ac:dyDescent="0.25">
      <c r="B23" s="6"/>
      <c r="C23" s="6"/>
      <c r="D23" s="6"/>
      <c r="E23" s="6"/>
      <c r="F23" s="6"/>
      <c r="G23" s="6"/>
      <c r="H23" s="6"/>
      <c r="I23" s="20">
        <f>+B22-I22+F22-4</f>
        <v>37998</v>
      </c>
      <c r="J23" s="6" t="s">
        <v>129</v>
      </c>
    </row>
    <row r="24" spans="1:11" x14ac:dyDescent="0.25">
      <c r="I24" s="20">
        <f>+I23-F22</f>
        <v>37994</v>
      </c>
      <c r="J24" s="6" t="s">
        <v>130</v>
      </c>
    </row>
    <row r="30" spans="1:11" x14ac:dyDescent="0.25">
      <c r="B30" s="48" t="s">
        <v>131</v>
      </c>
    </row>
  </sheetData>
  <mergeCells count="1">
    <mergeCell ref="B2:K2"/>
  </mergeCells>
  <pageMargins left="0.7" right="0.7" top="0.75" bottom="0.75" header="0.3" footer="0.3"/>
  <ignoredErrors>
    <ignoredError sqref="E6:F6 F11" calculatedColumn="1"/>
  </ignoredErrors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BB07-B6A4-4691-B9FA-187B6F2859E2}">
  <sheetPr codeName="Hoja12"/>
  <dimension ref="A1:E4"/>
  <sheetViews>
    <sheetView workbookViewId="0">
      <selection activeCell="B3" sqref="B3"/>
    </sheetView>
  </sheetViews>
  <sheetFormatPr baseColWidth="10" defaultColWidth="11.42578125" defaultRowHeight="15" x14ac:dyDescent="0.25"/>
  <cols>
    <col min="1" max="1" width="15.42578125" bestFit="1" customWidth="1"/>
    <col min="2" max="2" width="10.140625" bestFit="1" customWidth="1"/>
  </cols>
  <sheetData>
    <row r="1" spans="1:5" x14ac:dyDescent="0.25">
      <c r="A1" t="s">
        <v>132</v>
      </c>
      <c r="B1" t="s">
        <v>72</v>
      </c>
    </row>
    <row r="2" spans="1:5" x14ac:dyDescent="0.25">
      <c r="A2" t="s">
        <v>133</v>
      </c>
      <c r="B2" s="50">
        <v>5685393</v>
      </c>
      <c r="E2" t="s">
        <v>134</v>
      </c>
    </row>
    <row r="3" spans="1:5" x14ac:dyDescent="0.25">
      <c r="A3" t="s">
        <v>135</v>
      </c>
      <c r="B3" s="50">
        <v>11627412</v>
      </c>
      <c r="E3" t="s">
        <v>136</v>
      </c>
    </row>
    <row r="4" spans="1:5" x14ac:dyDescent="0.25">
      <c r="E4" t="s">
        <v>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BDE0-88ED-422E-8856-E7C8660DED8B}">
  <sheetPr codeName="Hoja16"/>
  <dimension ref="G3:G19"/>
  <sheetViews>
    <sheetView workbookViewId="0">
      <selection activeCell="J9" sqref="J9"/>
    </sheetView>
  </sheetViews>
  <sheetFormatPr baseColWidth="10" defaultColWidth="11.42578125" defaultRowHeight="15" x14ac:dyDescent="0.25"/>
  <cols>
    <col min="7" max="7" width="26.140625" bestFit="1" customWidth="1"/>
  </cols>
  <sheetData>
    <row r="3" spans="7:7" ht="18.75" x14ac:dyDescent="0.3">
      <c r="G3" s="51" t="s">
        <v>138</v>
      </c>
    </row>
    <row r="4" spans="7:7" ht="30" x14ac:dyDescent="0.25">
      <c r="G4" s="52" t="s">
        <v>68</v>
      </c>
    </row>
    <row r="5" spans="7:7" x14ac:dyDescent="0.25">
      <c r="G5" s="52" t="s">
        <v>67</v>
      </c>
    </row>
    <row r="6" spans="7:7" x14ac:dyDescent="0.25">
      <c r="G6" s="52" t="s">
        <v>57</v>
      </c>
    </row>
    <row r="7" spans="7:7" x14ac:dyDescent="0.25">
      <c r="G7" s="52" t="s">
        <v>139</v>
      </c>
    </row>
    <row r="8" spans="7:7" x14ac:dyDescent="0.25">
      <c r="G8" s="52" t="s">
        <v>63</v>
      </c>
    </row>
    <row r="9" spans="7:7" x14ac:dyDescent="0.25">
      <c r="G9" s="52" t="s">
        <v>55</v>
      </c>
    </row>
    <row r="10" spans="7:7" ht="30" x14ac:dyDescent="0.25">
      <c r="G10" s="52" t="s">
        <v>56</v>
      </c>
    </row>
    <row r="11" spans="7:7" ht="45" x14ac:dyDescent="0.25">
      <c r="G11" s="52" t="s">
        <v>65</v>
      </c>
    </row>
    <row r="12" spans="7:7" x14ac:dyDescent="0.25">
      <c r="G12" s="52" t="s">
        <v>62</v>
      </c>
    </row>
    <row r="13" spans="7:7" x14ac:dyDescent="0.25">
      <c r="G13" s="52" t="s">
        <v>140</v>
      </c>
    </row>
    <row r="14" spans="7:7" x14ac:dyDescent="0.25">
      <c r="G14" s="52" t="s">
        <v>59</v>
      </c>
    </row>
    <row r="15" spans="7:7" x14ac:dyDescent="0.25">
      <c r="G15" s="52" t="s">
        <v>64</v>
      </c>
    </row>
    <row r="16" spans="7:7" x14ac:dyDescent="0.25">
      <c r="G16" s="52" t="s">
        <v>141</v>
      </c>
    </row>
    <row r="17" spans="7:7" x14ac:dyDescent="0.25">
      <c r="G17" s="52" t="s">
        <v>54</v>
      </c>
    </row>
    <row r="18" spans="7:7" ht="45" x14ac:dyDescent="0.25">
      <c r="G18" s="52" t="s">
        <v>66</v>
      </c>
    </row>
    <row r="19" spans="7:7" ht="30" x14ac:dyDescent="0.25">
      <c r="G19" s="52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D754-DC67-46F6-956A-32BAF8B16F59}">
  <sheetPr codeName="Hoja17"/>
  <dimension ref="A4:H16"/>
  <sheetViews>
    <sheetView showGridLines="0" workbookViewId="0">
      <selection activeCell="A7" sqref="A7:A16"/>
    </sheetView>
  </sheetViews>
  <sheetFormatPr baseColWidth="10" defaultColWidth="11.42578125" defaultRowHeight="15" x14ac:dyDescent="0.25"/>
  <cols>
    <col min="1" max="1" width="17.5703125" bestFit="1" customWidth="1"/>
  </cols>
  <sheetData>
    <row r="4" spans="1:8" ht="23.25" x14ac:dyDescent="0.35">
      <c r="A4" s="63" t="s">
        <v>143</v>
      </c>
      <c r="B4" s="63"/>
      <c r="C4" s="63"/>
      <c r="D4" s="63"/>
      <c r="E4" s="63"/>
      <c r="F4" s="63"/>
      <c r="G4" s="63"/>
      <c r="H4" s="63"/>
    </row>
    <row r="7" spans="1:8" ht="20.25" x14ac:dyDescent="0.3">
      <c r="A7" s="46" t="s">
        <v>144</v>
      </c>
    </row>
    <row r="8" spans="1:8" x14ac:dyDescent="0.25">
      <c r="A8" s="8" t="s">
        <v>43</v>
      </c>
    </row>
    <row r="9" spans="1:8" x14ac:dyDescent="0.25">
      <c r="A9" s="8" t="s">
        <v>27</v>
      </c>
    </row>
    <row r="10" spans="1:8" x14ac:dyDescent="0.25">
      <c r="A10" s="8" t="s">
        <v>42</v>
      </c>
    </row>
    <row r="11" spans="1:8" x14ac:dyDescent="0.25">
      <c r="A11" s="8" t="s">
        <v>20</v>
      </c>
    </row>
    <row r="12" spans="1:8" x14ac:dyDescent="0.25">
      <c r="A12" s="8" t="s">
        <v>18</v>
      </c>
    </row>
    <row r="13" spans="1:8" x14ac:dyDescent="0.25">
      <c r="A13" s="8" t="s">
        <v>29</v>
      </c>
    </row>
    <row r="14" spans="1:8" x14ac:dyDescent="0.25">
      <c r="A14" s="8" t="s">
        <v>37</v>
      </c>
    </row>
    <row r="15" spans="1:8" x14ac:dyDescent="0.25">
      <c r="A15" s="24" t="s">
        <v>31</v>
      </c>
    </row>
    <row r="16" spans="1:8" x14ac:dyDescent="0.25">
      <c r="A16" s="8" t="s">
        <v>52</v>
      </c>
    </row>
  </sheetData>
  <mergeCells count="1">
    <mergeCell ref="A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2E3A-90EC-47F5-A420-7306641E8649}">
  <sheetPr codeName="Hoja18"/>
  <dimension ref="F2:H55"/>
  <sheetViews>
    <sheetView showGridLines="0" topLeftCell="A10" workbookViewId="0">
      <selection activeCell="I9" sqref="I9"/>
    </sheetView>
  </sheetViews>
  <sheetFormatPr baseColWidth="10" defaultColWidth="11.42578125" defaultRowHeight="15" x14ac:dyDescent="0.25"/>
  <cols>
    <col min="7" max="7" width="54.42578125" bestFit="1" customWidth="1"/>
  </cols>
  <sheetData>
    <row r="2" spans="6:8" ht="18.75" x14ac:dyDescent="0.3">
      <c r="F2" s="64" t="s">
        <v>145</v>
      </c>
      <c r="G2" s="64"/>
      <c r="H2" s="64"/>
    </row>
    <row r="4" spans="6:8" x14ac:dyDescent="0.25">
      <c r="F4" t="s">
        <v>53</v>
      </c>
      <c r="G4" t="s">
        <v>146</v>
      </c>
    </row>
    <row r="5" spans="6:8" x14ac:dyDescent="0.25">
      <c r="F5">
        <v>1</v>
      </c>
      <c r="G5" t="s">
        <v>17</v>
      </c>
    </row>
    <row r="6" spans="6:8" x14ac:dyDescent="0.25">
      <c r="F6">
        <v>2</v>
      </c>
      <c r="G6" t="s">
        <v>19</v>
      </c>
    </row>
    <row r="7" spans="6:8" x14ac:dyDescent="0.25">
      <c r="F7">
        <v>3</v>
      </c>
      <c r="G7" t="s">
        <v>21</v>
      </c>
    </row>
    <row r="8" spans="6:8" x14ac:dyDescent="0.25">
      <c r="F8">
        <v>4</v>
      </c>
      <c r="G8" t="s">
        <v>22</v>
      </c>
    </row>
    <row r="9" spans="6:8" x14ac:dyDescent="0.25">
      <c r="F9">
        <v>5</v>
      </c>
      <c r="G9" t="s">
        <v>25</v>
      </c>
    </row>
    <row r="10" spans="6:8" x14ac:dyDescent="0.25">
      <c r="F10">
        <v>6</v>
      </c>
      <c r="G10" t="s">
        <v>15</v>
      </c>
    </row>
    <row r="11" spans="6:8" x14ac:dyDescent="0.25">
      <c r="F11">
        <v>7</v>
      </c>
      <c r="G11" t="s">
        <v>23</v>
      </c>
    </row>
    <row r="12" spans="6:8" x14ac:dyDescent="0.25">
      <c r="F12">
        <v>8</v>
      </c>
      <c r="G12" t="s">
        <v>24</v>
      </c>
    </row>
    <row r="13" spans="6:8" x14ac:dyDescent="0.25">
      <c r="F13">
        <v>9</v>
      </c>
      <c r="G13" t="s">
        <v>26</v>
      </c>
    </row>
    <row r="14" spans="6:8" x14ac:dyDescent="0.25">
      <c r="F14">
        <v>10</v>
      </c>
      <c r="G14" t="s">
        <v>28</v>
      </c>
    </row>
    <row r="15" spans="6:8" x14ac:dyDescent="0.25">
      <c r="F15">
        <v>11</v>
      </c>
      <c r="G15" t="s">
        <v>36</v>
      </c>
    </row>
    <row r="16" spans="6:8" x14ac:dyDescent="0.25">
      <c r="F16">
        <v>12</v>
      </c>
      <c r="G16" t="s">
        <v>51</v>
      </c>
    </row>
    <row r="17" spans="6:7" x14ac:dyDescent="0.25">
      <c r="F17">
        <v>13</v>
      </c>
      <c r="G17" t="s">
        <v>30</v>
      </c>
    </row>
    <row r="18" spans="6:7" x14ac:dyDescent="0.25">
      <c r="F18">
        <v>14</v>
      </c>
      <c r="G18" t="s">
        <v>58</v>
      </c>
    </row>
    <row r="19" spans="6:7" x14ac:dyDescent="0.25">
      <c r="F19">
        <v>15</v>
      </c>
      <c r="G19" t="s">
        <v>32</v>
      </c>
    </row>
    <row r="20" spans="6:7" x14ac:dyDescent="0.25">
      <c r="F20">
        <v>16</v>
      </c>
      <c r="G20" t="s">
        <v>34</v>
      </c>
    </row>
    <row r="21" spans="6:7" x14ac:dyDescent="0.25">
      <c r="F21">
        <v>17</v>
      </c>
      <c r="G21" t="s">
        <v>33</v>
      </c>
    </row>
    <row r="22" spans="6:7" x14ac:dyDescent="0.25">
      <c r="F22">
        <v>18</v>
      </c>
      <c r="G22" t="s">
        <v>39</v>
      </c>
    </row>
    <row r="23" spans="6:7" x14ac:dyDescent="0.25">
      <c r="F23">
        <v>19</v>
      </c>
      <c r="G23" t="s">
        <v>38</v>
      </c>
    </row>
    <row r="24" spans="6:7" x14ac:dyDescent="0.25">
      <c r="F24">
        <v>20</v>
      </c>
      <c r="G24" t="s">
        <v>35</v>
      </c>
    </row>
    <row r="25" spans="6:7" x14ac:dyDescent="0.25">
      <c r="F25">
        <v>21</v>
      </c>
      <c r="G25" t="s">
        <v>40</v>
      </c>
    </row>
    <row r="26" spans="6:7" x14ac:dyDescent="0.25">
      <c r="F26">
        <v>22</v>
      </c>
      <c r="G26" t="s">
        <v>60</v>
      </c>
    </row>
    <row r="27" spans="6:7" x14ac:dyDescent="0.25">
      <c r="F27">
        <v>23</v>
      </c>
      <c r="G27" t="s">
        <v>47</v>
      </c>
    </row>
    <row r="28" spans="6:7" x14ac:dyDescent="0.25">
      <c r="F28">
        <v>24</v>
      </c>
      <c r="G28" t="s">
        <v>46</v>
      </c>
    </row>
    <row r="29" spans="6:7" x14ac:dyDescent="0.25">
      <c r="F29">
        <v>25</v>
      </c>
      <c r="G29" t="s">
        <v>61</v>
      </c>
    </row>
    <row r="30" spans="6:7" x14ac:dyDescent="0.25">
      <c r="F30">
        <v>26</v>
      </c>
      <c r="G30" t="s">
        <v>45</v>
      </c>
    </row>
    <row r="31" spans="6:7" x14ac:dyDescent="0.25">
      <c r="F31">
        <v>27</v>
      </c>
      <c r="G31" t="s">
        <v>41</v>
      </c>
    </row>
    <row r="32" spans="6:7" x14ac:dyDescent="0.25">
      <c r="F32">
        <v>28</v>
      </c>
      <c r="G32" t="s">
        <v>48</v>
      </c>
    </row>
    <row r="33" spans="6:7" x14ac:dyDescent="0.25">
      <c r="F33">
        <v>29</v>
      </c>
      <c r="G33" t="s">
        <v>44</v>
      </c>
    </row>
    <row r="34" spans="6:7" x14ac:dyDescent="0.25">
      <c r="F34">
        <v>30</v>
      </c>
      <c r="G34" t="s">
        <v>50</v>
      </c>
    </row>
    <row r="35" spans="6:7" x14ac:dyDescent="0.25">
      <c r="F35">
        <v>31</v>
      </c>
      <c r="G35" t="s">
        <v>147</v>
      </c>
    </row>
    <row r="36" spans="6:7" x14ac:dyDescent="0.25">
      <c r="F36">
        <v>32</v>
      </c>
      <c r="G36" t="s">
        <v>49</v>
      </c>
    </row>
    <row r="37" spans="6:7" x14ac:dyDescent="0.25">
      <c r="F37">
        <v>33</v>
      </c>
    </row>
    <row r="38" spans="6:7" x14ac:dyDescent="0.25">
      <c r="F38">
        <v>34</v>
      </c>
    </row>
    <row r="39" spans="6:7" x14ac:dyDescent="0.25">
      <c r="F39">
        <v>35</v>
      </c>
    </row>
    <row r="40" spans="6:7" x14ac:dyDescent="0.25">
      <c r="F40">
        <v>36</v>
      </c>
    </row>
    <row r="41" spans="6:7" x14ac:dyDescent="0.25">
      <c r="F41">
        <v>37</v>
      </c>
    </row>
    <row r="42" spans="6:7" x14ac:dyDescent="0.25">
      <c r="F42">
        <v>38</v>
      </c>
    </row>
    <row r="43" spans="6:7" x14ac:dyDescent="0.25">
      <c r="F43">
        <v>39</v>
      </c>
    </row>
    <row r="44" spans="6:7" x14ac:dyDescent="0.25">
      <c r="F44">
        <v>40</v>
      </c>
    </row>
    <row r="45" spans="6:7" x14ac:dyDescent="0.25">
      <c r="F45">
        <v>41</v>
      </c>
    </row>
    <row r="46" spans="6:7" x14ac:dyDescent="0.25">
      <c r="F46">
        <v>42</v>
      </c>
    </row>
    <row r="47" spans="6:7" x14ac:dyDescent="0.25">
      <c r="F47">
        <v>43</v>
      </c>
    </row>
    <row r="48" spans="6:7" x14ac:dyDescent="0.25">
      <c r="F48">
        <v>44</v>
      </c>
    </row>
    <row r="49" spans="6:6" x14ac:dyDescent="0.25">
      <c r="F49">
        <v>45</v>
      </c>
    </row>
    <row r="50" spans="6:6" x14ac:dyDescent="0.25">
      <c r="F50">
        <v>46</v>
      </c>
    </row>
    <row r="51" spans="6:6" x14ac:dyDescent="0.25">
      <c r="F51">
        <v>47</v>
      </c>
    </row>
    <row r="52" spans="6:6" x14ac:dyDescent="0.25">
      <c r="F52">
        <v>48</v>
      </c>
    </row>
    <row r="53" spans="6:6" x14ac:dyDescent="0.25">
      <c r="F53">
        <v>49</v>
      </c>
    </row>
    <row r="54" spans="6:6" x14ac:dyDescent="0.25">
      <c r="F54">
        <v>50</v>
      </c>
    </row>
    <row r="55" spans="6:6" x14ac:dyDescent="0.25">
      <c r="F55">
        <v>51</v>
      </c>
    </row>
  </sheetData>
  <mergeCells count="1">
    <mergeCell ref="F2:H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tabla_trans</vt:lpstr>
      <vt:lpstr>folio_libro</vt:lpstr>
      <vt:lpstr>tabla_pagos</vt:lpstr>
      <vt:lpstr>tabla_p_firma_respaldo</vt:lpstr>
      <vt:lpstr>tabla_bloques</vt:lpstr>
      <vt:lpstr>Saldos_Bancos</vt:lpstr>
      <vt:lpstr>ListaRegiones</vt:lpstr>
      <vt:lpstr>listas</vt:lpstr>
      <vt:lpstr>accionistas_2022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Villarroel</dc:creator>
  <cp:keywords/>
  <dc:description/>
  <cp:lastModifiedBy>Felipe Villarroel</cp:lastModifiedBy>
  <cp:revision/>
  <dcterms:created xsi:type="dcterms:W3CDTF">2022-01-20T11:50:41Z</dcterms:created>
  <dcterms:modified xsi:type="dcterms:W3CDTF">2022-08-30T20:30:37Z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424dd607-6df8-453f-9d10-7418d40d11dd</vt:lpwstr>
  </property>
  <property fmtid="{D5CDD505-2E9C-101B-9397-08002B2CF9AE}" pid="3" name="ConnectionInfosStorage">
    <vt:lpwstr>WorkbookXmlParts</vt:lpwstr>
  </property>
</Properties>
</file>