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beaverbridges-my.sharepoint.com/personal/adrian_brown_beaverbridges_co_uk/Documents/Desktop/MASTER Spreadsheets - copies from BB Eng Template Folder/"/>
    </mc:Choice>
  </mc:AlternateContent>
  <xr:revisionPtr revIDLastSave="99" documentId="8_{F9737911-FFF7-49ED-9F77-DC6C15560EBD}" xr6:coauthVersionLast="47" xr6:coauthVersionMax="47" xr10:uidLastSave="{FF05A4FD-4939-4093-A359-EBAB119CC2BA}"/>
  <bookViews>
    <workbookView xWindow="-19308" yWindow="-8268" windowWidth="19416" windowHeight="14856" xr2:uid="{A683C038-49F6-4669-B1D2-FC810869D07D}"/>
  </bookViews>
  <sheets>
    <sheet name="Track Mat Analysis " sheetId="1" r:id="rId1"/>
    <sheet name="DATA SHEET" sheetId="2" r:id="rId2"/>
  </sheets>
  <externalReferences>
    <externalReference r:id="rId3"/>
    <externalReference r:id="rId4"/>
    <externalReference r:id="rId5"/>
    <externalReference r:id="rId6"/>
  </externalReferences>
  <definedNames>
    <definedName name="_xleta.OR" hidden="1" xlm="1">#NAME?</definedName>
    <definedName name="Addition">#REF!</definedName>
    <definedName name="AmbTempMax">#REF!</definedName>
    <definedName name="AmbTempMean">#REF!</definedName>
    <definedName name="AmbTempMin">#REF!</definedName>
    <definedName name="analysismethod">[1]job_details!$B$11</definedName>
    <definedName name="as">#REF!</definedName>
    <definedName name="b">#REF!</definedName>
    <definedName name="BinderContent">#REF!</definedName>
    <definedName name="BinderType">#REF!</definedName>
    <definedName name="Construction">#REF!</definedName>
    <definedName name="craneinfo">#REF!</definedName>
    <definedName name="cranelist">#REF!</definedName>
    <definedName name="deckinfo">#REF!</definedName>
    <definedName name="DeckType">#REF!</definedName>
    <definedName name="DeckValid">#REF!</definedName>
    <definedName name="Density">#REF!</definedName>
    <definedName name="epsilon">'[2]Steel Prop'!$E$20</definedName>
    <definedName name="erectoptions">#REF!</definedName>
    <definedName name="F">#REF!</definedName>
    <definedName name="Fa">#REF!</definedName>
    <definedName name="Fb">'[3]Splice Top Chord bolts'!$BI$46:$BI$48</definedName>
    <definedName name="FootValid">#REF!</definedName>
    <definedName name="Footwalk">#REF!</definedName>
    <definedName name="footwalkinfo">#REF!</definedName>
    <definedName name="footwalklist">#REF!</definedName>
    <definedName name="FormworkRemoval">#REF!</definedName>
    <definedName name="FormworkType">#REF!</definedName>
    <definedName name="HIGHSHEAR">#REF!</definedName>
    <definedName name="highway3.15">#REF!</definedName>
    <definedName name="L">#REF!</definedName>
    <definedName name="La">#REF!</definedName>
    <definedName name="Lb">'[3]Splice Top Chord bolts'!$BK$46:$BK$48</definedName>
    <definedName name="leveldatum">[1]job_details!$B$9</definedName>
    <definedName name="Liftoptions">#REF!</definedName>
    <definedName name="LISTA">'[4]Long Stress'!#REF!</definedName>
    <definedName name="locationinfo">#REF!</definedName>
    <definedName name="locationlist">#REF!</definedName>
    <definedName name="M">#REF!</definedName>
    <definedName name="Ma">#REF!</definedName>
    <definedName name="maldist">#REF!</definedName>
    <definedName name="MatTemplate">"Picture 61"</definedName>
    <definedName name="MatWidth">'Track Mat Analysis '!A1</definedName>
    <definedName name="MaxDif">#REF!</definedName>
    <definedName name="MaxDifT">#REF!</definedName>
    <definedName name="MaxTemp">#REF!</definedName>
    <definedName name="MaxTempT">#REF!</definedName>
    <definedName name="Mb">'[3]Splice Top Chord bolts'!$BI$51:$BI$53</definedName>
    <definedName name="Parapet">#REF!</definedName>
    <definedName name="parapetinfo">#REF!</definedName>
    <definedName name="parapetlist">#REF!</definedName>
    <definedName name="ParapetOptions">#REF!</definedName>
    <definedName name="ParaValid">#REF!</definedName>
    <definedName name="pierinfo">#REF!</definedName>
    <definedName name="pierlist">#REF!</definedName>
    <definedName name="PlacingTemp">#REF!</definedName>
    <definedName name="PlacingTime">#REF!</definedName>
    <definedName name="plantdata">#REF!</definedName>
    <definedName name="plantlist">#REF!</definedName>
    <definedName name="_xlnm.Print_Area" localSheetId="0">'Track Mat Analysis '!$B$2:$BC$681</definedName>
    <definedName name="QBinfo">#REF!</definedName>
    <definedName name="QBlist">#REF!</definedName>
    <definedName name="settings_deflower">[1]programsettings!$B$6</definedName>
    <definedName name="settings_defupper">[1]programsettings!$B$5</definedName>
    <definedName name="sHEARvALID">#REF!</definedName>
    <definedName name="Shift_uplift_data">#REF!</definedName>
    <definedName name="Shift_uplift_list">#REF!</definedName>
    <definedName name="SiteOperations">#REF!</definedName>
    <definedName name="soilarch">[1]job_details!$B$10</definedName>
    <definedName name="SpecificHeat">#REF!</definedName>
    <definedName name="SurfaceConductance">#REF!</definedName>
    <definedName name="T">#REF!</definedName>
    <definedName name="tf">#REF!</definedName>
    <definedName name="ThermalConductivity">#REF!</definedName>
    <definedName name="ThermalDiffusivity">#REF!</definedName>
    <definedName name="Thickness">#REF!</definedName>
    <definedName name="trucktype">#REF!</definedName>
    <definedName name="trussinfo">#REF!</definedName>
    <definedName name="trusslist">#REF!</definedName>
    <definedName name="TrussValid">#REF!</definedName>
    <definedName name="VehicleList">#REF!</definedName>
    <definedName name="Vehicles">#REF!</definedName>
    <definedName name="WindSpeed">#REF!</definedName>
    <definedName name="Yardwork">#REF!</definedName>
    <definedName name="Yardwork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463" i="1" l="1"/>
  <c r="AR463" i="1"/>
  <c r="AA463" i="1"/>
  <c r="X402" i="1"/>
  <c r="AJ472" i="1" l="1"/>
  <c r="AK469" i="1"/>
  <c r="AJ395" i="1"/>
  <c r="AC395" i="1"/>
  <c r="AJ391" i="1"/>
  <c r="W89" i="2" l="1"/>
  <c r="D80" i="2"/>
  <c r="X360" i="1" l="1"/>
  <c r="AD243" i="1"/>
  <c r="T246" i="1"/>
  <c r="AF174" i="1"/>
  <c r="V177" i="1"/>
  <c r="S203" i="1"/>
  <c r="AA161" i="1"/>
  <c r="AM161" i="1" s="1"/>
  <c r="AF199" i="1" s="1"/>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80" i="2"/>
  <c r="E81" i="2"/>
  <c r="E82" i="2"/>
  <c r="E83" i="2"/>
  <c r="E84" i="2"/>
  <c r="E85" i="2"/>
  <c r="E86" i="2"/>
  <c r="D86" i="2" s="1"/>
  <c r="E87" i="2"/>
  <c r="E88" i="2"/>
  <c r="E89" i="2"/>
  <c r="E90" i="2"/>
  <c r="E91" i="2"/>
  <c r="E92" i="2"/>
  <c r="E93" i="2"/>
  <c r="E94" i="2"/>
  <c r="E95" i="2"/>
  <c r="E96" i="2"/>
  <c r="E97" i="2"/>
  <c r="E98" i="2"/>
  <c r="E99" i="2"/>
  <c r="D99" i="2" s="1"/>
  <c r="E100" i="2"/>
  <c r="D100" i="2" s="1"/>
  <c r="E101" i="2"/>
  <c r="D101" i="2" s="1"/>
  <c r="E102" i="2"/>
  <c r="D102" i="2" s="1"/>
  <c r="E103" i="2"/>
  <c r="D103" i="2" s="1"/>
  <c r="E104" i="2"/>
  <c r="D104" i="2" s="1"/>
  <c r="E105" i="2"/>
  <c r="E106" i="2"/>
  <c r="E107" i="2"/>
  <c r="E108" i="2"/>
  <c r="E109" i="2"/>
  <c r="E110" i="2"/>
  <c r="E111" i="2"/>
  <c r="D111" i="2" s="1"/>
  <c r="E112" i="2"/>
  <c r="E113" i="2"/>
  <c r="E114" i="2"/>
  <c r="E115" i="2"/>
  <c r="D115" i="2" s="1"/>
  <c r="E116" i="2"/>
  <c r="E117" i="2"/>
  <c r="E118" i="2"/>
  <c r="E119" i="2"/>
  <c r="E120" i="2"/>
  <c r="E121" i="2"/>
  <c r="E122" i="2"/>
  <c r="E123" i="2"/>
  <c r="E124" i="2"/>
  <c r="E125" i="2"/>
  <c r="E126" i="2"/>
  <c r="E127" i="2"/>
  <c r="E128" i="2"/>
  <c r="E129" i="2"/>
  <c r="E130" i="2"/>
  <c r="E80" i="2"/>
  <c r="D88" i="2"/>
  <c r="D89" i="2"/>
  <c r="D90" i="2"/>
  <c r="D91" i="2"/>
  <c r="D92" i="2"/>
  <c r="D93" i="2"/>
  <c r="D94" i="2"/>
  <c r="D95" i="2"/>
  <c r="D96" i="2"/>
  <c r="D97" i="2"/>
  <c r="D98" i="2"/>
  <c r="D116" i="2"/>
  <c r="D117" i="2"/>
  <c r="D118" i="2"/>
  <c r="D119" i="2"/>
  <c r="D120" i="2"/>
  <c r="D121" i="2"/>
  <c r="D122" i="2"/>
  <c r="D123" i="2"/>
  <c r="D124" i="2"/>
  <c r="D125" i="2"/>
  <c r="D126" i="2"/>
  <c r="AW375" i="1"/>
  <c r="AP621" i="1"/>
  <c r="AP620" i="1"/>
  <c r="AP616" i="1"/>
  <c r="AP614" i="1"/>
  <c r="AP553" i="1"/>
  <c r="AP552" i="1"/>
  <c r="AP548" i="1"/>
  <c r="AP546" i="1"/>
  <c r="AP485" i="1"/>
  <c r="AP484" i="1"/>
  <c r="AP480" i="1"/>
  <c r="AP478" i="1"/>
  <c r="AP417" i="1"/>
  <c r="AP416" i="1"/>
  <c r="AP412" i="1"/>
  <c r="AP410" i="1"/>
  <c r="AP349" i="1"/>
  <c r="AP348" i="1"/>
  <c r="AP344" i="1"/>
  <c r="AP342" i="1"/>
  <c r="AP281" i="1"/>
  <c r="AP280" i="1"/>
  <c r="AP276" i="1"/>
  <c r="AP274" i="1"/>
  <c r="AP213" i="1"/>
  <c r="AP212" i="1"/>
  <c r="AP208" i="1"/>
  <c r="AP206" i="1"/>
  <c r="AR324" i="1"/>
  <c r="J150" i="1"/>
  <c r="Z328" i="1"/>
  <c r="W90" i="2"/>
  <c r="Y90" i="2" s="1"/>
  <c r="W91" i="2"/>
  <c r="Y91" i="2" s="1"/>
  <c r="D112" i="2" l="1"/>
  <c r="D87" i="2"/>
  <c r="D114" i="2"/>
  <c r="D113" i="2"/>
  <c r="D85" i="2"/>
  <c r="D84" i="2"/>
  <c r="D83" i="2"/>
  <c r="D82" i="2"/>
  <c r="D109" i="2"/>
  <c r="D81" i="2"/>
  <c r="D108" i="2"/>
  <c r="D107" i="2"/>
  <c r="D106" i="2"/>
  <c r="D105" i="2"/>
  <c r="D110" i="2"/>
  <c r="D130" i="2"/>
  <c r="D129" i="2"/>
  <c r="D128" i="2"/>
  <c r="D127" i="2"/>
  <c r="AN85" i="1"/>
  <c r="P251" i="1"/>
  <c r="U188" i="1"/>
  <c r="AD188" i="1" s="1"/>
  <c r="AC191" i="1" s="1"/>
  <c r="AW254" i="1"/>
  <c r="AK243" i="1"/>
  <c r="U247" i="1" s="1"/>
  <c r="AW193" i="1"/>
  <c r="V152" i="1"/>
  <c r="U232" i="1"/>
  <c r="AE232" i="1" s="1"/>
  <c r="AE237" i="1" s="1"/>
  <c r="V195" i="1"/>
  <c r="V154" i="1"/>
  <c r="AR326" i="1" s="1"/>
  <c r="AE329" i="1" s="1"/>
  <c r="AC177" i="1"/>
  <c r="AB182" i="1" s="1"/>
  <c r="AN174" i="1"/>
  <c r="AK182" i="1" s="1"/>
  <c r="AN88" i="1"/>
  <c r="AN87" i="1"/>
  <c r="X507" i="1"/>
  <c r="V221" i="1" l="1"/>
  <c r="X399" i="1"/>
  <c r="T169" i="1"/>
  <c r="AJ193" i="1"/>
  <c r="AB251" i="1"/>
  <c r="AB254" i="1" s="1"/>
  <c r="AF195" i="1"/>
  <c r="AG205" i="1" s="1"/>
  <c r="AH511" i="1"/>
  <c r="J292" i="1"/>
  <c r="X357" i="1"/>
  <c r="W93" i="2"/>
  <c r="Y93" i="2" s="1"/>
  <c r="W92" i="2"/>
  <c r="Y92" i="2" s="1"/>
  <c r="Y89" i="2"/>
  <c r="X434" i="1"/>
  <c r="AR447" i="1"/>
  <c r="V432" i="1"/>
  <c r="V22" i="1" s="1"/>
  <c r="X443" i="1"/>
  <c r="X359" i="1"/>
  <c r="X358" i="1"/>
  <c r="N100" i="2"/>
  <c r="N99" i="2"/>
  <c r="N98" i="2"/>
  <c r="N97" i="2"/>
  <c r="N96" i="2"/>
  <c r="N95" i="2"/>
  <c r="N94" i="2"/>
  <c r="Y291" i="1"/>
  <c r="S291" i="1"/>
  <c r="AM290" i="1"/>
  <c r="AA20" i="1"/>
  <c r="AA354" i="1"/>
  <c r="AR369" i="1"/>
  <c r="V372" i="1" s="1"/>
  <c r="X365" i="1"/>
  <c r="AF367" i="1" s="1"/>
  <c r="H70" i="2"/>
  <c r="F70" i="2"/>
  <c r="E70" i="2"/>
  <c r="H69" i="2"/>
  <c r="F69" i="2"/>
  <c r="E69" i="2"/>
  <c r="H68" i="2"/>
  <c r="F68" i="2"/>
  <c r="E68" i="2"/>
  <c r="H66" i="2"/>
  <c r="F66" i="2"/>
  <c r="E66" i="2"/>
  <c r="H65" i="2"/>
  <c r="F65" i="2"/>
  <c r="E65" i="2"/>
  <c r="H64" i="2"/>
  <c r="F64" i="2"/>
  <c r="E64" i="2"/>
  <c r="H63" i="2"/>
  <c r="F63" i="2"/>
  <c r="E63" i="2"/>
  <c r="H62" i="2"/>
  <c r="F62" i="2"/>
  <c r="E62" i="2"/>
  <c r="H61" i="2"/>
  <c r="F61" i="2"/>
  <c r="E61" i="2"/>
  <c r="H59" i="2"/>
  <c r="F59" i="2"/>
  <c r="E59" i="2"/>
  <c r="H58" i="2"/>
  <c r="F58" i="2"/>
  <c r="E58" i="2"/>
  <c r="H57" i="2"/>
  <c r="F57" i="2"/>
  <c r="E57" i="2"/>
  <c r="H56" i="2"/>
  <c r="F56" i="2"/>
  <c r="E56" i="2"/>
  <c r="H55" i="2"/>
  <c r="F55" i="2"/>
  <c r="E55" i="2"/>
  <c r="H54" i="2"/>
  <c r="F54" i="2"/>
  <c r="E54" i="2"/>
  <c r="H53" i="2"/>
  <c r="F53" i="2"/>
  <c r="E53" i="2"/>
  <c r="H51" i="2"/>
  <c r="F51" i="2"/>
  <c r="E51" i="2"/>
  <c r="H50" i="2"/>
  <c r="F50" i="2"/>
  <c r="E50" i="2"/>
  <c r="H49" i="2"/>
  <c r="F49" i="2"/>
  <c r="E49" i="2"/>
  <c r="H48" i="2"/>
  <c r="F48" i="2"/>
  <c r="E48" i="2"/>
  <c r="H46" i="2"/>
  <c r="F46" i="2"/>
  <c r="E46" i="2"/>
  <c r="H45" i="2"/>
  <c r="F45" i="2"/>
  <c r="E45" i="2"/>
  <c r="H44" i="2"/>
  <c r="F44" i="2"/>
  <c r="E44" i="2"/>
  <c r="H43" i="2"/>
  <c r="F43" i="2"/>
  <c r="E43" i="2"/>
  <c r="H42" i="2"/>
  <c r="F42" i="2"/>
  <c r="E42" i="2"/>
  <c r="H41" i="2"/>
  <c r="F41" i="2"/>
  <c r="E41" i="2"/>
  <c r="H40" i="2"/>
  <c r="F40" i="2"/>
  <c r="E40" i="2"/>
  <c r="H39" i="2"/>
  <c r="F39" i="2"/>
  <c r="E39" i="2"/>
  <c r="H38" i="2"/>
  <c r="F38" i="2"/>
  <c r="E38" i="2"/>
  <c r="H36" i="2"/>
  <c r="F36" i="2"/>
  <c r="E36" i="2"/>
  <c r="H35" i="2"/>
  <c r="F35" i="2"/>
  <c r="E35" i="2"/>
  <c r="H34" i="2"/>
  <c r="F34" i="2"/>
  <c r="E34" i="2"/>
  <c r="H33" i="2"/>
  <c r="F33" i="2"/>
  <c r="E33" i="2"/>
  <c r="H32" i="2"/>
  <c r="F32" i="2"/>
  <c r="E32" i="2"/>
  <c r="H30" i="2"/>
  <c r="F30" i="2"/>
  <c r="E30" i="2"/>
  <c r="AP7" i="1"/>
  <c r="AP145" i="1"/>
  <c r="AP144" i="1"/>
  <c r="AP140" i="1"/>
  <c r="AP138" i="1"/>
  <c r="AP77" i="1"/>
  <c r="AP76" i="1"/>
  <c r="AP74" i="1"/>
  <c r="AP142" i="1" s="1"/>
  <c r="AP210" i="1" s="1"/>
  <c r="AP278" i="1" s="1"/>
  <c r="AP346" i="1" s="1"/>
  <c r="AP414" i="1" s="1"/>
  <c r="AP482" i="1" s="1"/>
  <c r="AP550" i="1" s="1"/>
  <c r="AP618" i="1" s="1"/>
  <c r="AP72" i="1"/>
  <c r="AP70" i="1"/>
  <c r="X363" i="1" l="1"/>
  <c r="I387" i="1" s="1"/>
  <c r="AJ387" i="1"/>
  <c r="S387" i="1"/>
  <c r="AP391" i="1"/>
  <c r="AP395" i="1"/>
  <c r="AO397" i="1" s="1"/>
  <c r="AC403" i="1" s="1"/>
  <c r="X438" i="1"/>
  <c r="V450" i="1" s="1"/>
  <c r="M463" i="1" s="1"/>
  <c r="V375" i="1"/>
  <c r="AR387" i="1" s="1"/>
  <c r="V373" i="1"/>
  <c r="AA387" i="1" s="1"/>
  <c r="AP551" i="1"/>
  <c r="AP619" i="1"/>
  <c r="AP415" i="1"/>
  <c r="AP483" i="1"/>
  <c r="AP279" i="1"/>
  <c r="AP347" i="1"/>
  <c r="AP211" i="1"/>
  <c r="AP143" i="1"/>
  <c r="AB167" i="1"/>
  <c r="X436" i="1"/>
  <c r="I463" i="1" s="1"/>
  <c r="X435" i="1"/>
  <c r="X441" i="1"/>
  <c r="Y475" i="1" s="1"/>
  <c r="AP75" i="1"/>
  <c r="AJ463" i="1" l="1"/>
  <c r="S463" i="1"/>
  <c r="AP472" i="1"/>
  <c r="AQ469" i="1"/>
  <c r="V451" i="1"/>
  <c r="V452" i="1"/>
  <c r="V453" i="1"/>
  <c r="AM167" i="1"/>
  <c r="J172" i="1" s="1"/>
  <c r="V374" i="1"/>
  <c r="M387" i="1" l="1"/>
  <c r="Z329" i="1" l="1"/>
  <c r="AR328" i="1" s="1"/>
  <c r="X364" i="1" s="1"/>
  <c r="X367" i="1" s="1"/>
  <c r="AP367" i="1" s="1"/>
  <c r="V153" i="1"/>
  <c r="AR325" i="1" s="1"/>
  <c r="X362" i="1"/>
  <c r="AC391" i="1" l="1"/>
  <c r="AP393" i="1" s="1"/>
  <c r="X403" i="1" s="1"/>
  <c r="V377" i="1"/>
  <c r="AU387" i="1" s="1"/>
  <c r="V379" i="1"/>
  <c r="P387" i="1" s="1"/>
  <c r="V378" i="1"/>
  <c r="AD387" i="1" s="1"/>
  <c r="X440" i="1"/>
  <c r="AD469" i="1" s="1"/>
  <c r="AP470" i="1" s="1"/>
  <c r="AC400" i="1"/>
  <c r="V155" i="1"/>
  <c r="S228" i="1"/>
  <c r="AP228" i="1" s="1"/>
  <c r="AP389" i="1" l="1"/>
  <c r="X406" i="1" s="1"/>
  <c r="S172" i="1"/>
  <c r="AB172" i="1" s="1"/>
  <c r="AM172" i="1" s="1"/>
  <c r="AD183" i="1" s="1"/>
  <c r="Z169" i="1"/>
  <c r="AF169" i="1" s="1"/>
  <c r="AM169" i="1" s="1"/>
  <c r="Y476" i="1"/>
  <c r="AF219" i="1"/>
  <c r="V222" i="1" s="1"/>
  <c r="P92" i="2"/>
  <c r="P90" i="2"/>
  <c r="P89" i="2"/>
  <c r="P100" i="2"/>
  <c r="W100" i="2" s="1"/>
  <c r="Y100" i="2" s="1"/>
  <c r="P91" i="2"/>
  <c r="P97" i="2"/>
  <c r="W97" i="2" s="1"/>
  <c r="Y97" i="2" s="1"/>
  <c r="X439" i="1"/>
  <c r="P96" i="2"/>
  <c r="W96" i="2" s="1"/>
  <c r="Y96" i="2" s="1"/>
  <c r="P95" i="2"/>
  <c r="P98" i="2"/>
  <c r="W98" i="2" s="1"/>
  <c r="Y98" i="2" s="1"/>
  <c r="X400" i="1"/>
  <c r="AO399" i="1" s="1"/>
  <c r="P99" i="2"/>
  <c r="W99" i="2" s="1"/>
  <c r="Y99" i="2" s="1"/>
  <c r="P93" i="2"/>
  <c r="P94" i="2"/>
  <c r="W94" i="2" s="1"/>
  <c r="Y94" i="2" s="1"/>
  <c r="V455" i="1" l="1"/>
  <c r="V456" i="1"/>
  <c r="AD463" i="1" s="1"/>
  <c r="V457" i="1"/>
  <c r="P463" i="1" s="1"/>
  <c r="AO402" i="1"/>
  <c r="AC472" i="1"/>
  <c r="AP473" i="1" s="1"/>
  <c r="AC476" i="1" s="1"/>
  <c r="AG226" i="1"/>
  <c r="AF221" i="1"/>
  <c r="AG225" i="1" s="1"/>
  <c r="AE236" i="1" s="1"/>
  <c r="AP236" i="1" s="1"/>
  <c r="AW236" i="1" s="1"/>
  <c r="W95" i="2"/>
  <c r="Y95" i="2" s="1"/>
  <c r="AM427" i="1" s="1"/>
  <c r="AI430" i="1" s="1"/>
  <c r="X442" i="1"/>
  <c r="X445" i="1" s="1"/>
  <c r="J430" i="1"/>
  <c r="AU463" i="1" l="1"/>
  <c r="AP465" i="1" s="1"/>
  <c r="V468" i="1" s="1"/>
  <c r="X405" i="1"/>
  <c r="AP405" i="1" s="1"/>
  <c r="AW405" i="1" s="1"/>
  <c r="V467" i="1"/>
  <c r="AP225" i="1"/>
  <c r="AW225" i="1" s="1"/>
  <c r="N186" i="1"/>
  <c r="AW427" i="1"/>
  <c r="AP475" i="1"/>
  <c r="N511" i="1" s="1"/>
  <c r="AW511" i="1" s="1"/>
  <c r="AP467" i="1" l="1"/>
  <c r="AW467" i="1" s="1"/>
  <c r="AD186" i="1"/>
  <c r="Y199" i="1"/>
  <c r="AL199" i="1" s="1"/>
  <c r="AR182" i="1"/>
  <c r="AN186" i="1" l="1"/>
  <c r="AC190" i="1" s="1"/>
  <c r="AO190" i="1" s="1"/>
  <c r="AA193" i="1" s="1"/>
  <c r="AQ193" i="1" s="1"/>
  <c r="N246" i="1"/>
  <c r="N202" i="1"/>
  <c r="Y202" i="1" l="1"/>
  <c r="AG204" i="1" s="1"/>
  <c r="AP204" i="1" s="1"/>
  <c r="AW204" i="1" s="1"/>
  <c r="AB246" i="1"/>
  <c r="V254" i="1" s="1"/>
  <c r="AK254" i="1" s="1"/>
</calcChain>
</file>

<file path=xl/sharedStrings.xml><?xml version="1.0" encoding="utf-8"?>
<sst xmlns="http://schemas.openxmlformats.org/spreadsheetml/2006/main" count="656" uniqueCount="331">
  <si>
    <t>The Warehouse, Cartmel Drive, Harlescott, Shrewsbury, SY1 3TB
01743 811 811
info@beaverbridges.co.uk
accounts@beaverbridges.co.uk</t>
  </si>
  <si>
    <t>Project No:</t>
  </si>
  <si>
    <t>Project Title:</t>
  </si>
  <si>
    <t>Sheet No:</t>
  </si>
  <si>
    <t>Date:</t>
  </si>
  <si>
    <t>Engineer:</t>
  </si>
  <si>
    <t>Checked:</t>
  </si>
  <si>
    <t>Part</t>
  </si>
  <si>
    <t>REF</t>
  </si>
  <si>
    <t xml:space="preserve">Output </t>
  </si>
  <si>
    <t>BB----</t>
  </si>
  <si>
    <t>TITLE</t>
  </si>
  <si>
    <t>AB</t>
  </si>
  <si>
    <t>Strength class</t>
  </si>
  <si>
    <t>Bending stess parallel to grain    N/mm²</t>
  </si>
  <si>
    <t>Tensile Stress parallel to Grain    N/mm²</t>
  </si>
  <si>
    <t>Compressive stress parallel to grain        (σc,g,|| )  N/mm²</t>
  </si>
  <si>
    <t>Compressive stress perpendicular to grain (σc,g,|| )             N/mm²</t>
  </si>
  <si>
    <t>Compressive stress perpendicular to grain (WANE)  (σc,g,|| ) N/mm²</t>
  </si>
  <si>
    <t>Shear stress parallel to grain                  (τg )             N/mm²</t>
  </si>
  <si>
    <t>Modulus of elasticity Emean N/mm²</t>
  </si>
  <si>
    <t>Modulus of elasticity - min    N/mm²</t>
  </si>
  <si>
    <t>C16</t>
  </si>
  <si>
    <t xml:space="preserve">Yes </t>
  </si>
  <si>
    <t xml:space="preserve">Internal </t>
  </si>
  <si>
    <t>C24</t>
  </si>
  <si>
    <t>No</t>
  </si>
  <si>
    <t>External</t>
  </si>
  <si>
    <t>C27</t>
  </si>
  <si>
    <t>D30</t>
  </si>
  <si>
    <t>D40</t>
  </si>
  <si>
    <t>D50</t>
  </si>
  <si>
    <t>D60</t>
  </si>
  <si>
    <t>D70</t>
  </si>
  <si>
    <r>
      <t>Modification factor K</t>
    </r>
    <r>
      <rPr>
        <sz val="8"/>
        <color theme="1"/>
        <rFont val="Nexa Light"/>
      </rPr>
      <t>3</t>
    </r>
    <r>
      <rPr>
        <sz val="11"/>
        <color theme="1"/>
        <rFont val="Nexa Light"/>
      </rPr>
      <t xml:space="preserve"> for duration of load on falsework</t>
    </r>
  </si>
  <si>
    <t xml:space="preserve">Duration of loading </t>
  </si>
  <si>
    <r>
      <t>K</t>
    </r>
    <r>
      <rPr>
        <sz val="8"/>
        <color theme="1"/>
        <rFont val="Nexa Light"/>
      </rPr>
      <t>3</t>
    </r>
  </si>
  <si>
    <t>BS6268 Table 17</t>
  </si>
  <si>
    <t>long term</t>
  </si>
  <si>
    <t>medium term</t>
  </si>
  <si>
    <t>short term</t>
  </si>
  <si>
    <t>very short term</t>
  </si>
  <si>
    <t>Nominal depth range (mm)</t>
  </si>
  <si>
    <t>150 or more</t>
  </si>
  <si>
    <r>
      <t>Factor K</t>
    </r>
    <r>
      <rPr>
        <sz val="6"/>
        <color theme="1"/>
        <rFont val="Nexa Light"/>
      </rPr>
      <t>7</t>
    </r>
  </si>
  <si>
    <t>Customary Section Size</t>
  </si>
  <si>
    <t>(B) mm</t>
  </si>
  <si>
    <t>(D) mm</t>
  </si>
  <si>
    <t>Section Modulus (y-y) mm3</t>
  </si>
  <si>
    <t>Second Moment of Area (y-y)                 mm4</t>
  </si>
  <si>
    <t>Area for Shear check (mm2)</t>
  </si>
  <si>
    <t>22 x 100</t>
  </si>
  <si>
    <t>38 x 100</t>
  </si>
  <si>
    <t>38 x 150</t>
  </si>
  <si>
    <t>38 x 175</t>
  </si>
  <si>
    <t>38 x 200</t>
  </si>
  <si>
    <t>38 x 225</t>
  </si>
  <si>
    <t>47 x 75</t>
  </si>
  <si>
    <t>47 x 100</t>
  </si>
  <si>
    <t>47 x 125</t>
  </si>
  <si>
    <t>47 x 150</t>
  </si>
  <si>
    <t>47 x 175</t>
  </si>
  <si>
    <t>47 x 200</t>
  </si>
  <si>
    <t>47 x 225</t>
  </si>
  <si>
    <t>47 x 250</t>
  </si>
  <si>
    <t>47 x 300</t>
  </si>
  <si>
    <t>63 x 150</t>
  </si>
  <si>
    <t>63 x 175</t>
  </si>
  <si>
    <t>63 x 200</t>
  </si>
  <si>
    <t>63 x 225</t>
  </si>
  <si>
    <t>75 x 100</t>
  </si>
  <si>
    <t>75 x 150</t>
  </si>
  <si>
    <t>75 x 175</t>
  </si>
  <si>
    <t>75 x 200</t>
  </si>
  <si>
    <t>75 x 225</t>
  </si>
  <si>
    <t>75 x 250</t>
  </si>
  <si>
    <t>75 x 300</t>
  </si>
  <si>
    <t>100 x 100</t>
  </si>
  <si>
    <t>100 x 150</t>
  </si>
  <si>
    <t>100 x 200</t>
  </si>
  <si>
    <t>100 x 225</t>
  </si>
  <si>
    <t>100 x 250</t>
  </si>
  <si>
    <t>100 x 300</t>
  </si>
  <si>
    <t>150 x 150</t>
  </si>
  <si>
    <t>150 x 300</t>
  </si>
  <si>
    <t>300 x 300</t>
  </si>
  <si>
    <t>Combination 1 - BS EN 1997-1:2004</t>
  </si>
  <si>
    <t>Combination 2 - BS EN 1997-1:2004</t>
  </si>
  <si>
    <r>
      <t xml:space="preserve">Internal Angle of Shear </t>
    </r>
    <r>
      <rPr>
        <sz val="11"/>
        <color theme="1"/>
        <rFont val="GreekC"/>
      </rPr>
      <t>Φ</t>
    </r>
  </si>
  <si>
    <t xml:space="preserve">Bearing Capacity Factors </t>
  </si>
  <si>
    <t>Nc</t>
  </si>
  <si>
    <t>Nq</t>
  </si>
  <si>
    <t>Contents</t>
  </si>
  <si>
    <t xml:space="preserve">1. INTRODUCTION </t>
  </si>
  <si>
    <t>Plan of location / Lifting Plan or other</t>
  </si>
  <si>
    <t>=</t>
  </si>
  <si>
    <t>Strength Class:</t>
  </si>
  <si>
    <t>x</t>
  </si>
  <si>
    <t xml:space="preserve">Applied Compressive Stress </t>
  </si>
  <si>
    <t>Applied Compressive Stress =</t>
  </si>
  <si>
    <t>L</t>
  </si>
  <si>
    <t xml:space="preserve">INSERT BOREHOLE EXTRACT HERE </t>
  </si>
  <si>
    <t xml:space="preserve">Ref. Borehole Log / SI </t>
  </si>
  <si>
    <t>(Lift Plan Ref.)</t>
  </si>
  <si>
    <t>(Design Parameters)</t>
  </si>
  <si>
    <t xml:space="preserve">Width of EKKI Mat  </t>
  </si>
  <si>
    <t xml:space="preserve">Length of EKKI Mat  </t>
  </si>
  <si>
    <t>Observed Soil Type:</t>
  </si>
  <si>
    <t>Undrained Shear Strength</t>
  </si>
  <si>
    <t>Footing Length:</t>
  </si>
  <si>
    <t>Footing Width:</t>
  </si>
  <si>
    <t>Applied Pressure:</t>
  </si>
  <si>
    <t xml:space="preserve">Partial Factor - var. / unfav. loads </t>
  </si>
  <si>
    <t>Partial Factor - soil strength parameters</t>
  </si>
  <si>
    <t>Design Angle ϕ is determined by  - (Angle of Repose,ϕ' / Partial Factor - soil strength parameters)</t>
  </si>
  <si>
    <t xml:space="preserve">Bearing Capacity Factor </t>
  </si>
  <si>
    <t xml:space="preserve">Layer Depth </t>
  </si>
  <si>
    <t>W</t>
  </si>
  <si>
    <t>-</t>
  </si>
  <si>
    <t>Utilisation =</t>
  </si>
  <si>
    <t>+</t>
  </si>
  <si>
    <t>tan</t>
  </si>
  <si>
    <t xml:space="preserve">Loaded Length at Base </t>
  </si>
  <si>
    <t>Pressure at Base of Strata 1 =</t>
  </si>
  <si>
    <t>Safety factor on φ' , ϒm =</t>
  </si>
  <si>
    <t>Modified W</t>
  </si>
  <si>
    <t>Modified L</t>
  </si>
  <si>
    <t>Soil Type</t>
  </si>
  <si>
    <t>Presumptive Bearing Capacity (kPa)</t>
  </si>
  <si>
    <t>50 – 100</t>
  </si>
  <si>
    <t>100 – 150</t>
  </si>
  <si>
    <t>150 – 300</t>
  </si>
  <si>
    <t>100 – 200</t>
  </si>
  <si>
    <t>200 – 600</t>
  </si>
  <si>
    <t>100 – 300</t>
  </si>
  <si>
    <t>300 – 600</t>
  </si>
  <si>
    <t>1000+</t>
  </si>
  <si>
    <t>Soft Clay / Silty Clay</t>
  </si>
  <si>
    <t>Stiff Clay</t>
  </si>
  <si>
    <t>Loose Sand</t>
  </si>
  <si>
    <t>Medium Dense Sand</t>
  </si>
  <si>
    <t>Dense Sand / Gravel</t>
  </si>
  <si>
    <t>Compacted Fill</t>
  </si>
  <si>
    <t>Soft Shale / Weathered Rock</t>
  </si>
  <si>
    <t>Hard Rock (Granite, Basalt)</t>
  </si>
  <si>
    <t>Soil Description</t>
  </si>
  <si>
    <t xml:space="preserve">Loaded Width at Base W = </t>
  </si>
  <si>
    <t>The design has assumed a</t>
  </si>
  <si>
    <t xml:space="preserve">layer of </t>
  </si>
  <si>
    <t xml:space="preserve">A ground bearing capacity check has been carried out below in accordance with Eurocode 7 </t>
  </si>
  <si>
    <t>Soil Description provided by the client has been used in the analysis.</t>
  </si>
  <si>
    <t xml:space="preserve">Made Ground </t>
  </si>
  <si>
    <t>angle</t>
  </si>
  <si>
    <t>Pressure at Base of Work. Platform =</t>
  </si>
  <si>
    <t>Silt - Cohesive</t>
  </si>
  <si>
    <t>(c') u-drained Shear Strength (kPa)</t>
  </si>
  <si>
    <t>γ</t>
  </si>
  <si>
    <t>qult</t>
  </si>
  <si>
    <t>.</t>
  </si>
  <si>
    <t>The anticipated bearing capacity of the soil layer is</t>
  </si>
  <si>
    <t>Df</t>
  </si>
  <si>
    <t>qult alt</t>
  </si>
  <si>
    <t>Cohesive</t>
  </si>
  <si>
    <t>Granular</t>
  </si>
  <si>
    <t>Applied Pressure at top of strata:</t>
  </si>
  <si>
    <t>Firm Clay</t>
  </si>
  <si>
    <t>V. Soft Clay</t>
  </si>
  <si>
    <t>51 – 100</t>
  </si>
  <si>
    <t>Cohesive / Granular</t>
  </si>
  <si>
    <t>/</t>
  </si>
  <si>
    <t>BS9295-2020 Guide to the Structural design of buried pipes - Table 2</t>
  </si>
  <si>
    <t>The existing sewer is at</t>
  </si>
  <si>
    <t>The value has been taken for</t>
  </si>
  <si>
    <t>&lt;</t>
  </si>
  <si>
    <t>Main Roads</t>
  </si>
  <si>
    <t xml:space="preserve">Fields and Gardens </t>
  </si>
  <si>
    <t>depth</t>
  </si>
  <si>
    <t>tolerance for surcharge pressure =</t>
  </si>
  <si>
    <t xml:space="preserve">below the ground surface.  As per BS 9295-2020, Table 2, the </t>
  </si>
  <si>
    <t>locations.</t>
  </si>
  <si>
    <t>5. GROUND INFORMATION</t>
  </si>
  <si>
    <t xml:space="preserve">6. WORKING PLATFORM - EUROCODE 7 </t>
  </si>
  <si>
    <t xml:space="preserve">6. WORKING PLATFORM - EUROCODE 7               </t>
  </si>
  <si>
    <t>7. SUB-GRADE CHECK</t>
  </si>
  <si>
    <t xml:space="preserve">8. STRATA 1 - EUROCODE 7        </t>
  </si>
  <si>
    <t xml:space="preserve">9. BURIED SERVICES ASSESSMENT </t>
  </si>
  <si>
    <t>10. SUMMARY</t>
  </si>
  <si>
    <t xml:space="preserve">10. SUMMARY </t>
  </si>
  <si>
    <t>11. APPENDIX A</t>
  </si>
  <si>
    <t xml:space="preserve">2. TRACK MAT ARRANGEMENT </t>
  </si>
  <si>
    <t xml:space="preserve">2. TRACK MAT ARRANGEMENT  </t>
  </si>
  <si>
    <t>Number of Mats - (Width)</t>
  </si>
  <si>
    <t xml:space="preserve">Overall No. of mats </t>
  </si>
  <si>
    <t>Number of Mats - (Length)</t>
  </si>
  <si>
    <t xml:space="preserve">Overall width of Track </t>
  </si>
  <si>
    <t xml:space="preserve">Overall Length of Track </t>
  </si>
  <si>
    <t>Example of drawing which illustrates the width layout of the Track May System</t>
  </si>
  <si>
    <t>3. LOAD ON TRACK MAT SYSTEM</t>
  </si>
  <si>
    <t>HDPE</t>
  </si>
  <si>
    <t>EN 1990 §2.4.4</t>
  </si>
  <si>
    <t>Design Load:</t>
  </si>
  <si>
    <t>Design Bending Strength =</t>
  </si>
  <si>
    <t>γM​</t>
  </si>
  <si>
    <t>bd²</t>
  </si>
  <si>
    <t>Design BM</t>
  </si>
  <si>
    <t>wEdL²</t>
  </si>
  <si>
    <t>Width or area</t>
  </si>
  <si>
    <t xml:space="preserve">Length of area </t>
  </si>
  <si>
    <t xml:space="preserve">Total area for analysis </t>
  </si>
  <si>
    <t xml:space="preserve">Area of Track Mats </t>
  </si>
  <si>
    <t>γG​=1.35 for permanent loads</t>
  </si>
  <si>
    <t>γQ​=1.50 for variable loads</t>
  </si>
  <si>
    <t xml:space="preserve">For the purpose of this analysis - The anticipated load from plant will be distributed amongst a single row of Track Mats only.  This is to ensure that the loading considered is not dissipated unrealistically over an exaggerated larger area, and the bearing capacity of the soils below, is able to support the anticipated loads - based on the conditions. </t>
  </si>
  <si>
    <t>Section modulus per m width:</t>
  </si>
  <si>
    <t>Require:</t>
  </si>
  <si>
    <t>Solve for L:</t>
  </si>
  <si>
    <t>*</t>
  </si>
  <si>
    <t xml:space="preserve"> γM</t>
  </si>
  <si>
    <t>Design shear strength:</t>
  </si>
  <si>
    <t>bd</t>
  </si>
  <si>
    <t>Area of Track Mats =</t>
  </si>
  <si>
    <t xml:space="preserve">Assumed capacity values </t>
  </si>
  <si>
    <t>Design Compressive Stress =</t>
  </si>
  <si>
    <t>Compressive stress check beneath Track Mat</t>
  </si>
  <si>
    <t>with</t>
  </si>
  <si>
    <t>:</t>
  </si>
  <si>
    <t xml:space="preserve">x </t>
  </si>
  <si>
    <t>Bending Stress Utilisation Check</t>
  </si>
  <si>
    <t xml:space="preserve">Maximum Plant Load </t>
  </si>
  <si>
    <t xml:space="preserve">Use E = 1000N/mm² </t>
  </si>
  <si>
    <t>Assumed Value</t>
  </si>
  <si>
    <t>384EI</t>
  </si>
  <si>
    <t xml:space="preserve">I = </t>
  </si>
  <si>
    <t>bd³</t>
  </si>
  <si>
    <t>b =1m</t>
  </si>
  <si>
    <t xml:space="preserve">d = </t>
  </si>
  <si>
    <t xml:space="preserve">b= </t>
  </si>
  <si>
    <t>I =</t>
  </si>
  <si>
    <t>E=</t>
  </si>
  <si>
    <t>1000N/mm²</t>
  </si>
  <si>
    <t>δ</t>
  </si>
  <si>
    <t>Design Deflection Check</t>
  </si>
  <si>
    <t xml:space="preserve">Deflection Limit </t>
  </si>
  <si>
    <t>L / 200</t>
  </si>
  <si>
    <t>Deflection utilisation check</t>
  </si>
  <si>
    <t>Shear Stress Utilisation Check =</t>
  </si>
  <si>
    <t>The Pressure at the base of the working platform, will be compared to the anticipated bearing capacity of the soil strata, which is taken from site observations.  The ground is considered to be saturated / or have poor bearing capacity.</t>
  </si>
  <si>
    <t>Total Load Qk</t>
  </si>
  <si>
    <t>W =</t>
  </si>
  <si>
    <t>bt²</t>
  </si>
  <si>
    <t>Serviceability Screen</t>
  </si>
  <si>
    <t>Pressure at top of substrate ≤ allowable (from SI)</t>
  </si>
  <si>
    <t xml:space="preserve">CAT I / II </t>
  </si>
  <si>
    <t>Eurocode Material Factors are NOT explicit for plastic therefore γM = 1.5</t>
  </si>
  <si>
    <t>THE SOIL VALUES INCORPORATED WITHIN THIS DESIGN TEMPLATE SHOULD BE CROSS-REFERENCED WITH ANY SI / GI / BOREHOLE INFORMATION OBTAINED TO ENSURE THAT SUITABLE SOIL PARAMETERS HAVE BEEN CONSIDERED.  THIS TEMPLATE PROVIDES CONSERVATIVE ESTIMATES, TO ENSURE ROBUSTNESS.</t>
  </si>
  <si>
    <t xml:space="preserve">INSERT PLAN OF TRACKMAT POSITION OR SCHEME DETAIL HERE </t>
  </si>
  <si>
    <t xml:space="preserve">3. LOAD ON TRACK MAT SYSTEM </t>
  </si>
  <si>
    <t>Max. Applied Surcharge =</t>
  </si>
  <si>
    <t>This depth corresponds to depth of strata to top of</t>
  </si>
  <si>
    <t>4. TRACK MAT SYSTEM CAPACITY CHECK</t>
  </si>
  <si>
    <t>existing service OR to full depth of strata if no services</t>
  </si>
  <si>
    <r>
      <t>N</t>
    </r>
    <r>
      <rPr>
        <sz val="10"/>
        <color theme="1"/>
        <rFont val="Aptos Narrow"/>
        <family val="2"/>
      </rPr>
      <t>γ</t>
    </r>
    <r>
      <rPr>
        <sz val="10"/>
        <color theme="1"/>
        <rFont val="Nexa Light"/>
      </rPr>
      <t xml:space="preserve"> - Bowles Hansen</t>
    </r>
  </si>
  <si>
    <r>
      <t>w</t>
    </r>
    <r>
      <rPr>
        <vertAlign val="subscript"/>
        <sz val="8"/>
        <rFont val="Calibri Light"/>
        <family val="2"/>
      </rPr>
      <t>Ed</t>
    </r>
    <r>
      <rPr>
        <sz val="8"/>
        <rFont val="Calibri Light"/>
        <family val="2"/>
      </rPr>
      <t>​=γ</t>
    </r>
    <r>
      <rPr>
        <vertAlign val="subscript"/>
        <sz val="8"/>
        <rFont val="Calibri Light"/>
        <family val="2"/>
      </rPr>
      <t>G</t>
    </r>
    <r>
      <rPr>
        <sz val="8"/>
        <rFont val="Calibri Light"/>
        <family val="2"/>
      </rPr>
      <t>​G</t>
    </r>
    <r>
      <rPr>
        <vertAlign val="subscript"/>
        <sz val="8"/>
        <rFont val="Calibri Light"/>
        <family val="2"/>
      </rPr>
      <t>k​</t>
    </r>
    <r>
      <rPr>
        <sz val="8"/>
        <rFont val="Calibri Light"/>
        <family val="2"/>
      </rPr>
      <t>+γ</t>
    </r>
    <r>
      <rPr>
        <vertAlign val="subscript"/>
        <sz val="8"/>
        <rFont val="Calibri Light"/>
        <family val="2"/>
      </rPr>
      <t>Q​</t>
    </r>
    <r>
      <rPr>
        <sz val="8"/>
        <rFont val="Calibri Light"/>
        <family val="2"/>
      </rPr>
      <t>Q</t>
    </r>
    <r>
      <rPr>
        <vertAlign val="subscript"/>
        <sz val="8"/>
        <rFont val="Calibri Light"/>
        <family val="2"/>
      </rPr>
      <t>k</t>
    </r>
    <r>
      <rPr>
        <sz val="8"/>
        <rFont val="Calibri Light"/>
        <family val="2"/>
      </rPr>
      <t>​≈</t>
    </r>
  </si>
  <si>
    <r>
      <t>f</t>
    </r>
    <r>
      <rPr>
        <vertAlign val="subscript"/>
        <sz val="8"/>
        <rFont val="Calibri Light"/>
        <family val="2"/>
      </rPr>
      <t>md</t>
    </r>
    <r>
      <rPr>
        <sz val="8"/>
        <rFont val="Calibri Light"/>
        <family val="2"/>
      </rPr>
      <t>​=​​</t>
    </r>
  </si>
  <si>
    <r>
      <t>σ</t>
    </r>
    <r>
      <rPr>
        <vertAlign val="subscript"/>
        <sz val="8"/>
        <rFont val="Calibri Light"/>
        <family val="2"/>
      </rPr>
      <t>fu,k</t>
    </r>
  </si>
  <si>
    <r>
      <t>M</t>
    </r>
    <r>
      <rPr>
        <vertAlign val="subscript"/>
        <sz val="8"/>
        <rFont val="Calibri Light"/>
        <family val="2"/>
      </rPr>
      <t>ULT</t>
    </r>
  </si>
  <si>
    <r>
      <t>M</t>
    </r>
    <r>
      <rPr>
        <vertAlign val="subscript"/>
        <sz val="8"/>
        <rFont val="Calibri Light"/>
        <family val="2"/>
      </rPr>
      <t>Ed</t>
    </r>
    <r>
      <rPr>
        <sz val="8"/>
        <rFont val="Calibri Light"/>
        <family val="2"/>
      </rPr>
      <t>​≤W</t>
    </r>
    <r>
      <rPr>
        <vertAlign val="subscript"/>
        <sz val="8"/>
        <rFont val="Calibri Light"/>
        <family val="2"/>
      </rPr>
      <t>fmd​</t>
    </r>
  </si>
  <si>
    <r>
      <t>w</t>
    </r>
    <r>
      <rPr>
        <vertAlign val="subscript"/>
        <sz val="8"/>
        <rFont val="Calibri Light"/>
        <family val="2"/>
      </rPr>
      <t>Ed</t>
    </r>
  </si>
  <si>
    <r>
      <t xml:space="preserve">σ </t>
    </r>
    <r>
      <rPr>
        <vertAlign val="subscript"/>
        <sz val="8"/>
        <rFont val="Calibri Light"/>
        <family val="2"/>
      </rPr>
      <t>Ed​</t>
    </r>
  </si>
  <si>
    <r>
      <t>M</t>
    </r>
    <r>
      <rPr>
        <vertAlign val="subscript"/>
        <sz val="8"/>
        <rFont val="Calibri Light"/>
        <family val="2"/>
      </rPr>
      <t xml:space="preserve">ed </t>
    </r>
  </si>
  <si>
    <r>
      <t>τ</t>
    </r>
    <r>
      <rPr>
        <vertAlign val="subscript"/>
        <sz val="8"/>
        <rFont val="Calibri Light"/>
        <family val="2"/>
      </rPr>
      <t xml:space="preserve">rd   </t>
    </r>
    <r>
      <rPr>
        <sz val="8"/>
        <rFont val="Calibri Light"/>
        <family val="2"/>
      </rPr>
      <t>​=​   τ</t>
    </r>
    <r>
      <rPr>
        <vertAlign val="subscript"/>
        <sz val="8"/>
        <rFont val="Calibri Light"/>
        <family val="2"/>
      </rPr>
      <t>u,k​​</t>
    </r>
  </si>
  <si>
    <r>
      <t>V</t>
    </r>
    <r>
      <rPr>
        <vertAlign val="subscript"/>
        <sz val="8"/>
        <rFont val="Calibri Light"/>
        <family val="2"/>
      </rPr>
      <t xml:space="preserve">Ed </t>
    </r>
    <r>
      <rPr>
        <sz val="8"/>
        <rFont val="Calibri Light"/>
        <family val="2"/>
      </rPr>
      <t>​​≤    τ</t>
    </r>
    <r>
      <rPr>
        <vertAlign val="subscript"/>
        <sz val="8"/>
        <rFont val="Calibri Light"/>
        <family val="2"/>
      </rPr>
      <t>Ed</t>
    </r>
  </si>
  <si>
    <r>
      <t>V</t>
    </r>
    <r>
      <rPr>
        <vertAlign val="subscript"/>
        <sz val="8"/>
        <rFont val="Calibri Light"/>
        <family val="2"/>
      </rPr>
      <t>Ed</t>
    </r>
    <r>
      <rPr>
        <sz val="8"/>
        <rFont val="Calibri Light"/>
        <family val="2"/>
      </rPr>
      <t>​=w</t>
    </r>
    <r>
      <rPr>
        <vertAlign val="subscript"/>
        <sz val="8"/>
        <rFont val="Calibri Light"/>
        <family val="2"/>
      </rPr>
      <t>Ed</t>
    </r>
    <r>
      <rPr>
        <sz val="8"/>
        <rFont val="Calibri Light"/>
        <family val="2"/>
      </rPr>
      <t>​L​</t>
    </r>
  </si>
  <si>
    <r>
      <t>V</t>
    </r>
    <r>
      <rPr>
        <vertAlign val="subscript"/>
        <sz val="8"/>
        <rFont val="Calibri Light"/>
        <family val="2"/>
      </rPr>
      <t>Ed</t>
    </r>
  </si>
  <si>
    <r>
      <t>τ</t>
    </r>
    <r>
      <rPr>
        <vertAlign val="subscript"/>
        <sz val="8"/>
        <rFont val="Calibri Light"/>
        <family val="2"/>
      </rPr>
      <t>Ed</t>
    </r>
  </si>
  <si>
    <r>
      <t>L</t>
    </r>
    <r>
      <rPr>
        <vertAlign val="subscript"/>
        <sz val="8"/>
        <rFont val="Calibri Light"/>
        <family val="2"/>
      </rPr>
      <t>max</t>
    </r>
    <r>
      <rPr>
        <sz val="8"/>
        <rFont val="Calibri Light"/>
        <family val="2"/>
      </rPr>
      <t>​=</t>
    </r>
    <r>
      <rPr>
        <vertAlign val="subscript"/>
        <sz val="8"/>
        <rFont val="Calibri Light"/>
        <family val="2"/>
      </rPr>
      <t xml:space="preserve">                  </t>
    </r>
    <r>
      <rPr>
        <sz val="8"/>
        <rFont val="Calibri Light"/>
        <family val="2"/>
      </rPr>
      <t>8W</t>
    </r>
    <r>
      <rPr>
        <vertAlign val="subscript"/>
        <sz val="8"/>
        <rFont val="Calibri Light"/>
        <family val="2"/>
      </rPr>
      <t>fmd</t>
    </r>
    <r>
      <rPr>
        <sz val="8"/>
        <rFont val="Calibri Light"/>
        <family val="2"/>
      </rPr>
      <t>​​​</t>
    </r>
  </si>
  <si>
    <r>
      <t>δ=5wL</t>
    </r>
    <r>
      <rPr>
        <vertAlign val="superscript"/>
        <sz val="8"/>
        <rFont val="Calibri Light"/>
        <family val="2"/>
      </rPr>
      <t>4​</t>
    </r>
  </si>
  <si>
    <t>to be used as a working platform overlying</t>
  </si>
  <si>
    <r>
      <t>N</t>
    </r>
    <r>
      <rPr>
        <vertAlign val="subscript"/>
        <sz val="8"/>
        <rFont val="Calibri Light"/>
        <family val="2"/>
      </rPr>
      <t>q</t>
    </r>
  </si>
  <si>
    <r>
      <t>N</t>
    </r>
    <r>
      <rPr>
        <vertAlign val="subscript"/>
        <sz val="8"/>
        <rFont val="Calibri Light"/>
        <family val="2"/>
      </rPr>
      <t>c</t>
    </r>
  </si>
  <si>
    <r>
      <t>N</t>
    </r>
    <r>
      <rPr>
        <vertAlign val="subscript"/>
        <sz val="8"/>
        <rFont val="Calibri Light"/>
        <family val="2"/>
      </rPr>
      <t>γ</t>
    </r>
    <r>
      <rPr>
        <sz val="8"/>
        <rFont val="Calibri Light"/>
        <family val="2"/>
      </rPr>
      <t xml:space="preserve"> per Bowles/Hansen</t>
    </r>
  </si>
  <si>
    <r>
      <t>q</t>
    </r>
    <r>
      <rPr>
        <vertAlign val="subscript"/>
        <sz val="8"/>
        <color theme="1"/>
        <rFont val="Calibri Light"/>
        <family val="2"/>
      </rPr>
      <t>ult</t>
    </r>
  </si>
  <si>
    <r>
      <t>Design Angle ϕ is determined by  - (tanφ</t>
    </r>
    <r>
      <rPr>
        <b/>
        <vertAlign val="subscript"/>
        <sz val="8"/>
        <color theme="1"/>
        <rFont val="Calibri Light"/>
        <family val="2"/>
      </rPr>
      <t>d</t>
    </r>
    <r>
      <rPr>
        <b/>
        <sz val="8"/>
        <color theme="1"/>
        <rFont val="Calibri Light"/>
        <family val="2"/>
      </rPr>
      <t>​=​tan</t>
    </r>
    <r>
      <rPr>
        <b/>
        <vertAlign val="subscript"/>
        <sz val="8"/>
        <color theme="1"/>
        <rFont val="Calibri Light"/>
        <family val="2"/>
      </rPr>
      <t>φ′</t>
    </r>
    <r>
      <rPr>
        <b/>
        <sz val="8"/>
        <color theme="1"/>
        <rFont val="Calibri Light"/>
        <family val="2"/>
      </rPr>
      <t>​/γM</t>
    </r>
    <r>
      <rPr>
        <b/>
        <vertAlign val="subscript"/>
        <sz val="8"/>
        <color theme="1"/>
        <rFont val="Calibri Light"/>
        <family val="2"/>
      </rPr>
      <t>,φ</t>
    </r>
    <r>
      <rPr>
        <b/>
        <sz val="8"/>
        <color theme="1"/>
        <rFont val="Calibri Light"/>
        <family val="2"/>
      </rPr>
      <t xml:space="preserve"> - soil strength parameters)</t>
    </r>
  </si>
  <si>
    <t>Conservative: ULS pressure compared to SLS tolerance</t>
  </si>
  <si>
    <t>Bulk Density (γ)</t>
  </si>
  <si>
    <t>Applied compressive stress =</t>
  </si>
  <si>
    <t>Applied (SLS)</t>
  </si>
  <si>
    <t>Design (ULS)</t>
  </si>
  <si>
    <t xml:space="preserve">Unfactored Bending Stress Capacity </t>
  </si>
  <si>
    <t xml:space="preserve">Unfactored Compressive Stress Capacity </t>
  </si>
  <si>
    <t xml:space="preserve">Unfactored Shear Stress Capacity </t>
  </si>
  <si>
    <t>Depth of Track Mat (t)</t>
  </si>
  <si>
    <t>w</t>
  </si>
  <si>
    <t>(Assumed desgn span) = L≈5t</t>
  </si>
  <si>
    <r>
      <t>Span for demand takes the lesser of 5t and L</t>
    </r>
    <r>
      <rPr>
        <vertAlign val="subscript"/>
        <sz val="6"/>
        <rFont val="Calibri Light"/>
        <family val="2"/>
      </rPr>
      <t>max</t>
    </r>
    <r>
      <rPr>
        <sz val="6"/>
        <rFont val="Calibri Light"/>
        <family val="2"/>
      </rPr>
      <t xml:space="preserve">
	​</t>
    </r>
  </si>
  <si>
    <r>
      <t>N</t>
    </r>
    <r>
      <rPr>
        <vertAlign val="subscript"/>
        <sz val="8"/>
        <rFont val="Aptos Narrow"/>
        <family val="2"/>
      </rPr>
      <t>γ</t>
    </r>
  </si>
  <si>
    <t>Friction angle φ′ (effective)</t>
  </si>
  <si>
    <t>Material Compressive Stress Utilisation Check =</t>
  </si>
  <si>
    <t>SLS / ULS Pressure Ratio =</t>
  </si>
  <si>
    <t xml:space="preserve">Based on conservative and assumed values, the strata underlying the working platform is  </t>
  </si>
  <si>
    <r>
      <t>S</t>
    </r>
    <r>
      <rPr>
        <vertAlign val="subscript"/>
        <sz val="8"/>
        <rFont val="Calibri Light"/>
        <family val="2"/>
      </rPr>
      <t>γ</t>
    </r>
  </si>
  <si>
    <t>Shape Factor</t>
  </si>
  <si>
    <r>
      <t>S</t>
    </r>
    <r>
      <rPr>
        <vertAlign val="subscript"/>
        <sz val="8"/>
        <rFont val="Calibri Light"/>
        <family val="2"/>
      </rPr>
      <t>q</t>
    </r>
  </si>
  <si>
    <r>
      <t>S</t>
    </r>
    <r>
      <rPr>
        <vertAlign val="subscript"/>
        <sz val="8"/>
        <rFont val="Calibri Light"/>
        <family val="2"/>
      </rPr>
      <t>c</t>
    </r>
  </si>
  <si>
    <r>
      <t>q</t>
    </r>
    <r>
      <rPr>
        <b/>
        <vertAlign val="subscript"/>
        <sz val="8"/>
        <color theme="1"/>
        <rFont val="Calibri Light"/>
        <family val="2"/>
      </rPr>
      <t>ult</t>
    </r>
    <r>
      <rPr>
        <b/>
        <sz val="8"/>
        <color theme="1"/>
        <rFont val="Calibri Light"/>
        <family val="2"/>
      </rPr>
      <t>=</t>
    </r>
    <r>
      <rPr>
        <b/>
        <vertAlign val="subscript"/>
        <sz val="8"/>
        <color theme="1"/>
        <rFont val="Calibri Light"/>
        <family val="2"/>
      </rPr>
      <t>c</t>
    </r>
    <r>
      <rPr>
        <b/>
        <sz val="8"/>
        <color theme="1"/>
        <rFont val="Calibri Light"/>
        <family val="2"/>
      </rPr>
      <t>'N</t>
    </r>
    <r>
      <rPr>
        <b/>
        <vertAlign val="subscript"/>
        <sz val="8"/>
        <color theme="1"/>
        <rFont val="Calibri Light"/>
        <family val="2"/>
      </rPr>
      <t>c</t>
    </r>
    <r>
      <rPr>
        <b/>
        <sz val="8"/>
        <color theme="1"/>
        <rFont val="Calibri Light"/>
        <family val="2"/>
      </rPr>
      <t>S</t>
    </r>
    <r>
      <rPr>
        <b/>
        <vertAlign val="subscript"/>
        <sz val="8"/>
        <color theme="1"/>
        <rFont val="Calibri Light"/>
        <family val="2"/>
      </rPr>
      <t>c</t>
    </r>
    <r>
      <rPr>
        <b/>
        <sz val="8"/>
        <color theme="1"/>
        <rFont val="Calibri Light"/>
        <family val="2"/>
      </rPr>
      <t>+γ'DN</t>
    </r>
    <r>
      <rPr>
        <b/>
        <vertAlign val="subscript"/>
        <sz val="8"/>
        <color theme="1"/>
        <rFont val="Calibri Light"/>
        <family val="2"/>
      </rPr>
      <t>q</t>
    </r>
    <r>
      <rPr>
        <b/>
        <sz val="8"/>
        <color theme="1"/>
        <rFont val="Calibri Light"/>
        <family val="2"/>
      </rPr>
      <t>S</t>
    </r>
    <r>
      <rPr>
        <b/>
        <vertAlign val="subscript"/>
        <sz val="8"/>
        <color theme="1"/>
        <rFont val="Calibri Light"/>
        <family val="2"/>
      </rPr>
      <t>q</t>
    </r>
    <r>
      <rPr>
        <b/>
        <sz val="8"/>
        <color theme="1"/>
        <rFont val="Calibri Light"/>
        <family val="2"/>
      </rPr>
      <t>+ 0.5</t>
    </r>
    <r>
      <rPr>
        <b/>
        <vertAlign val="subscript"/>
        <sz val="8"/>
        <color theme="1"/>
        <rFont val="Calibri Light"/>
        <family val="2"/>
      </rPr>
      <t>γ</t>
    </r>
    <r>
      <rPr>
        <b/>
        <sz val="8"/>
        <color theme="1"/>
        <rFont val="Calibri Light"/>
        <family val="2"/>
      </rPr>
      <t>'BN</t>
    </r>
    <r>
      <rPr>
        <b/>
        <vertAlign val="subscript"/>
        <sz val="8"/>
        <color theme="1"/>
        <rFont val="Calibri Light"/>
        <family val="2"/>
      </rPr>
      <t>γ</t>
    </r>
    <r>
      <rPr>
        <b/>
        <sz val="8"/>
        <color theme="1"/>
        <rFont val="Calibri Light"/>
        <family val="2"/>
      </rPr>
      <t>S</t>
    </r>
    <r>
      <rPr>
        <b/>
        <vertAlign val="subscript"/>
        <sz val="8"/>
        <color theme="1"/>
        <rFont val="Calibri Light"/>
        <family val="2"/>
      </rPr>
      <t>γ</t>
    </r>
  </si>
  <si>
    <r>
      <t>q</t>
    </r>
    <r>
      <rPr>
        <vertAlign val="subscript"/>
        <sz val="8"/>
        <color theme="1"/>
        <rFont val="Calibri Light"/>
        <family val="2"/>
      </rPr>
      <t>ult</t>
    </r>
    <r>
      <rPr>
        <sz val="8"/>
        <color theme="1"/>
        <rFont val="Calibri Light"/>
        <family val="2"/>
      </rPr>
      <t>='cN</t>
    </r>
    <r>
      <rPr>
        <vertAlign val="subscript"/>
        <sz val="8"/>
        <color theme="1"/>
        <rFont val="Calibri Light"/>
        <family val="2"/>
      </rPr>
      <t>c</t>
    </r>
    <r>
      <rPr>
        <sz val="8"/>
        <color theme="1"/>
        <rFont val="Calibri Light"/>
        <family val="2"/>
      </rPr>
      <t>+γD</t>
    </r>
    <r>
      <rPr>
        <vertAlign val="subscript"/>
        <sz val="8"/>
        <color theme="1"/>
        <rFont val="Calibri Light"/>
        <family val="2"/>
      </rPr>
      <t>f</t>
    </r>
    <r>
      <rPr>
        <sz val="8"/>
        <color theme="1"/>
        <rFont val="Calibri Light"/>
        <family val="2"/>
      </rPr>
      <t>N</t>
    </r>
    <r>
      <rPr>
        <vertAlign val="subscript"/>
        <sz val="8"/>
        <color theme="1"/>
        <rFont val="Calibri Light"/>
        <family val="2"/>
      </rPr>
      <t>q</t>
    </r>
    <r>
      <rPr>
        <sz val="8"/>
        <color theme="1"/>
        <rFont val="Calibri Light"/>
        <family val="2"/>
      </rPr>
      <t>+0.5</t>
    </r>
    <r>
      <rPr>
        <vertAlign val="subscript"/>
        <sz val="8"/>
        <color theme="1"/>
        <rFont val="Calibri Light"/>
        <family val="2"/>
      </rPr>
      <t>γ</t>
    </r>
    <r>
      <rPr>
        <sz val="8"/>
        <color theme="1"/>
        <rFont val="Calibri Light"/>
        <family val="2"/>
      </rPr>
      <t>BN</t>
    </r>
    <r>
      <rPr>
        <vertAlign val="subscript"/>
        <sz val="8"/>
        <color theme="1"/>
        <rFont val="Calibri Light"/>
        <family val="2"/>
      </rPr>
      <t>γ</t>
    </r>
  </si>
  <si>
    <t xml:space="preserve">Soil Interpretation - Assumed Values </t>
  </si>
  <si>
    <t>Design Resistance</t>
  </si>
  <si>
    <t xml:space="preserve">Meyerhof / Hansen (with shape factors) Bearing Capacity Formula </t>
  </si>
  <si>
    <t xml:space="preserve">Meyerhof / Hansen Bearing Capacity Formula </t>
  </si>
  <si>
    <t xml:space="preserve">SLS applied </t>
  </si>
  <si>
    <t xml:space="preserve">ULS applied </t>
  </si>
  <si>
    <t>Spread per BRE 470 using φ_platform,d = 30°</t>
  </si>
  <si>
    <t xml:space="preserve">SLS Utilisation </t>
  </si>
  <si>
    <t xml:space="preserve">ULS Utilisation </t>
  </si>
  <si>
    <t>ULS utilisation 
(DA1 / Comb2)</t>
  </si>
  <si>
    <t>(platform)</t>
  </si>
  <si>
    <t>φ_d (design)(sub-grade)</t>
  </si>
  <si>
    <t>(sub-grade)</t>
  </si>
  <si>
    <t>Design Angle ϕ(platform)</t>
  </si>
  <si>
    <t>SLS applied at top of strata (info only)</t>
  </si>
  <si>
    <t>Meyerhof/Hansen with Bowles/Hansen coefficients; rectangular footing, B=0.50 m used in Nγ-term</t>
  </si>
  <si>
    <t>Tyre / Track Load</t>
  </si>
  <si>
    <t>Example of drawing whih illustrates the dimensions of the Track Mat system</t>
  </si>
  <si>
    <t>Beaver Bridges will assess a track mat combination based on the SignaRoad 'Groundguard' track mat. This product considers a maximum plant surcharge of 60 Te. OR 588.60kN.  This design will analyse various Track Mat widths only,  to distribute the anticipated plant load over problematic ground conditions, across a single row of track mats.  This ensures that if there was a discrepancy on installation, and all mats were not adjoined longitudinally, the system still provides an effective area for plant movement. It will allow the plant to traverse the area with reduced risk of instability/overturning. 
This analysis also considers strata that have been softened either by repeated plant movement or by high groundwater levels, which can compromise the bearing capacity of dry/drained soil.</t>
  </si>
  <si>
    <t xml:space="preserve">Design Approach 1, Combinations 1 &amp; 2, considering a maximum tyre / track loading of </t>
  </si>
  <si>
    <t>Maximum tyre / track Load:</t>
  </si>
  <si>
    <t>Maximum tyre / track Pressure</t>
  </si>
  <si>
    <t xml:space="preserve">As per BRE 470 Document - Working Platforms for Tracked Plant - Section A2 (f); It is recommended that a 300mm thick platform is installed under the tyre location to ensure that the subgrade is capable of supporting the specified plant. </t>
  </si>
  <si>
    <r>
      <t xml:space="preserve">The anticipated plant surcharge has been examined against specifed track mats to ensure a sufficiently robust solution.  The shape factors / loads of the plant track design, have been assessed against the use of a working platform of specified depth, which overlies existing strata. The underlying soil strata has also been scrutinised to ensure that the anticipated loads are not greater than the anticipated bearing capacity of the soil.  The values included within this design assessment are conservative, to ensure that the overall design solution is sufficiently robust and the existing soils are not compromised by insufficient working platform depth, nor excessive loading.  
The expected duration of use of this solution </t>
    </r>
    <r>
      <rPr>
        <b/>
        <u/>
        <sz val="8"/>
        <rFont val="Calibri Light"/>
        <family val="2"/>
      </rPr>
      <t>SHOULD NOT</t>
    </r>
    <r>
      <rPr>
        <sz val="8"/>
        <rFont val="Calibri Light"/>
        <family val="2"/>
      </rPr>
      <t xml:space="preserve"> exceed 12 weeks.  If the anticipated schedule is in excess of this duration, the works will need to be re-assessed to determine if the soils require an effective stress analysis.</t>
    </r>
  </si>
  <si>
    <t>Meyerhof/Hansen with Bowles/Hansen coefficients; rectangular footing, used in Nγ-term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</si>
</sst>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164" formatCode="0.000"/>
    <numFmt numFmtId="165" formatCode="0.0"/>
    <numFmt numFmtId="166" formatCode="0.00&quot;)&quot;"/>
    <numFmt numFmtId="167" formatCode="0.00&quot;m²&quot;"/>
    <numFmt numFmtId="168" formatCode="0.00\ &quot;kN/m²&quot;"/>
    <numFmt numFmtId="169" formatCode="0.00&quot;%&quot;"/>
    <numFmt numFmtId="170" formatCode="0.00&quot;N/mm²&quot;"/>
    <numFmt numFmtId="171" formatCode="0.00&quot;m&quot;"/>
    <numFmt numFmtId="172" formatCode="0&quot;mm&quot;"/>
    <numFmt numFmtId="173" formatCode="0.00&quot;kN/m²&quot;"/>
    <numFmt numFmtId="174" formatCode="0.00&quot;²&quot;"/>
    <numFmt numFmtId="175" formatCode="0&quot;Te.&quot;"/>
    <numFmt numFmtId="176" formatCode="0.00&quot;kN&quot;"/>
    <numFmt numFmtId="177" formatCode="0.00&quot;kN/m³&quot;"/>
    <numFmt numFmtId="178" formatCode="General&quot;kN/m²&quot;"/>
    <numFmt numFmtId="179" formatCode="0\ &quot;kN/m²&quot;"/>
    <numFmt numFmtId="180" formatCode="0.00&quot;kN/m²&quot;&quot;(Pressure above substrate)&quot;"/>
    <numFmt numFmtId="181" formatCode="0\ &quot;°&quot;"/>
    <numFmt numFmtId="182" formatCode="0.0&quot;m&quot;"/>
    <numFmt numFmtId="183" formatCode="General&quot;Te.&quot;"/>
    <numFmt numFmtId="184" formatCode="0.000&quot;²&quot;"/>
    <numFmt numFmtId="185" formatCode="0.00&quot;mm&quot;"/>
    <numFmt numFmtId="186" formatCode="0.000&quot;N/mm²&quot;"/>
    <numFmt numFmtId="187" formatCode="0.00&quot;kNm/m&quot;"/>
    <numFmt numFmtId="188" formatCode="0.00\ &quot;m²&quot;"/>
    <numFmt numFmtId="189" formatCode="0.00\ &quot;kN/m²&quot;&quot;(Substrate)&quot;"/>
    <numFmt numFmtId="190" formatCode="0&quot;°&quot;"/>
    <numFmt numFmtId="191" formatCode="0&quot;²&quot;"/>
    <numFmt numFmtId="192" formatCode="0&quot;mm³&quot;"/>
    <numFmt numFmtId="193" formatCode="0.00&quot;m³&quot;"/>
    <numFmt numFmtId="194" formatCode="0.000&quot;%&quot;"/>
    <numFmt numFmtId="195" formatCode="0.000\ &quot;N/mm²&quot;"/>
    <numFmt numFmtId="196" formatCode="0.00000&quot;kNm/m&quot;"/>
    <numFmt numFmtId="197" formatCode="0.00&quot;Nmm&quot;"/>
    <numFmt numFmtId="198" formatCode="0.00&quot;kN/m&quot;"/>
    <numFmt numFmtId="199" formatCode="0.00&quot;N/mm&quot;"/>
    <numFmt numFmtId="200" formatCode="&quot;(&quot;0"/>
    <numFmt numFmtId="201" formatCode="0&quot;kN/m²&quot;"/>
  </numFmts>
  <fonts count="62">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7"/>
      <name val="Arial"/>
      <family val="2"/>
    </font>
    <font>
      <sz val="10"/>
      <name val="Arial"/>
      <family val="2"/>
    </font>
    <font>
      <sz val="12"/>
      <color theme="1"/>
      <name val="Aptos Narrow"/>
      <family val="2"/>
      <scheme val="minor"/>
    </font>
    <font>
      <sz val="10"/>
      <color rgb="FF0070C0"/>
      <name val="Arial"/>
      <family val="2"/>
    </font>
    <font>
      <sz val="11"/>
      <color rgb="FF006100"/>
      <name val="Aptos Narrow"/>
      <family val="2"/>
      <scheme val="minor"/>
    </font>
    <font>
      <b/>
      <sz val="11"/>
      <color theme="0"/>
      <name val="Aptos Narrow"/>
      <family val="2"/>
      <scheme val="minor"/>
    </font>
    <font>
      <sz val="10"/>
      <color theme="1"/>
      <name val="Aptos Narrow"/>
      <family val="2"/>
      <scheme val="minor"/>
    </font>
    <font>
      <sz val="11"/>
      <color theme="1"/>
      <name val="Nexa Light"/>
    </font>
    <font>
      <b/>
      <sz val="10"/>
      <color theme="0"/>
      <name val="Nexa Book"/>
      <family val="3"/>
    </font>
    <font>
      <sz val="8"/>
      <color theme="1"/>
      <name val="Nexa Light"/>
    </font>
    <font>
      <sz val="6"/>
      <color theme="1"/>
      <name val="Nexa Light"/>
    </font>
    <font>
      <sz val="11"/>
      <color rgb="FFFFC000"/>
      <name val="Nexa Light"/>
    </font>
    <font>
      <sz val="11"/>
      <color rgb="FFFF0000"/>
      <name val="Nexa Light"/>
    </font>
    <font>
      <sz val="11"/>
      <color theme="1"/>
      <name val="Nexa Book"/>
      <family val="3"/>
    </font>
    <font>
      <sz val="11"/>
      <color theme="1"/>
      <name val="GreekC"/>
    </font>
    <font>
      <sz val="9"/>
      <color theme="1"/>
      <name val="Nexa Light"/>
    </font>
    <font>
      <sz val="8"/>
      <color theme="1"/>
      <name val="Nexa Book"/>
      <family val="3"/>
    </font>
    <font>
      <sz val="8"/>
      <name val="Arial"/>
      <family val="2"/>
    </font>
    <font>
      <sz val="8"/>
      <name val="Nexa light"/>
    </font>
    <font>
      <b/>
      <u/>
      <sz val="8"/>
      <color theme="1"/>
      <name val="Nexa light"/>
    </font>
    <font>
      <b/>
      <sz val="8"/>
      <color theme="1"/>
      <name val="Nexa light"/>
    </font>
    <font>
      <sz val="8"/>
      <name val="Nexa Light "/>
    </font>
    <font>
      <sz val="8"/>
      <color rgb="FF0070C0"/>
      <name val="Nexa Light "/>
    </font>
    <font>
      <i/>
      <sz val="8"/>
      <name val="Nexa Light "/>
    </font>
    <font>
      <u/>
      <sz val="8"/>
      <name val="Nexa Light "/>
    </font>
    <font>
      <b/>
      <sz val="11"/>
      <color theme="1"/>
      <name val="Aptos Narrow"/>
      <family val="2"/>
      <scheme val="minor"/>
    </font>
    <font>
      <sz val="10"/>
      <name val="Aptos Narrow"/>
      <family val="2"/>
    </font>
    <font>
      <sz val="8"/>
      <color theme="1"/>
      <name val="Aptos Narrow"/>
      <family val="2"/>
      <scheme val="minor"/>
    </font>
    <font>
      <sz val="10"/>
      <color theme="1"/>
      <name val="Nexa Light"/>
    </font>
    <font>
      <sz val="10"/>
      <color theme="1"/>
      <name val="Aptos Narrow"/>
      <family val="2"/>
    </font>
    <font>
      <b/>
      <u/>
      <sz val="8"/>
      <color theme="1"/>
      <name val="Calibri Light"/>
      <family val="2"/>
    </font>
    <font>
      <sz val="8"/>
      <color theme="1"/>
      <name val="Calibri Light"/>
      <family val="2"/>
    </font>
    <font>
      <sz val="8"/>
      <name val="Calibri Light"/>
      <family val="2"/>
    </font>
    <font>
      <b/>
      <sz val="8"/>
      <color theme="1"/>
      <name val="Calibri Light"/>
      <family val="2"/>
    </font>
    <font>
      <b/>
      <sz val="8"/>
      <name val="Calibri Light"/>
      <family val="2"/>
    </font>
    <font>
      <sz val="10"/>
      <name val="Calibri Light"/>
      <family val="2"/>
    </font>
    <font>
      <b/>
      <sz val="9"/>
      <name val="Calibri Light"/>
      <family val="2"/>
    </font>
    <font>
      <b/>
      <u/>
      <sz val="8"/>
      <name val="Calibri Light"/>
      <family val="2"/>
    </font>
    <font>
      <b/>
      <sz val="8"/>
      <color theme="0"/>
      <name val="Calibri Light"/>
      <family val="2"/>
    </font>
    <font>
      <sz val="8"/>
      <color rgb="FF0070C0"/>
      <name val="Calibri Light"/>
      <family val="2"/>
    </font>
    <font>
      <i/>
      <sz val="8"/>
      <name val="Calibri Light"/>
      <family val="2"/>
    </font>
    <font>
      <vertAlign val="subscript"/>
      <sz val="8"/>
      <name val="Calibri Light"/>
      <family val="2"/>
    </font>
    <font>
      <sz val="7"/>
      <name val="Calibri Light"/>
      <family val="2"/>
    </font>
    <font>
      <vertAlign val="superscript"/>
      <sz val="8"/>
      <name val="Calibri Light"/>
      <family val="2"/>
    </font>
    <font>
      <b/>
      <vertAlign val="superscript"/>
      <sz val="8"/>
      <color theme="0"/>
      <name val="Calibri Light"/>
      <family val="2"/>
    </font>
    <font>
      <vertAlign val="subscript"/>
      <sz val="8"/>
      <color theme="1"/>
      <name val="Calibri Light"/>
      <family val="2"/>
    </font>
    <font>
      <b/>
      <sz val="7"/>
      <color theme="0"/>
      <name val="Calibri Light"/>
      <family val="2"/>
    </font>
    <font>
      <u/>
      <sz val="8"/>
      <name val="Calibri Light"/>
      <family val="2"/>
    </font>
    <font>
      <b/>
      <vertAlign val="subscript"/>
      <sz val="8"/>
      <color theme="1"/>
      <name val="Calibri Light"/>
      <family val="2"/>
    </font>
    <font>
      <sz val="6"/>
      <name val="Calibri Light"/>
      <family val="2"/>
    </font>
    <font>
      <vertAlign val="subscript"/>
      <sz val="6"/>
      <name val="Calibri Light"/>
      <family val="2"/>
    </font>
    <font>
      <vertAlign val="subscript"/>
      <sz val="8"/>
      <name val="Aptos Narrow"/>
      <family val="2"/>
    </font>
    <font>
      <b/>
      <sz val="7"/>
      <name val="Calibri Light"/>
      <family val="2"/>
    </font>
    <font>
      <b/>
      <sz val="6"/>
      <color theme="0"/>
      <name val="Calibri Light"/>
      <family val="2"/>
    </font>
    <font>
      <sz val="6"/>
      <color theme="1"/>
      <name val="Calibri Light"/>
      <family val="2"/>
    </font>
  </fonts>
  <fills count="14">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5050"/>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00B050"/>
        <bgColor indexed="64"/>
      </patternFill>
    </fill>
    <fill>
      <patternFill patternType="solid">
        <fgColor theme="3" tint="0.249977111117893"/>
        <bgColor indexed="64"/>
      </patternFill>
    </fill>
    <fill>
      <patternFill patternType="solid">
        <fgColor rgb="FFFFDB69"/>
        <bgColor indexed="64"/>
      </patternFill>
    </fill>
    <fill>
      <patternFill patternType="solid">
        <fgColor theme="8" tint="-0.249977111117893"/>
        <bgColor indexed="64"/>
      </patternFill>
    </fill>
    <fill>
      <patternFill patternType="solid">
        <fgColor rgb="FF7030A0"/>
        <bgColor indexed="64"/>
      </patternFill>
    </fill>
    <fill>
      <patternFill patternType="solid">
        <fgColor rgb="FFFFC000"/>
        <bgColor indexed="64"/>
      </patternFill>
    </fill>
  </fills>
  <borders count="29">
    <border>
      <left/>
      <right/>
      <top/>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bottom style="thin">
        <color indexed="64"/>
      </bottom>
      <diagonal/>
    </border>
  </borders>
  <cellStyleXfs count="7">
    <xf numFmtId="0" fontId="0" fillId="0" borderId="0"/>
    <xf numFmtId="0" fontId="9" fillId="0" borderId="0"/>
    <xf numFmtId="0" fontId="8" fillId="0" borderId="0"/>
    <xf numFmtId="0" fontId="11" fillId="3" borderId="0" applyNumberFormat="0" applyBorder="0" applyAlignment="0" applyProtection="0"/>
    <xf numFmtId="0" fontId="5" fillId="0" borderId="0"/>
    <xf numFmtId="0" fontId="4" fillId="0" borderId="0"/>
    <xf numFmtId="0" fontId="1" fillId="0" borderId="0"/>
  </cellStyleXfs>
  <cellXfs count="649">
    <xf numFmtId="0" fontId="0" fillId="0" borderId="0" xfId="0"/>
    <xf numFmtId="0" fontId="8" fillId="0" borderId="0" xfId="0" applyFont="1" applyAlignment="1">
      <alignment horizontal="center" vertical="center"/>
    </xf>
    <xf numFmtId="0" fontId="8" fillId="0" borderId="0" xfId="0" applyFont="1" applyAlignment="1">
      <alignment vertical="center"/>
    </xf>
    <xf numFmtId="2" fontId="8" fillId="0" borderId="0" xfId="0" applyNumberFormat="1" applyFont="1" applyAlignment="1">
      <alignment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1" fontId="8" fillId="0" borderId="0" xfId="0" applyNumberFormat="1" applyFont="1" applyAlignment="1">
      <alignment vertical="center"/>
    </xf>
    <xf numFmtId="11" fontId="8" fillId="0" borderId="0" xfId="0" applyNumberFormat="1" applyFont="1" applyAlignment="1">
      <alignment vertical="center"/>
    </xf>
    <xf numFmtId="2" fontId="7" fillId="0" borderId="5" xfId="0" applyNumberFormat="1" applyFont="1" applyBorder="1" applyAlignment="1">
      <alignment vertical="center"/>
    </xf>
    <xf numFmtId="2" fontId="7" fillId="0" borderId="6" xfId="0" applyNumberFormat="1" applyFont="1" applyBorder="1" applyAlignment="1">
      <alignment vertical="center"/>
    </xf>
    <xf numFmtId="2" fontId="7" fillId="0" borderId="7" xfId="0" applyNumberFormat="1" applyFont="1" applyBorder="1" applyAlignment="1">
      <alignment vertical="center"/>
    </xf>
    <xf numFmtId="2" fontId="7" fillId="0" borderId="8" xfId="0" applyNumberFormat="1" applyFont="1" applyBorder="1" applyAlignment="1">
      <alignment vertical="center"/>
    </xf>
    <xf numFmtId="0" fontId="8" fillId="0" borderId="7" xfId="0" applyFont="1" applyBorder="1" applyAlignment="1">
      <alignment vertical="center"/>
    </xf>
    <xf numFmtId="11" fontId="8" fillId="0" borderId="7" xfId="0" applyNumberFormat="1" applyFont="1" applyBorder="1" applyAlignment="1">
      <alignment vertical="center"/>
    </xf>
    <xf numFmtId="1" fontId="8" fillId="0" borderId="7" xfId="0" applyNumberFormat="1" applyFont="1" applyBorder="1" applyAlignment="1">
      <alignment vertical="center"/>
    </xf>
    <xf numFmtId="2" fontId="8" fillId="0" borderId="7" xfId="0" applyNumberFormat="1" applyFont="1" applyBorder="1" applyAlignment="1">
      <alignment vertic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8" fillId="0" borderId="0" xfId="0" applyFont="1" applyAlignment="1">
      <alignment horizontal="left" vertical="center"/>
    </xf>
    <xf numFmtId="0" fontId="13" fillId="0" borderId="0" xfId="4" applyFont="1"/>
    <xf numFmtId="0" fontId="5" fillId="0" borderId="0" xfId="4"/>
    <xf numFmtId="1" fontId="14" fillId="0" borderId="12" xfId="4" applyNumberFormat="1" applyFont="1" applyBorder="1" applyAlignment="1">
      <alignment horizontal="center" vertical="top" wrapText="1"/>
    </xf>
    <xf numFmtId="0" fontId="14" fillId="0" borderId="0" xfId="4" applyFont="1"/>
    <xf numFmtId="1" fontId="14" fillId="0" borderId="12" xfId="4" applyNumberFormat="1" applyFont="1" applyBorder="1" applyAlignment="1">
      <alignment horizontal="center" vertical="center"/>
    </xf>
    <xf numFmtId="2" fontId="14" fillId="0" borderId="12" xfId="4" applyNumberFormat="1" applyFont="1" applyBorder="1" applyAlignment="1">
      <alignment horizontal="center"/>
    </xf>
    <xf numFmtId="2" fontId="14" fillId="0" borderId="12" xfId="4" applyNumberFormat="1" applyFont="1" applyBorder="1" applyAlignment="1">
      <alignment horizontal="center" vertical="center"/>
    </xf>
    <xf numFmtId="0" fontId="5" fillId="0" borderId="0" xfId="4" applyAlignment="1">
      <alignment horizontal="center" vertical="center"/>
    </xf>
    <xf numFmtId="0" fontId="5" fillId="0" borderId="0" xfId="4" applyAlignment="1">
      <alignment horizontal="center"/>
    </xf>
    <xf numFmtId="1" fontId="14" fillId="0" borderId="0" xfId="4" applyNumberFormat="1" applyFont="1"/>
    <xf numFmtId="0" fontId="14" fillId="0" borderId="0" xfId="4" applyFont="1" applyAlignment="1">
      <alignment horizontal="center" vertical="center"/>
    </xf>
    <xf numFmtId="1" fontId="14" fillId="0" borderId="13" xfId="4" applyNumberFormat="1" applyFont="1" applyBorder="1"/>
    <xf numFmtId="0" fontId="14" fillId="0" borderId="14" xfId="4" applyFont="1" applyBorder="1"/>
    <xf numFmtId="0" fontId="14" fillId="0" borderId="15" xfId="4" applyFont="1" applyBorder="1"/>
    <xf numFmtId="1" fontId="14" fillId="0" borderId="14" xfId="4" applyNumberFormat="1" applyFont="1" applyBorder="1"/>
    <xf numFmtId="0" fontId="14" fillId="0" borderId="16" xfId="4" applyFont="1" applyBorder="1" applyAlignment="1">
      <alignment horizontal="left"/>
    </xf>
    <xf numFmtId="1" fontId="14" fillId="0" borderId="17" xfId="4" applyNumberFormat="1" applyFont="1" applyBorder="1"/>
    <xf numFmtId="1" fontId="14" fillId="0" borderId="18" xfId="4" applyNumberFormat="1" applyFont="1" applyBorder="1"/>
    <xf numFmtId="0" fontId="14" fillId="0" borderId="18" xfId="4" applyFont="1" applyBorder="1"/>
    <xf numFmtId="2" fontId="14" fillId="0" borderId="19" xfId="4" applyNumberFormat="1" applyFont="1" applyBorder="1" applyAlignment="1">
      <alignment horizontal="left"/>
    </xf>
    <xf numFmtId="1" fontId="14" fillId="0" borderId="20" xfId="4" applyNumberFormat="1" applyFont="1" applyBorder="1"/>
    <xf numFmtId="2" fontId="14" fillId="0" borderId="21" xfId="4" applyNumberFormat="1" applyFont="1" applyBorder="1" applyAlignment="1">
      <alignment horizontal="left"/>
    </xf>
    <xf numFmtId="1" fontId="14" fillId="0" borderId="22" xfId="4" applyNumberFormat="1" applyFont="1" applyBorder="1"/>
    <xf numFmtId="1" fontId="14" fillId="0" borderId="23" xfId="4" applyNumberFormat="1" applyFont="1" applyBorder="1"/>
    <xf numFmtId="0" fontId="14" fillId="0" borderId="23" xfId="4" applyFont="1" applyBorder="1"/>
    <xf numFmtId="2" fontId="14" fillId="0" borderId="24" xfId="4" applyNumberFormat="1" applyFont="1" applyBorder="1" applyAlignment="1">
      <alignment horizontal="left"/>
    </xf>
    <xf numFmtId="2" fontId="14" fillId="0" borderId="0" xfId="4" applyNumberFormat="1" applyFont="1"/>
    <xf numFmtId="0" fontId="14" fillId="0" borderId="19" xfId="4" applyFont="1" applyBorder="1" applyAlignment="1">
      <alignment horizontal="center"/>
    </xf>
    <xf numFmtId="2" fontId="14" fillId="0" borderId="19" xfId="4" applyNumberFormat="1" applyFont="1" applyBorder="1" applyAlignment="1">
      <alignment horizontal="center"/>
    </xf>
    <xf numFmtId="0" fontId="14" fillId="0" borderId="16" xfId="4" applyFont="1" applyBorder="1"/>
    <xf numFmtId="164" fontId="14" fillId="0" borderId="16" xfId="4" applyNumberFormat="1" applyFont="1" applyBorder="1" applyAlignment="1">
      <alignment horizontal="center"/>
    </xf>
    <xf numFmtId="0" fontId="5" fillId="0" borderId="16" xfId="4" applyBorder="1"/>
    <xf numFmtId="1" fontId="14" fillId="0" borderId="12" xfId="4" applyNumberFormat="1" applyFont="1" applyBorder="1" applyAlignment="1">
      <alignment vertical="center" wrapText="1"/>
    </xf>
    <xf numFmtId="0" fontId="14" fillId="0" borderId="12" xfId="4" applyFont="1" applyBorder="1" applyAlignment="1">
      <alignment horizontal="center" vertical="center"/>
    </xf>
    <xf numFmtId="0" fontId="14" fillId="0" borderId="12" xfId="4" applyFont="1" applyBorder="1" applyAlignment="1">
      <alignment horizontal="center" vertical="center" wrapText="1"/>
    </xf>
    <xf numFmtId="0" fontId="14" fillId="0" borderId="0" xfId="4" applyFont="1" applyAlignment="1">
      <alignment horizontal="center" vertical="center" wrapText="1"/>
    </xf>
    <xf numFmtId="1" fontId="14" fillId="0" borderId="12" xfId="4" applyNumberFormat="1" applyFont="1" applyBorder="1"/>
    <xf numFmtId="0" fontId="14" fillId="6" borderId="12" xfId="4" applyFont="1" applyFill="1" applyBorder="1"/>
    <xf numFmtId="1" fontId="14" fillId="6" borderId="12" xfId="4" applyNumberFormat="1" applyFont="1" applyFill="1" applyBorder="1" applyAlignment="1">
      <alignment horizontal="center" vertical="center"/>
    </xf>
    <xf numFmtId="0" fontId="14" fillId="6" borderId="12" xfId="4" applyFont="1" applyFill="1" applyBorder="1" applyAlignment="1">
      <alignment horizontal="center" vertical="center"/>
    </xf>
    <xf numFmtId="1" fontId="14" fillId="6" borderId="12" xfId="4" applyNumberFormat="1" applyFont="1" applyFill="1" applyBorder="1"/>
    <xf numFmtId="1" fontId="18" fillId="0" borderId="12" xfId="4" applyNumberFormat="1" applyFont="1" applyBorder="1"/>
    <xf numFmtId="1" fontId="19" fillId="0" borderId="12" xfId="4" applyNumberFormat="1" applyFont="1" applyBorder="1"/>
    <xf numFmtId="2" fontId="20" fillId="0" borderId="0" xfId="4" applyNumberFormat="1" applyFont="1"/>
    <xf numFmtId="0" fontId="22" fillId="0" borderId="0" xfId="0" applyFont="1" applyAlignment="1">
      <alignment horizontal="center" vertical="center"/>
    </xf>
    <xf numFmtId="0" fontId="22" fillId="0" borderId="0" xfId="0" applyFont="1" applyAlignment="1">
      <alignment vertical="center"/>
    </xf>
    <xf numFmtId="2" fontId="25" fillId="0" borderId="4" xfId="0" applyNumberFormat="1" applyFont="1" applyBorder="1" applyAlignment="1">
      <alignment vertical="center"/>
    </xf>
    <xf numFmtId="2" fontId="25" fillId="0" borderId="5" xfId="0" applyNumberFormat="1" applyFont="1" applyBorder="1" applyAlignment="1">
      <alignment vertical="center"/>
    </xf>
    <xf numFmtId="0" fontId="25" fillId="0" borderId="4" xfId="0" applyFont="1" applyBorder="1" applyAlignment="1">
      <alignment horizontal="center" vertical="center"/>
    </xf>
    <xf numFmtId="0" fontId="25" fillId="0" borderId="0" xfId="0" applyFont="1" applyAlignment="1">
      <alignment horizontal="center" vertical="center"/>
    </xf>
    <xf numFmtId="11" fontId="25" fillId="0" borderId="4" xfId="2" applyNumberFormat="1" applyFont="1" applyBorder="1" applyAlignment="1">
      <alignment vertical="center"/>
    </xf>
    <xf numFmtId="0" fontId="25" fillId="0" borderId="4" xfId="2" applyFont="1" applyBorder="1" applyAlignment="1">
      <alignment vertical="center"/>
    </xf>
    <xf numFmtId="2" fontId="28" fillId="0" borderId="4" xfId="0" applyNumberFormat="1" applyFont="1" applyBorder="1" applyAlignment="1">
      <alignment vertical="center"/>
    </xf>
    <xf numFmtId="2" fontId="28" fillId="0" borderId="5" xfId="0" applyNumberFormat="1" applyFont="1" applyBorder="1" applyAlignment="1">
      <alignment vertical="center"/>
    </xf>
    <xf numFmtId="0" fontId="28" fillId="0" borderId="4" xfId="0" applyFont="1" applyBorder="1" applyAlignment="1">
      <alignment horizontal="center" vertical="center"/>
    </xf>
    <xf numFmtId="0" fontId="28" fillId="0" borderId="0" xfId="0" applyFont="1" applyAlignment="1">
      <alignment horizontal="center" vertical="center"/>
    </xf>
    <xf numFmtId="11" fontId="28" fillId="0" borderId="4" xfId="2" applyNumberFormat="1" applyFont="1" applyBorder="1" applyAlignment="1">
      <alignment vertical="center"/>
    </xf>
    <xf numFmtId="0" fontId="28" fillId="0" borderId="4" xfId="2" applyFont="1" applyBorder="1" applyAlignment="1">
      <alignment vertical="center"/>
    </xf>
    <xf numFmtId="0" fontId="24" fillId="0" borderId="2" xfId="0" applyFont="1" applyBorder="1" applyAlignment="1">
      <alignment vertical="center"/>
    </xf>
    <xf numFmtId="0" fontId="25" fillId="0" borderId="7" xfId="0" applyFont="1" applyBorder="1" applyAlignment="1">
      <alignment horizontal="center" vertical="center"/>
    </xf>
    <xf numFmtId="0" fontId="16" fillId="0" borderId="7" xfId="0" applyFont="1" applyBorder="1" applyAlignment="1">
      <alignment horizontal="center" vertical="center"/>
    </xf>
    <xf numFmtId="0" fontId="25" fillId="0" borderId="0" xfId="0" quotePrefix="1" applyFont="1" applyAlignment="1">
      <alignment horizontal="center" vertical="center"/>
    </xf>
    <xf numFmtId="0" fontId="32" fillId="0" borderId="0" xfId="5" applyFont="1" applyAlignment="1">
      <alignment horizontal="left" vertical="top"/>
    </xf>
    <xf numFmtId="0" fontId="4" fillId="0" borderId="0" xfId="5"/>
    <xf numFmtId="0" fontId="3" fillId="0" borderId="0" xfId="4" applyFont="1"/>
    <xf numFmtId="0" fontId="4" fillId="0" borderId="0" xfId="5" applyAlignment="1">
      <alignment horizontal="center" vertical="center"/>
    </xf>
    <xf numFmtId="0" fontId="3" fillId="0" borderId="0" xfId="4" applyFont="1" applyAlignment="1">
      <alignment horizontal="center" vertical="center"/>
    </xf>
    <xf numFmtId="2" fontId="5" fillId="0" borderId="0" xfId="4" applyNumberFormat="1"/>
    <xf numFmtId="2" fontId="5" fillId="0" borderId="0" xfId="4" applyNumberFormat="1" applyAlignment="1">
      <alignment horizontal="center" vertical="center"/>
    </xf>
    <xf numFmtId="2" fontId="3" fillId="0" borderId="0" xfId="4" applyNumberFormat="1" applyFont="1" applyAlignment="1">
      <alignment horizontal="center" vertical="center"/>
    </xf>
    <xf numFmtId="0" fontId="33" fillId="0" borderId="0" xfId="0" applyFont="1" applyAlignment="1">
      <alignment horizontal="center" vertical="center"/>
    </xf>
    <xf numFmtId="0" fontId="32" fillId="0" borderId="0" xfId="5" applyFont="1" applyAlignment="1">
      <alignment vertical="top"/>
    </xf>
    <xf numFmtId="2" fontId="8" fillId="0" borderId="0" xfId="0" applyNumberFormat="1" applyFont="1" applyAlignment="1">
      <alignment horizontal="center" vertical="center"/>
    </xf>
    <xf numFmtId="11" fontId="8" fillId="0" borderId="0" xfId="0" applyNumberFormat="1" applyFont="1" applyAlignment="1">
      <alignment horizontal="center" vertical="center"/>
    </xf>
    <xf numFmtId="0" fontId="22" fillId="0" borderId="0" xfId="0" applyFont="1" applyAlignment="1">
      <alignment vertical="top" wrapText="1"/>
    </xf>
    <xf numFmtId="0" fontId="3" fillId="0" borderId="0" xfId="5" applyFont="1"/>
    <xf numFmtId="1" fontId="8" fillId="0" borderId="0" xfId="0" applyNumberFormat="1" applyFont="1" applyAlignment="1">
      <alignment horizontal="center" vertical="center"/>
    </xf>
    <xf numFmtId="2" fontId="16" fillId="0" borderId="0" xfId="4" applyNumberFormat="1" applyFont="1" applyAlignment="1">
      <alignment horizontal="center" vertical="center"/>
    </xf>
    <xf numFmtId="0" fontId="16" fillId="0" borderId="0" xfId="4" applyFont="1" applyAlignment="1">
      <alignment horizontal="center" vertical="center"/>
    </xf>
    <xf numFmtId="0" fontId="34" fillId="0" borderId="0" xfId="4" applyFont="1"/>
    <xf numFmtId="0" fontId="16" fillId="0" borderId="0" xfId="4" applyFont="1"/>
    <xf numFmtId="0" fontId="6" fillId="2" borderId="1" xfId="0" applyFont="1" applyFill="1" applyBorder="1" applyAlignment="1">
      <alignment horizontal="center" vertical="top"/>
    </xf>
    <xf numFmtId="0" fontId="6" fillId="2" borderId="2" xfId="0" applyFont="1" applyFill="1" applyBorder="1" applyAlignment="1">
      <alignment horizontal="center" vertical="top"/>
    </xf>
    <xf numFmtId="0" fontId="6" fillId="2" borderId="4" xfId="0" applyFont="1" applyFill="1" applyBorder="1" applyAlignment="1">
      <alignment horizontal="center" vertical="top"/>
    </xf>
    <xf numFmtId="0" fontId="6" fillId="2" borderId="0" xfId="0" applyFont="1" applyFill="1" applyAlignment="1">
      <alignment horizontal="center" vertical="top"/>
    </xf>
    <xf numFmtId="0" fontId="6" fillId="2" borderId="6" xfId="0" applyFont="1" applyFill="1" applyBorder="1" applyAlignment="1">
      <alignment horizontal="center" vertical="top"/>
    </xf>
    <xf numFmtId="0" fontId="6" fillId="2" borderId="7" xfId="0" applyFont="1" applyFill="1" applyBorder="1" applyAlignment="1">
      <alignment horizontal="center" vertical="top"/>
    </xf>
    <xf numFmtId="0" fontId="8" fillId="0" borderId="5" xfId="0" applyFont="1" applyBorder="1" applyAlignment="1">
      <alignment vertical="center"/>
    </xf>
    <xf numFmtId="0" fontId="2" fillId="0" borderId="0" xfId="4" applyFont="1"/>
    <xf numFmtId="2" fontId="25" fillId="0" borderId="0" xfId="0" applyNumberFormat="1" applyFont="1" applyAlignment="1">
      <alignment vertical="center"/>
    </xf>
    <xf numFmtId="0" fontId="16" fillId="0" borderId="0" xfId="1" applyFont="1" applyAlignment="1">
      <alignment horizontal="left"/>
    </xf>
    <xf numFmtId="2" fontId="25" fillId="0" borderId="0" xfId="2" applyNumberFormat="1" applyFont="1" applyAlignment="1">
      <alignment vertical="center"/>
    </xf>
    <xf numFmtId="0" fontId="25" fillId="0" borderId="0" xfId="2" applyFont="1" applyAlignment="1">
      <alignment vertical="center"/>
    </xf>
    <xf numFmtId="0" fontId="25" fillId="0" borderId="0" xfId="2" applyFont="1"/>
    <xf numFmtId="0" fontId="16" fillId="0" borderId="0" xfId="1" applyFont="1" applyAlignment="1">
      <alignment horizontal="right"/>
    </xf>
    <xf numFmtId="0" fontId="16" fillId="0" borderId="27" xfId="1" applyFont="1" applyBorder="1" applyAlignment="1">
      <alignment horizontal="left"/>
    </xf>
    <xf numFmtId="2" fontId="25" fillId="0" borderId="6" xfId="0" applyNumberFormat="1" applyFont="1" applyBorder="1" applyAlignment="1">
      <alignment vertical="center"/>
    </xf>
    <xf numFmtId="2" fontId="25" fillId="0" borderId="7" xfId="0" applyNumberFormat="1" applyFont="1" applyBorder="1" applyAlignment="1">
      <alignment vertical="center"/>
    </xf>
    <xf numFmtId="2" fontId="25" fillId="0" borderId="8" xfId="0" applyNumberFormat="1" applyFont="1" applyBorder="1" applyAlignment="1">
      <alignment vertical="center"/>
    </xf>
    <xf numFmtId="0" fontId="25" fillId="0" borderId="6" xfId="0" applyFont="1" applyBorder="1" applyAlignment="1">
      <alignment horizontal="center" vertical="center"/>
    </xf>
    <xf numFmtId="0" fontId="28" fillId="0" borderId="4" xfId="0" applyFont="1" applyBorder="1" applyAlignment="1">
      <alignment vertical="center"/>
    </xf>
    <xf numFmtId="2" fontId="28" fillId="0" borderId="0" xfId="2" applyNumberFormat="1" applyFont="1" applyAlignment="1">
      <alignment vertical="center"/>
    </xf>
    <xf numFmtId="0" fontId="28" fillId="0" borderId="0" xfId="2" applyFont="1" applyAlignment="1">
      <alignment vertical="center"/>
    </xf>
    <xf numFmtId="0" fontId="28" fillId="0" borderId="0" xfId="2" applyFont="1"/>
    <xf numFmtId="0" fontId="28" fillId="0" borderId="0" xfId="0" applyFont="1" applyAlignment="1">
      <alignment vertical="center"/>
    </xf>
    <xf numFmtId="0" fontId="28" fillId="0" borderId="5" xfId="0" applyFont="1" applyBorder="1" applyAlignment="1">
      <alignment vertical="center"/>
    </xf>
    <xf numFmtId="2" fontId="28" fillId="0" borderId="4" xfId="2" applyNumberFormat="1" applyFont="1" applyBorder="1" applyAlignment="1">
      <alignment vertical="center"/>
    </xf>
    <xf numFmtId="0" fontId="28" fillId="0" borderId="4" xfId="2" applyFont="1" applyBorder="1"/>
    <xf numFmtId="0" fontId="28" fillId="0" borderId="0" xfId="2" applyFont="1" applyProtection="1">
      <protection locked="0"/>
    </xf>
    <xf numFmtId="2" fontId="29" fillId="0" borderId="0" xfId="2" applyNumberFormat="1" applyFont="1" applyAlignment="1">
      <alignment vertical="center"/>
    </xf>
    <xf numFmtId="0" fontId="30" fillId="0" borderId="0" xfId="2" applyFont="1" applyAlignment="1">
      <alignment vertical="center"/>
    </xf>
    <xf numFmtId="11" fontId="28" fillId="0" borderId="0" xfId="2" applyNumberFormat="1" applyFont="1" applyAlignment="1">
      <alignment vertical="center"/>
    </xf>
    <xf numFmtId="1" fontId="28" fillId="0" borderId="0" xfId="2" applyNumberFormat="1" applyFont="1" applyAlignment="1">
      <alignment vertical="center"/>
    </xf>
    <xf numFmtId="1" fontId="28" fillId="0" borderId="4" xfId="2" applyNumberFormat="1" applyFont="1" applyBorder="1" applyAlignment="1">
      <alignment vertical="center"/>
    </xf>
    <xf numFmtId="2" fontId="28" fillId="0" borderId="0" xfId="0" applyNumberFormat="1" applyFont="1" applyAlignment="1">
      <alignment vertical="center"/>
    </xf>
    <xf numFmtId="2" fontId="31" fillId="0" borderId="0" xfId="0" applyNumberFormat="1" applyFont="1" applyAlignment="1">
      <alignment vertical="center"/>
    </xf>
    <xf numFmtId="1" fontId="28" fillId="0" borderId="0" xfId="0" applyNumberFormat="1" applyFont="1" applyAlignment="1">
      <alignment vertical="center"/>
    </xf>
    <xf numFmtId="11" fontId="28" fillId="0" borderId="0" xfId="0" applyNumberFormat="1" applyFont="1" applyAlignment="1">
      <alignment vertical="center"/>
    </xf>
    <xf numFmtId="0" fontId="8" fillId="0" borderId="6" xfId="0" applyFont="1" applyBorder="1" applyAlignment="1">
      <alignment vertical="center"/>
    </xf>
    <xf numFmtId="0" fontId="8" fillId="0" borderId="8" xfId="0" applyFont="1" applyBorder="1" applyAlignment="1">
      <alignment vertical="center"/>
    </xf>
    <xf numFmtId="2" fontId="25" fillId="0" borderId="4" xfId="2" applyNumberFormat="1" applyFont="1" applyBorder="1" applyAlignment="1">
      <alignment vertical="center"/>
    </xf>
    <xf numFmtId="0" fontId="16" fillId="0" borderId="0" xfId="0" applyFont="1" applyAlignment="1">
      <alignment horizontal="center" vertical="center"/>
    </xf>
    <xf numFmtId="0" fontId="25" fillId="0" borderId="0" xfId="0" applyFont="1" applyAlignment="1">
      <alignment vertical="center"/>
    </xf>
    <xf numFmtId="0" fontId="25" fillId="0" borderId="5" xfId="0" applyFont="1" applyBorder="1" applyAlignment="1">
      <alignment vertical="center"/>
    </xf>
    <xf numFmtId="0" fontId="27" fillId="0" borderId="0" xfId="0" applyFont="1" applyAlignment="1">
      <alignment horizontal="left" vertical="center"/>
    </xf>
    <xf numFmtId="0" fontId="25" fillId="0" borderId="4" xfId="2" applyFont="1" applyBorder="1"/>
    <xf numFmtId="1" fontId="25" fillId="0" borderId="4" xfId="2" applyNumberFormat="1" applyFont="1" applyBorder="1" applyAlignment="1">
      <alignment vertical="center"/>
    </xf>
    <xf numFmtId="0" fontId="25" fillId="0" borderId="4" xfId="0" applyFont="1" applyBorder="1" applyAlignment="1">
      <alignment vertical="center"/>
    </xf>
    <xf numFmtId="0" fontId="25" fillId="0" borderId="6" xfId="0" applyFont="1" applyBorder="1" applyAlignment="1">
      <alignment vertical="center"/>
    </xf>
    <xf numFmtId="0" fontId="25" fillId="0" borderId="8" xfId="0" applyFont="1" applyBorder="1" applyAlignment="1">
      <alignment vertical="center"/>
    </xf>
    <xf numFmtId="0" fontId="16" fillId="0" borderId="4" xfId="0" applyFont="1" applyBorder="1" applyAlignment="1">
      <alignment horizontal="center" vertical="center"/>
    </xf>
    <xf numFmtId="0" fontId="16" fillId="0" borderId="6" xfId="0" applyFont="1" applyBorder="1" applyAlignment="1">
      <alignment horizontal="center" vertical="center"/>
    </xf>
    <xf numFmtId="0" fontId="16" fillId="0" borderId="7" xfId="0" applyFont="1" applyBorder="1" applyAlignment="1">
      <alignment vertical="center"/>
    </xf>
    <xf numFmtId="0" fontId="25" fillId="0" borderId="2" xfId="0" applyFont="1" applyBorder="1" applyAlignment="1">
      <alignment vertical="center"/>
    </xf>
    <xf numFmtId="0" fontId="25" fillId="0" borderId="3" xfId="0" applyFont="1" applyBorder="1" applyAlignment="1">
      <alignment vertical="center"/>
    </xf>
    <xf numFmtId="0" fontId="24" fillId="0" borderId="0" xfId="0" applyFont="1" applyAlignment="1">
      <alignment horizontal="center" vertical="center"/>
    </xf>
    <xf numFmtId="11" fontId="25" fillId="0" borderId="0" xfId="0" applyNumberFormat="1" applyFont="1" applyAlignment="1">
      <alignment vertical="center"/>
    </xf>
    <xf numFmtId="1" fontId="25" fillId="0" borderId="0" xfId="0" applyNumberFormat="1" applyFont="1" applyAlignment="1">
      <alignment vertical="center"/>
    </xf>
    <xf numFmtId="0" fontId="22" fillId="0" borderId="4" xfId="0" applyFont="1" applyBorder="1" applyAlignment="1">
      <alignment horizontal="center" vertical="center"/>
    </xf>
    <xf numFmtId="0" fontId="22" fillId="0" borderId="6" xfId="0" applyFont="1" applyBorder="1" applyAlignment="1">
      <alignment horizontal="center" vertical="center"/>
    </xf>
    <xf numFmtId="0" fontId="22" fillId="0" borderId="7" xfId="0" applyFont="1" applyBorder="1" applyAlignment="1">
      <alignment horizontal="center" vertical="center"/>
    </xf>
    <xf numFmtId="0" fontId="22" fillId="0" borderId="7" xfId="0" applyFont="1" applyBorder="1" applyAlignment="1">
      <alignment vertical="center"/>
    </xf>
    <xf numFmtId="0" fontId="16" fillId="0" borderId="2" xfId="0" applyFont="1" applyBorder="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3" fillId="0" borderId="7" xfId="0" applyFont="1" applyBorder="1" applyAlignment="1">
      <alignment horizontal="center" vertical="center"/>
    </xf>
    <xf numFmtId="0" fontId="24" fillId="0" borderId="7" xfId="0" applyFont="1" applyBorder="1" applyAlignment="1">
      <alignment vertical="center"/>
    </xf>
    <xf numFmtId="0" fontId="8" fillId="0" borderId="4" xfId="0" applyFont="1" applyBorder="1" applyAlignment="1">
      <alignment vertical="center"/>
    </xf>
    <xf numFmtId="0" fontId="26" fillId="0" borderId="2" xfId="0" applyFont="1" applyBorder="1" applyAlignment="1">
      <alignment horizontal="left" vertical="center"/>
    </xf>
    <xf numFmtId="0" fontId="24" fillId="0" borderId="0" xfId="0" quotePrefix="1" applyFont="1" applyAlignment="1">
      <alignment horizontal="center" vertical="center"/>
    </xf>
    <xf numFmtId="0" fontId="8" fillId="0" borderId="7" xfId="0" applyFont="1" applyBorder="1" applyAlignment="1">
      <alignment horizontal="left" vertical="center"/>
    </xf>
    <xf numFmtId="2" fontId="10" fillId="0" borderId="0" xfId="2" applyNumberFormat="1" applyFont="1" applyAlignment="1">
      <alignment vertical="center"/>
    </xf>
    <xf numFmtId="2" fontId="1" fillId="0" borderId="28" xfId="6" applyNumberFormat="1" applyBorder="1" applyAlignment="1">
      <alignment horizontal="center" vertical="center"/>
    </xf>
    <xf numFmtId="0" fontId="14" fillId="0" borderId="13" xfId="4" applyFont="1" applyBorder="1" applyAlignment="1">
      <alignment horizontal="center" vertical="center"/>
    </xf>
    <xf numFmtId="0" fontId="35" fillId="0" borderId="16" xfId="4" applyFont="1" applyBorder="1" applyAlignment="1">
      <alignment horizontal="center" vertical="center"/>
    </xf>
    <xf numFmtId="0" fontId="37" fillId="0" borderId="0" xfId="0" applyFont="1" applyAlignment="1">
      <alignment horizontal="left" vertical="center"/>
    </xf>
    <xf numFmtId="0" fontId="38" fillId="0" borderId="0" xfId="0" applyFont="1" applyAlignment="1">
      <alignment horizontal="center" vertical="center"/>
    </xf>
    <xf numFmtId="2" fontId="39" fillId="0" borderId="0" xfId="2" applyNumberFormat="1" applyFont="1" applyAlignment="1">
      <alignment vertical="center"/>
    </xf>
    <xf numFmtId="0" fontId="39" fillId="0" borderId="0" xfId="2" applyFont="1" applyAlignment="1">
      <alignment vertical="center"/>
    </xf>
    <xf numFmtId="0" fontId="39" fillId="0" borderId="0" xfId="2" applyFont="1"/>
    <xf numFmtId="0" fontId="39" fillId="0" borderId="0" xfId="0" applyFont="1" applyAlignment="1">
      <alignment vertical="center"/>
    </xf>
    <xf numFmtId="0" fontId="40" fillId="0" borderId="0" xfId="0" applyFont="1" applyAlignment="1">
      <alignment horizontal="left" vertical="center"/>
    </xf>
    <xf numFmtId="0" fontId="38" fillId="0" borderId="0" xfId="1" applyFont="1" applyAlignment="1">
      <alignment horizontal="right"/>
    </xf>
    <xf numFmtId="0" fontId="39" fillId="0" borderId="0" xfId="2" applyFont="1" applyProtection="1">
      <protection locked="0"/>
    </xf>
    <xf numFmtId="0" fontId="41" fillId="2" borderId="0" xfId="0" applyFont="1" applyFill="1" applyAlignment="1">
      <alignment vertical="center"/>
    </xf>
    <xf numFmtId="0" fontId="42" fillId="0" borderId="0" xfId="0" applyFont="1" applyAlignment="1">
      <alignment horizontal="center" vertical="center"/>
    </xf>
    <xf numFmtId="2" fontId="41" fillId="0" borderId="0" xfId="2" applyNumberFormat="1" applyFont="1" applyAlignment="1">
      <alignment horizontal="left" vertical="center"/>
    </xf>
    <xf numFmtId="2" fontId="41" fillId="0" borderId="0" xfId="2" applyNumberFormat="1" applyFont="1" applyAlignment="1">
      <alignment vertical="center"/>
    </xf>
    <xf numFmtId="0" fontId="40" fillId="0" borderId="0" xfId="0" applyFont="1"/>
    <xf numFmtId="0" fontId="39" fillId="0" borderId="0" xfId="0" applyFont="1" applyAlignment="1">
      <alignment horizontal="left" vertical="center"/>
    </xf>
    <xf numFmtId="0" fontId="42" fillId="0" borderId="0" xfId="0" applyFont="1" applyAlignment="1">
      <alignment horizontal="left" vertical="center"/>
    </xf>
    <xf numFmtId="2" fontId="46" fillId="0" borderId="0" xfId="2" applyNumberFormat="1" applyFont="1" applyAlignment="1">
      <alignment vertical="center"/>
    </xf>
    <xf numFmtId="0" fontId="39" fillId="0" borderId="1" xfId="0" applyFont="1" applyBorder="1" applyAlignment="1">
      <alignment vertical="center"/>
    </xf>
    <xf numFmtId="0" fontId="41" fillId="0" borderId="2" xfId="0" applyFont="1" applyBorder="1"/>
    <xf numFmtId="0" fontId="38" fillId="0" borderId="2" xfId="0" applyFont="1" applyBorder="1"/>
    <xf numFmtId="0" fontId="39" fillId="0" borderId="2" xfId="2" applyFont="1" applyBorder="1" applyAlignment="1">
      <alignment vertical="center"/>
    </xf>
    <xf numFmtId="0" fontId="39" fillId="0" borderId="2" xfId="2" applyFont="1" applyBorder="1"/>
    <xf numFmtId="0" fontId="39" fillId="0" borderId="2" xfId="0" applyFont="1" applyBorder="1" applyAlignment="1">
      <alignment vertical="center"/>
    </xf>
    <xf numFmtId="0" fontId="39" fillId="0" borderId="3" xfId="0" applyFont="1" applyBorder="1" applyAlignment="1">
      <alignment vertical="center"/>
    </xf>
    <xf numFmtId="2" fontId="39" fillId="0" borderId="4" xfId="2" applyNumberFormat="1" applyFont="1" applyBorder="1" applyAlignment="1">
      <alignment vertical="center"/>
    </xf>
    <xf numFmtId="0" fontId="39" fillId="0" borderId="0" xfId="0" applyFont="1" applyAlignment="1">
      <alignment horizontal="left"/>
    </xf>
    <xf numFmtId="0" fontId="39" fillId="0" borderId="5" xfId="0" applyFont="1" applyBorder="1" applyAlignment="1">
      <alignment vertical="center"/>
    </xf>
    <xf numFmtId="0" fontId="39" fillId="0" borderId="1" xfId="0" applyFont="1" applyBorder="1" applyAlignment="1">
      <alignment horizontal="center" vertical="center"/>
    </xf>
    <xf numFmtId="0" fontId="39" fillId="0" borderId="2" xfId="0" applyFont="1" applyBorder="1" applyAlignment="1">
      <alignment horizontal="center" vertical="center"/>
    </xf>
    <xf numFmtId="0" fontId="42" fillId="0" borderId="3" xfId="0" applyFont="1" applyBorder="1" applyAlignment="1">
      <alignment horizontal="center" vertical="center"/>
    </xf>
    <xf numFmtId="0" fontId="39" fillId="0" borderId="0" xfId="0" applyFont="1"/>
    <xf numFmtId="0" fontId="38" fillId="0" borderId="0" xfId="0" applyFont="1"/>
    <xf numFmtId="0" fontId="39" fillId="0" borderId="4" xfId="0" applyFont="1" applyBorder="1" applyAlignment="1">
      <alignment horizontal="center" vertical="center"/>
    </xf>
    <xf numFmtId="0" fontId="39" fillId="0" borderId="0" xfId="0" applyFont="1" applyAlignment="1">
      <alignment horizontal="center" vertical="center"/>
    </xf>
    <xf numFmtId="0" fontId="42" fillId="0" borderId="5" xfId="0" applyFont="1" applyBorder="1" applyAlignment="1">
      <alignment horizontal="center" vertical="center"/>
    </xf>
    <xf numFmtId="0" fontId="39" fillId="0" borderId="4" xfId="2" applyFont="1" applyBorder="1"/>
    <xf numFmtId="0" fontId="38" fillId="2" borderId="0" xfId="0" applyFont="1" applyFill="1" applyAlignment="1">
      <alignment vertical="center"/>
    </xf>
    <xf numFmtId="0" fontId="38" fillId="2" borderId="0" xfId="0" applyFont="1" applyFill="1" applyAlignment="1">
      <alignment horizontal="left" vertical="center"/>
    </xf>
    <xf numFmtId="0" fontId="38" fillId="0" borderId="0" xfId="0" applyFont="1" applyAlignment="1">
      <alignment vertical="center"/>
    </xf>
    <xf numFmtId="11" fontId="39" fillId="0" borderId="0" xfId="0" applyNumberFormat="1" applyFont="1" applyAlignment="1">
      <alignment vertical="center"/>
    </xf>
    <xf numFmtId="1" fontId="39" fillId="0" borderId="0" xfId="0" applyNumberFormat="1" applyFont="1" applyAlignment="1">
      <alignment vertical="center"/>
    </xf>
    <xf numFmtId="11" fontId="39" fillId="0" borderId="0" xfId="0" quotePrefix="1" applyNumberFormat="1" applyFont="1" applyAlignment="1">
      <alignment vertical="center"/>
    </xf>
    <xf numFmtId="0" fontId="39" fillId="0" borderId="0" xfId="2" quotePrefix="1" applyFont="1"/>
    <xf numFmtId="1" fontId="38" fillId="2" borderId="0" xfId="0" applyNumberFormat="1" applyFont="1" applyFill="1" applyAlignment="1">
      <alignment vertical="center"/>
    </xf>
    <xf numFmtId="0" fontId="40" fillId="2" borderId="0" xfId="0" applyFont="1" applyFill="1" applyAlignment="1">
      <alignment horizontal="center" vertical="center"/>
    </xf>
    <xf numFmtId="1" fontId="40" fillId="2" borderId="0" xfId="0" applyNumberFormat="1" applyFont="1" applyFill="1" applyAlignment="1">
      <alignment horizontal="center"/>
    </xf>
    <xf numFmtId="1" fontId="38" fillId="0" borderId="0" xfId="0" applyNumberFormat="1" applyFont="1"/>
    <xf numFmtId="0" fontId="38" fillId="0" borderId="0" xfId="0" applyFont="1" applyAlignment="1">
      <alignment horizontal="right" vertical="center"/>
    </xf>
    <xf numFmtId="0" fontId="41" fillId="0" borderId="0" xfId="0" applyFont="1"/>
    <xf numFmtId="0" fontId="38" fillId="0" borderId="0" xfId="0" applyFont="1" applyAlignment="1">
      <alignment horizontal="left"/>
    </xf>
    <xf numFmtId="0" fontId="47" fillId="0" borderId="0" xfId="2" applyFont="1" applyAlignment="1">
      <alignment vertical="center"/>
    </xf>
    <xf numFmtId="0" fontId="45" fillId="9" borderId="0" xfId="0" applyFont="1" applyFill="1" applyAlignment="1">
      <alignment horizontal="center" vertical="center"/>
    </xf>
    <xf numFmtId="0" fontId="39" fillId="0" borderId="0" xfId="0" quotePrefix="1" applyFont="1" applyAlignment="1">
      <alignment horizontal="center" vertical="center"/>
    </xf>
    <xf numFmtId="0" fontId="41" fillId="0" borderId="0" xfId="0" applyFont="1" applyAlignment="1">
      <alignment horizontal="center" vertical="center"/>
    </xf>
    <xf numFmtId="0" fontId="41" fillId="0" borderId="0" xfId="0" applyFont="1" applyAlignment="1">
      <alignment horizontal="left" vertical="center"/>
    </xf>
    <xf numFmtId="0" fontId="41" fillId="0" borderId="0" xfId="2" applyFont="1"/>
    <xf numFmtId="0" fontId="39" fillId="0" borderId="4" xfId="2" applyFont="1" applyBorder="1" applyAlignment="1">
      <alignment vertical="center"/>
    </xf>
    <xf numFmtId="0" fontId="41" fillId="0" borderId="0" xfId="0" quotePrefix="1" applyFont="1" applyAlignment="1">
      <alignment horizontal="center" vertical="center"/>
    </xf>
    <xf numFmtId="1" fontId="39" fillId="0" borderId="4" xfId="2" applyNumberFormat="1" applyFont="1" applyBorder="1" applyAlignment="1">
      <alignment vertical="center"/>
    </xf>
    <xf numFmtId="11" fontId="39" fillId="0" borderId="4" xfId="2" applyNumberFormat="1" applyFont="1" applyBorder="1" applyAlignment="1">
      <alignment vertical="center"/>
    </xf>
    <xf numFmtId="0" fontId="39" fillId="0" borderId="7" xfId="0" applyFont="1" applyBorder="1" applyAlignment="1">
      <alignment horizontal="left" vertical="center"/>
    </xf>
    <xf numFmtId="0" fontId="39" fillId="0" borderId="7" xfId="0" applyFont="1" applyBorder="1" applyAlignment="1">
      <alignment horizontal="center" vertical="center"/>
    </xf>
    <xf numFmtId="0" fontId="39" fillId="0" borderId="4" xfId="0" applyFont="1" applyBorder="1" applyAlignment="1">
      <alignment vertical="center"/>
    </xf>
    <xf numFmtId="0" fontId="45" fillId="9" borderId="7" xfId="0" applyFont="1" applyFill="1" applyBorder="1" applyAlignment="1">
      <alignment horizontal="center" vertical="center"/>
    </xf>
    <xf numFmtId="0" fontId="39" fillId="0" borderId="7" xfId="0" quotePrefix="1" applyFont="1" applyBorder="1" applyAlignment="1">
      <alignment horizontal="center" vertical="center"/>
    </xf>
    <xf numFmtId="174" fontId="39" fillId="0" borderId="0" xfId="0" applyNumberFormat="1" applyFont="1" applyAlignment="1">
      <alignment horizontal="center" vertical="center"/>
    </xf>
    <xf numFmtId="0" fontId="39" fillId="0" borderId="0" xfId="0" quotePrefix="1" applyFont="1" applyAlignment="1">
      <alignment horizontal="left" vertical="center"/>
    </xf>
    <xf numFmtId="0" fontId="39" fillId="0" borderId="5" xfId="0" applyFont="1" applyBorder="1" applyAlignment="1">
      <alignment horizontal="center" vertical="center"/>
    </xf>
    <xf numFmtId="0" fontId="39" fillId="0" borderId="0" xfId="0" quotePrefix="1" applyFont="1" applyAlignment="1">
      <alignment vertical="center"/>
    </xf>
    <xf numFmtId="0" fontId="39" fillId="0" borderId="7" xfId="0" applyFont="1" applyBorder="1" applyAlignment="1">
      <alignment vertical="center"/>
    </xf>
    <xf numFmtId="2" fontId="39" fillId="0" borderId="0" xfId="0" applyNumberFormat="1" applyFont="1" applyAlignment="1">
      <alignment vertical="center"/>
    </xf>
    <xf numFmtId="0" fontId="39" fillId="0" borderId="6" xfId="0" applyFont="1" applyBorder="1" applyAlignment="1">
      <alignment vertical="center"/>
    </xf>
    <xf numFmtId="0" fontId="38" fillId="0" borderId="7" xfId="0" applyFont="1" applyBorder="1" applyAlignment="1">
      <alignment horizontal="center" vertical="center"/>
    </xf>
    <xf numFmtId="0" fontId="39" fillId="0" borderId="8" xfId="0" applyFont="1" applyBorder="1" applyAlignment="1">
      <alignment vertical="center"/>
    </xf>
    <xf numFmtId="0" fontId="39" fillId="0" borderId="6" xfId="0" applyFont="1" applyBorder="1" applyAlignment="1">
      <alignment horizontal="center" vertical="center"/>
    </xf>
    <xf numFmtId="0" fontId="42" fillId="0" borderId="7" xfId="0" applyFont="1" applyBorder="1" applyAlignment="1">
      <alignment horizontal="center" vertical="center"/>
    </xf>
    <xf numFmtId="0" fontId="42" fillId="0" borderId="8" xfId="0" applyFont="1" applyBorder="1" applyAlignment="1">
      <alignment horizontal="center" vertical="center"/>
    </xf>
    <xf numFmtId="0" fontId="38" fillId="0" borderId="1" xfId="0" applyFont="1" applyBorder="1" applyAlignment="1">
      <alignment vertical="center"/>
    </xf>
    <xf numFmtId="0" fontId="38" fillId="0" borderId="2" xfId="0" applyFont="1" applyBorder="1" applyAlignment="1">
      <alignment vertical="center"/>
    </xf>
    <xf numFmtId="2" fontId="39" fillId="0" borderId="3" xfId="0" applyNumberFormat="1" applyFont="1" applyBorder="1" applyAlignment="1">
      <alignment vertical="center"/>
    </xf>
    <xf numFmtId="0" fontId="38" fillId="0" borderId="4" xfId="0" applyFont="1" applyBorder="1" applyAlignment="1">
      <alignment vertical="center"/>
    </xf>
    <xf numFmtId="2" fontId="39" fillId="0" borderId="5" xfId="0" applyNumberFormat="1" applyFont="1" applyBorder="1" applyAlignment="1">
      <alignment vertical="center"/>
    </xf>
    <xf numFmtId="0" fontId="38" fillId="0" borderId="5" xfId="0" applyFont="1" applyBorder="1" applyAlignment="1">
      <alignment horizontal="center"/>
    </xf>
    <xf numFmtId="0" fontId="42" fillId="0" borderId="4" xfId="0" applyFont="1" applyBorder="1" applyAlignment="1">
      <alignment horizontal="center" vertical="center"/>
    </xf>
    <xf numFmtId="0" fontId="38" fillId="0" borderId="0" xfId="0" applyFont="1" applyAlignment="1">
      <alignment wrapText="1"/>
    </xf>
    <xf numFmtId="0" fontId="38" fillId="0" borderId="4" xfId="0" applyFont="1" applyBorder="1" applyAlignment="1">
      <alignment horizontal="center" vertical="center"/>
    </xf>
    <xf numFmtId="0" fontId="38" fillId="0" borderId="4" xfId="0" applyFont="1" applyBorder="1" applyAlignment="1">
      <alignment horizontal="right" vertical="center"/>
    </xf>
    <xf numFmtId="0" fontId="38" fillId="0" borderId="4" xfId="0" applyFont="1" applyBorder="1" applyAlignment="1">
      <alignment vertical="center" wrapText="1"/>
    </xf>
    <xf numFmtId="0" fontId="38" fillId="0" borderId="0" xfId="0" applyFont="1" applyAlignment="1">
      <alignment vertical="center" wrapText="1"/>
    </xf>
    <xf numFmtId="0" fontId="38" fillId="0" borderId="6" xfId="0" applyFont="1" applyBorder="1" applyAlignment="1">
      <alignment horizontal="center" vertical="center"/>
    </xf>
    <xf numFmtId="0" fontId="38" fillId="0" borderId="7" xfId="0" applyFont="1" applyBorder="1" applyAlignment="1">
      <alignment vertical="center"/>
    </xf>
    <xf numFmtId="2" fontId="39" fillId="0" borderId="8" xfId="0" applyNumberFormat="1" applyFont="1" applyBorder="1" applyAlignment="1">
      <alignment vertical="center"/>
    </xf>
    <xf numFmtId="0" fontId="38" fillId="0" borderId="1" xfId="0" applyFont="1" applyBorder="1" applyAlignment="1">
      <alignment horizontal="center" vertical="center"/>
    </xf>
    <xf numFmtId="0" fontId="37" fillId="0" borderId="2" xfId="0" applyFont="1" applyBorder="1" applyAlignment="1">
      <alignment vertical="center"/>
    </xf>
    <xf numFmtId="0" fontId="38" fillId="0" borderId="2" xfId="0" applyFont="1" applyBorder="1" applyAlignment="1">
      <alignment horizontal="center" vertical="center"/>
    </xf>
    <xf numFmtId="0" fontId="39" fillId="0" borderId="0" xfId="0" applyFont="1" applyAlignment="1">
      <alignment horizontal="left" vertical="top"/>
    </xf>
    <xf numFmtId="0" fontId="38" fillId="0" borderId="0" xfId="0" applyFont="1" applyAlignment="1">
      <alignment horizontal="left" vertical="top"/>
    </xf>
    <xf numFmtId="2" fontId="38" fillId="0" borderId="0" xfId="0" applyNumberFormat="1" applyFont="1" applyAlignment="1">
      <alignment horizontal="center" vertical="center"/>
    </xf>
    <xf numFmtId="0" fontId="38" fillId="0" borderId="0" xfId="0" applyFont="1" applyAlignment="1">
      <alignment horizontal="left" vertical="center"/>
    </xf>
    <xf numFmtId="0" fontId="38" fillId="0" borderId="0" xfId="0" quotePrefix="1" applyFont="1" applyAlignment="1">
      <alignment horizontal="center" vertical="center"/>
    </xf>
    <xf numFmtId="0" fontId="51" fillId="9" borderId="7" xfId="0" applyFont="1" applyFill="1" applyBorder="1" applyAlignment="1">
      <alignment horizontal="center" vertical="center"/>
    </xf>
    <xf numFmtId="0" fontId="39" fillId="0" borderId="3" xfId="0" applyFont="1" applyBorder="1" applyAlignment="1">
      <alignment horizontal="center" vertical="center"/>
    </xf>
    <xf numFmtId="0" fontId="38" fillId="0" borderId="0" xfId="0" applyFont="1" applyAlignment="1">
      <alignment vertical="top" wrapText="1"/>
    </xf>
    <xf numFmtId="0" fontId="38" fillId="0" borderId="5" xfId="0" applyFont="1" applyBorder="1" applyAlignment="1">
      <alignment vertical="top" wrapText="1"/>
    </xf>
    <xf numFmtId="165" fontId="40" fillId="0" borderId="0" xfId="0" applyNumberFormat="1" applyFont="1" applyAlignment="1">
      <alignment vertical="center"/>
    </xf>
    <xf numFmtId="2" fontId="38" fillId="0" borderId="0" xfId="0" applyNumberFormat="1" applyFont="1" applyAlignment="1">
      <alignment vertical="center"/>
    </xf>
    <xf numFmtId="165" fontId="40" fillId="0" borderId="0" xfId="0" applyNumberFormat="1" applyFont="1" applyAlignment="1">
      <alignment horizontal="center" vertical="center"/>
    </xf>
    <xf numFmtId="2" fontId="41" fillId="0" borderId="0" xfId="0" applyNumberFormat="1" applyFont="1" applyAlignment="1">
      <alignment vertical="center"/>
    </xf>
    <xf numFmtId="11" fontId="39" fillId="0" borderId="7" xfId="0" applyNumberFormat="1" applyFont="1" applyBorder="1" applyAlignment="1">
      <alignment vertical="center"/>
    </xf>
    <xf numFmtId="1" fontId="39" fillId="0" borderId="7" xfId="0" applyNumberFormat="1" applyFont="1" applyBorder="1" applyAlignment="1">
      <alignment vertical="center"/>
    </xf>
    <xf numFmtId="2" fontId="39" fillId="0" borderId="7" xfId="0" applyNumberFormat="1" applyFont="1" applyBorder="1" applyAlignment="1">
      <alignment vertical="center"/>
    </xf>
    <xf numFmtId="0" fontId="39" fillId="0" borderId="8" xfId="0" applyFont="1" applyBorder="1" applyAlignment="1">
      <alignment horizontal="center" vertical="center"/>
    </xf>
    <xf numFmtId="2" fontId="25" fillId="0" borderId="1" xfId="0" applyNumberFormat="1" applyFont="1" applyBorder="1" applyAlignment="1">
      <alignment vertical="center"/>
    </xf>
    <xf numFmtId="0" fontId="44" fillId="0" borderId="0" xfId="0" applyFont="1" applyAlignment="1">
      <alignment horizontal="left"/>
    </xf>
    <xf numFmtId="0" fontId="37" fillId="0" borderId="0" xfId="0" applyFont="1" applyAlignment="1">
      <alignment vertical="center"/>
    </xf>
    <xf numFmtId="0" fontId="40" fillId="0" borderId="0" xfId="0" quotePrefix="1" applyFont="1"/>
    <xf numFmtId="49" fontId="39" fillId="0" borderId="0" xfId="0" applyNumberFormat="1" applyFont="1" applyAlignment="1">
      <alignment horizontal="left"/>
    </xf>
    <xf numFmtId="0" fontId="39" fillId="0" borderId="25" xfId="0" applyFont="1" applyBorder="1" applyAlignment="1">
      <alignment horizontal="left"/>
    </xf>
    <xf numFmtId="2" fontId="41" fillId="0" borderId="0" xfId="0" applyNumberFormat="1" applyFont="1" applyAlignment="1">
      <alignment horizontal="center"/>
    </xf>
    <xf numFmtId="0" fontId="38" fillId="0" borderId="0" xfId="0" applyFont="1" applyAlignment="1">
      <alignment horizontal="center" vertical="center" wrapText="1"/>
    </xf>
    <xf numFmtId="0" fontId="40" fillId="0" borderId="0" xfId="0" applyFont="1" applyAlignment="1">
      <alignment horizontal="center" vertical="center"/>
    </xf>
    <xf numFmtId="0" fontId="45" fillId="0" borderId="0" xfId="0" applyFont="1" applyAlignment="1">
      <alignment horizontal="center" vertical="center" wrapText="1"/>
    </xf>
    <xf numFmtId="0" fontId="45" fillId="0" borderId="0" xfId="0" applyFont="1" applyAlignment="1">
      <alignment horizontal="center" vertical="center"/>
    </xf>
    <xf numFmtId="1" fontId="38" fillId="0" borderId="0" xfId="0" applyNumberFormat="1" applyFont="1" applyAlignment="1">
      <alignment horizontal="center" vertical="center"/>
    </xf>
    <xf numFmtId="1" fontId="38" fillId="0" borderId="0" xfId="0" applyNumberFormat="1" applyFont="1" applyAlignment="1">
      <alignment vertical="center"/>
    </xf>
    <xf numFmtId="1" fontId="38" fillId="0" borderId="0" xfId="0" applyNumberFormat="1" applyFont="1" applyAlignment="1">
      <alignment horizontal="left" vertical="center"/>
    </xf>
    <xf numFmtId="179" fontId="39" fillId="0" borderId="0" xfId="0" applyNumberFormat="1" applyFont="1" applyAlignment="1">
      <alignment vertical="center"/>
    </xf>
    <xf numFmtId="0" fontId="54" fillId="0" borderId="0" xfId="0" applyFont="1" applyAlignment="1">
      <alignment horizontal="left" vertical="center"/>
    </xf>
    <xf numFmtId="0" fontId="38" fillId="0" borderId="5" xfId="0" applyFont="1" applyBorder="1" applyAlignment="1">
      <alignment vertical="center"/>
    </xf>
    <xf numFmtId="2" fontId="39" fillId="0" borderId="1" xfId="0" applyNumberFormat="1" applyFont="1" applyBorder="1" applyAlignment="1">
      <alignment vertical="center"/>
    </xf>
    <xf numFmtId="0" fontId="38" fillId="0" borderId="0" xfId="5" applyFont="1"/>
    <xf numFmtId="0" fontId="49" fillId="0" borderId="0" xfId="0" quotePrefix="1" applyFont="1" applyAlignment="1">
      <alignment horizontal="center" vertical="center"/>
    </xf>
    <xf numFmtId="0" fontId="40" fillId="0" borderId="0" xfId="0" applyFont="1" applyAlignment="1">
      <alignment vertical="center"/>
    </xf>
    <xf numFmtId="2" fontId="39" fillId="0" borderId="2" xfId="0" applyNumberFormat="1" applyFont="1" applyBorder="1" applyAlignment="1">
      <alignment vertical="center"/>
    </xf>
    <xf numFmtId="2" fontId="39" fillId="0" borderId="1" xfId="0" applyNumberFormat="1" applyFont="1" applyBorder="1" applyAlignment="1">
      <alignment vertical="top"/>
    </xf>
    <xf numFmtId="2" fontId="39" fillId="0" borderId="2" xfId="0" applyNumberFormat="1" applyFont="1" applyBorder="1" applyAlignment="1">
      <alignment vertical="top"/>
    </xf>
    <xf numFmtId="2" fontId="39" fillId="0" borderId="3" xfId="0" applyNumberFormat="1" applyFont="1" applyBorder="1" applyAlignment="1">
      <alignment vertical="top"/>
    </xf>
    <xf numFmtId="2" fontId="39" fillId="0" borderId="4" xfId="0" applyNumberFormat="1" applyFont="1" applyBorder="1" applyAlignment="1">
      <alignment vertical="center"/>
    </xf>
    <xf numFmtId="2" fontId="24" fillId="0" borderId="1" xfId="0" applyNumberFormat="1" applyFont="1" applyBorder="1" applyAlignment="1">
      <alignment vertical="center"/>
    </xf>
    <xf numFmtId="2" fontId="24" fillId="0" borderId="2" xfId="0" applyNumberFormat="1" applyFont="1" applyBorder="1" applyAlignment="1">
      <alignment vertical="center"/>
    </xf>
    <xf numFmtId="0" fontId="24" fillId="0" borderId="3" xfId="0" applyFont="1" applyBorder="1" applyAlignment="1">
      <alignment vertical="center"/>
    </xf>
    <xf numFmtId="0" fontId="38" fillId="0" borderId="0" xfId="0" quotePrefix="1" applyFont="1"/>
    <xf numFmtId="0" fontId="53" fillId="9" borderId="7" xfId="0" applyFont="1" applyFill="1" applyBorder="1" applyAlignment="1">
      <alignment horizontal="center" vertical="center"/>
    </xf>
    <xf numFmtId="0" fontId="49" fillId="0" borderId="7" xfId="0" quotePrefix="1" applyFont="1" applyBorder="1" applyAlignment="1">
      <alignment horizontal="center" vertical="center"/>
    </xf>
    <xf numFmtId="0" fontId="49" fillId="0" borderId="7" xfId="0" quotePrefix="1" applyFont="1" applyBorder="1" applyAlignment="1">
      <alignment horizontal="left" vertical="center"/>
    </xf>
    <xf numFmtId="0" fontId="59" fillId="2" borderId="2" xfId="0" applyFont="1" applyFill="1" applyBorder="1" applyAlignment="1">
      <alignment horizontal="center" vertical="top"/>
    </xf>
    <xf numFmtId="0" fontId="59" fillId="2" borderId="3" xfId="0" applyFont="1" applyFill="1" applyBorder="1" applyAlignment="1">
      <alignment horizontal="center" vertical="top"/>
    </xf>
    <xf numFmtId="0" fontId="59" fillId="2" borderId="0" xfId="0" applyFont="1" applyFill="1" applyAlignment="1">
      <alignment horizontal="center" vertical="top"/>
    </xf>
    <xf numFmtId="0" fontId="59" fillId="2" borderId="5" xfId="0" applyFont="1" applyFill="1" applyBorder="1" applyAlignment="1">
      <alignment horizontal="center" vertical="top"/>
    </xf>
    <xf numFmtId="0" fontId="59" fillId="2" borderId="7" xfId="0" applyFont="1" applyFill="1" applyBorder="1" applyAlignment="1">
      <alignment horizontal="center" vertical="top"/>
    </xf>
    <xf numFmtId="0" fontId="59" fillId="2" borderId="8" xfId="0" applyFont="1" applyFill="1" applyBorder="1" applyAlignment="1">
      <alignment horizontal="center" vertical="top"/>
    </xf>
    <xf numFmtId="0" fontId="45" fillId="9" borderId="0" xfId="0" applyFont="1" applyFill="1" applyAlignment="1">
      <alignment vertical="center"/>
    </xf>
    <xf numFmtId="0" fontId="61" fillId="0" borderId="0" xfId="0" applyFont="1" applyAlignment="1">
      <alignment horizontal="center" vertical="center"/>
    </xf>
    <xf numFmtId="0" fontId="56" fillId="0" borderId="0" xfId="0" applyFont="1" applyAlignment="1">
      <alignment horizontal="center" vertical="center"/>
    </xf>
    <xf numFmtId="0" fontId="56" fillId="0" borderId="0" xfId="0" quotePrefix="1" applyFont="1" applyAlignment="1">
      <alignment horizontal="center" vertical="center"/>
    </xf>
    <xf numFmtId="2" fontId="61" fillId="0" borderId="0" xfId="0" applyNumberFormat="1" applyFont="1" applyAlignment="1">
      <alignment horizontal="center" vertical="center"/>
    </xf>
    <xf numFmtId="2" fontId="61" fillId="0" borderId="0" xfId="0" quotePrefix="1" applyNumberFormat="1" applyFont="1" applyAlignment="1">
      <alignment horizontal="center" vertical="center"/>
    </xf>
    <xf numFmtId="49" fontId="39" fillId="0" borderId="0" xfId="0" applyNumberFormat="1" applyFont="1" applyAlignment="1">
      <alignment horizontal="left" vertical="center"/>
    </xf>
    <xf numFmtId="49" fontId="39" fillId="0" borderId="0" xfId="0" applyNumberFormat="1" applyFont="1" applyAlignment="1">
      <alignment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2" fontId="45" fillId="9" borderId="12" xfId="0" applyNumberFormat="1" applyFont="1" applyFill="1" applyBorder="1" applyAlignment="1">
      <alignment horizontal="center" vertical="center"/>
    </xf>
    <xf numFmtId="0" fontId="39" fillId="0" borderId="0" xfId="0" applyFont="1" applyAlignment="1">
      <alignment horizontal="center" vertical="center"/>
    </xf>
    <xf numFmtId="2" fontId="45" fillId="9" borderId="26" xfId="0" applyNumberFormat="1" applyFont="1" applyFill="1" applyBorder="1" applyAlignment="1">
      <alignment horizontal="center" vertical="center"/>
    </xf>
    <xf numFmtId="0" fontId="39" fillId="13" borderId="9" xfId="0" applyFont="1" applyFill="1" applyBorder="1" applyAlignment="1">
      <alignment horizontal="center" vertical="center"/>
    </xf>
    <xf numFmtId="0" fontId="39" fillId="13" borderId="10" xfId="0" applyFont="1" applyFill="1" applyBorder="1" applyAlignment="1">
      <alignment horizontal="center" vertical="center"/>
    </xf>
    <xf numFmtId="0" fontId="39" fillId="13" borderId="11" xfId="0" applyFont="1" applyFill="1" applyBorder="1" applyAlignment="1">
      <alignment horizontal="center" vertical="center"/>
    </xf>
    <xf numFmtId="0" fontId="40" fillId="13" borderId="12" xfId="2" applyFont="1" applyFill="1" applyBorder="1" applyAlignment="1">
      <alignment horizontal="center" vertical="center"/>
    </xf>
    <xf numFmtId="0" fontId="38" fillId="0" borderId="0" xfId="0" applyFont="1" applyAlignment="1">
      <alignment horizontal="center" vertical="center"/>
    </xf>
    <xf numFmtId="201" fontId="60" fillId="9" borderId="10" xfId="0" applyNumberFormat="1" applyFont="1" applyFill="1" applyBorder="1" applyAlignment="1">
      <alignment horizontal="center" vertical="center"/>
    </xf>
    <xf numFmtId="2" fontId="60" fillId="9" borderId="9" xfId="2" quotePrefix="1" applyNumberFormat="1" applyFont="1" applyFill="1" applyBorder="1" applyAlignment="1">
      <alignment horizontal="center" vertical="center"/>
    </xf>
    <xf numFmtId="2" fontId="60" fillId="9" borderId="10" xfId="2" quotePrefix="1" applyNumberFormat="1" applyFont="1" applyFill="1" applyBorder="1" applyAlignment="1">
      <alignment horizontal="center" vertical="center"/>
    </xf>
    <xf numFmtId="2" fontId="60" fillId="9" borderId="0" xfId="0" applyNumberFormat="1" applyFont="1" applyFill="1" applyAlignment="1">
      <alignment horizontal="center" vertical="center"/>
    </xf>
    <xf numFmtId="177" fontId="60" fillId="9" borderId="12" xfId="0" applyNumberFormat="1" applyFont="1" applyFill="1" applyBorder="1" applyAlignment="1">
      <alignment horizontal="center" vertical="center"/>
    </xf>
    <xf numFmtId="0" fontId="56" fillId="0" borderId="10" xfId="0" applyFont="1" applyBorder="1"/>
    <xf numFmtId="0" fontId="56" fillId="0" borderId="11" xfId="0" applyFont="1" applyBorder="1"/>
    <xf numFmtId="2" fontId="60" fillId="9" borderId="9" xfId="0" applyNumberFormat="1" applyFont="1" applyFill="1" applyBorder="1" applyAlignment="1">
      <alignment horizontal="center" vertical="center"/>
    </xf>
    <xf numFmtId="2" fontId="60" fillId="9" borderId="10" xfId="0" applyNumberFormat="1" applyFont="1" applyFill="1" applyBorder="1" applyAlignment="1">
      <alignment horizontal="center" vertical="center"/>
    </xf>
    <xf numFmtId="2" fontId="60" fillId="9" borderId="12" xfId="0" applyNumberFormat="1" applyFont="1" applyFill="1" applyBorder="1" applyAlignment="1">
      <alignment horizontal="center" vertical="center"/>
    </xf>
    <xf numFmtId="2" fontId="60" fillId="9" borderId="11" xfId="0" applyNumberFormat="1" applyFont="1" applyFill="1" applyBorder="1" applyAlignment="1">
      <alignment horizontal="center" vertical="center"/>
    </xf>
    <xf numFmtId="177" fontId="60" fillId="9" borderId="4" xfId="0" applyNumberFormat="1" applyFont="1" applyFill="1" applyBorder="1" applyAlignment="1">
      <alignment horizontal="center" vertical="center"/>
    </xf>
    <xf numFmtId="177" fontId="60" fillId="9" borderId="0" xfId="0" applyNumberFormat="1" applyFont="1" applyFill="1" applyAlignment="1">
      <alignment horizontal="center" vertical="center"/>
    </xf>
    <xf numFmtId="0" fontId="60" fillId="9" borderId="5" xfId="0" applyFont="1" applyFill="1" applyBorder="1" applyAlignment="1">
      <alignment horizontal="center" vertical="center"/>
    </xf>
    <xf numFmtId="0" fontId="59" fillId="0" borderId="4" xfId="0" applyFont="1" applyBorder="1" applyAlignment="1">
      <alignment horizontal="center" vertical="center"/>
    </xf>
    <xf numFmtId="0" fontId="59" fillId="0" borderId="0" xfId="0" applyFont="1" applyAlignment="1">
      <alignment horizontal="center" vertical="center"/>
    </xf>
    <xf numFmtId="0" fontId="6" fillId="0" borderId="1" xfId="0" applyFont="1" applyBorder="1" applyAlignment="1">
      <alignment horizontal="left" vertical="top"/>
    </xf>
    <xf numFmtId="0" fontId="6" fillId="0" borderId="2" xfId="0" applyFont="1" applyBorder="1" applyAlignment="1">
      <alignment horizontal="left" vertical="top"/>
    </xf>
    <xf numFmtId="0" fontId="6" fillId="0" borderId="3"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39" fillId="10" borderId="1" xfId="0" applyFont="1" applyFill="1" applyBorder="1" applyAlignment="1">
      <alignment horizontal="left" vertical="top" wrapText="1"/>
    </xf>
    <xf numFmtId="0" fontId="39" fillId="10" borderId="2" xfId="0" applyFont="1" applyFill="1" applyBorder="1" applyAlignment="1">
      <alignment horizontal="left" vertical="top" wrapText="1"/>
    </xf>
    <xf numFmtId="0" fontId="39" fillId="10" borderId="3" xfId="0" applyFont="1" applyFill="1" applyBorder="1" applyAlignment="1">
      <alignment horizontal="left" vertical="top" wrapText="1"/>
    </xf>
    <xf numFmtId="0" fontId="39" fillId="10" borderId="4" xfId="0" applyFont="1" applyFill="1" applyBorder="1" applyAlignment="1">
      <alignment horizontal="left" vertical="top" wrapText="1"/>
    </xf>
    <xf numFmtId="0" fontId="39" fillId="10" borderId="0" xfId="0" applyFont="1" applyFill="1" applyAlignment="1">
      <alignment horizontal="left" vertical="top" wrapText="1"/>
    </xf>
    <xf numFmtId="0" fontId="39" fillId="10" borderId="5" xfId="0" applyFont="1" applyFill="1" applyBorder="1" applyAlignment="1">
      <alignment horizontal="left" vertical="top" wrapText="1"/>
    </xf>
    <xf numFmtId="0" fontId="39" fillId="10" borderId="6" xfId="0" applyFont="1" applyFill="1" applyBorder="1" applyAlignment="1">
      <alignment horizontal="left" vertical="top" wrapText="1"/>
    </xf>
    <xf numFmtId="0" fontId="39" fillId="10" borderId="7" xfId="0" applyFont="1" applyFill="1" applyBorder="1" applyAlignment="1">
      <alignment horizontal="left" vertical="top" wrapText="1"/>
    </xf>
    <xf numFmtId="0" fontId="39" fillId="10" borderId="8" xfId="0" applyFont="1" applyFill="1" applyBorder="1" applyAlignment="1">
      <alignment horizontal="left" vertical="top" wrapText="1"/>
    </xf>
    <xf numFmtId="0" fontId="41" fillId="13" borderId="12" xfId="0" applyFont="1" applyFill="1" applyBorder="1" applyAlignment="1">
      <alignment horizontal="left" vertical="center"/>
    </xf>
    <xf numFmtId="0" fontId="6" fillId="0" borderId="9" xfId="0" applyFont="1" applyBorder="1" applyAlignment="1">
      <alignment horizontal="center" vertical="top"/>
    </xf>
    <xf numFmtId="0" fontId="6" fillId="0" borderId="10" xfId="0" applyFont="1" applyBorder="1" applyAlignment="1">
      <alignment horizontal="center" vertical="top"/>
    </xf>
    <xf numFmtId="0" fontId="6" fillId="0" borderId="11" xfId="0" applyFont="1" applyBorder="1" applyAlignment="1">
      <alignment horizontal="center" vertical="top"/>
    </xf>
    <xf numFmtId="0" fontId="49" fillId="0" borderId="2" xfId="0" applyFont="1" applyBorder="1" applyAlignment="1">
      <alignment horizontal="center" vertical="center"/>
    </xf>
    <xf numFmtId="0" fontId="49" fillId="0" borderId="3" xfId="0" applyFont="1" applyBorder="1" applyAlignment="1">
      <alignment horizontal="center" vertical="center"/>
    </xf>
    <xf numFmtId="0" fontId="49" fillId="0" borderId="0" xfId="0" applyFont="1" applyAlignment="1">
      <alignment horizontal="center" vertical="center"/>
    </xf>
    <xf numFmtId="0" fontId="49" fillId="0" borderId="5" xfId="0" applyFont="1" applyBorder="1" applyAlignment="1">
      <alignment horizontal="center" vertical="center"/>
    </xf>
    <xf numFmtId="14" fontId="49" fillId="0" borderId="0" xfId="0" applyNumberFormat="1" applyFont="1" applyAlignment="1">
      <alignment horizontal="center" vertical="center"/>
    </xf>
    <xf numFmtId="14" fontId="49" fillId="0" borderId="5" xfId="0" applyNumberFormat="1" applyFont="1" applyBorder="1" applyAlignment="1">
      <alignment horizontal="center" vertical="center"/>
    </xf>
    <xf numFmtId="173" fontId="45" fillId="9" borderId="0" xfId="0" applyNumberFormat="1" applyFont="1" applyFill="1" applyAlignment="1">
      <alignment horizontal="center" vertical="center"/>
    </xf>
    <xf numFmtId="0" fontId="49" fillId="0" borderId="7" xfId="0" applyFont="1" applyBorder="1" applyAlignment="1">
      <alignment horizontal="center" vertical="top"/>
    </xf>
    <xf numFmtId="0" fontId="49" fillId="0" borderId="8" xfId="0" applyFont="1" applyBorder="1" applyAlignment="1">
      <alignment horizontal="center" vertical="top"/>
    </xf>
    <xf numFmtId="0" fontId="38" fillId="13" borderId="12" xfId="0" applyFont="1" applyFill="1" applyBorder="1" applyAlignment="1">
      <alignment horizontal="center" vertical="center" wrapText="1"/>
    </xf>
    <xf numFmtId="0" fontId="39" fillId="13" borderId="12" xfId="0" applyFont="1" applyFill="1" applyBorder="1" applyAlignment="1">
      <alignment horizontal="left" vertical="center"/>
    </xf>
    <xf numFmtId="0" fontId="45" fillId="11" borderId="12" xfId="0" applyFont="1" applyFill="1" applyBorder="1" applyAlignment="1">
      <alignment horizontal="center" vertical="center"/>
    </xf>
    <xf numFmtId="0" fontId="45" fillId="9" borderId="12" xfId="0" applyFont="1" applyFill="1" applyBorder="1" applyAlignment="1">
      <alignment horizontal="center" vertical="center"/>
    </xf>
    <xf numFmtId="173" fontId="45" fillId="9" borderId="12" xfId="0" applyNumberFormat="1" applyFont="1" applyFill="1" applyBorder="1" applyAlignment="1">
      <alignment horizontal="center" vertical="center"/>
    </xf>
    <xf numFmtId="177" fontId="45" fillId="9" borderId="12" xfId="0" applyNumberFormat="1" applyFont="1" applyFill="1" applyBorder="1" applyAlignment="1">
      <alignment horizontal="center" vertical="center"/>
    </xf>
    <xf numFmtId="171" fontId="45" fillId="9" borderId="12" xfId="0" applyNumberFormat="1" applyFont="1" applyFill="1" applyBorder="1" applyAlignment="1">
      <alignment horizontal="center" vertical="center"/>
    </xf>
    <xf numFmtId="0" fontId="59" fillId="0" borderId="1" xfId="0" applyFont="1" applyBorder="1" applyAlignment="1">
      <alignment horizontal="center" vertical="top"/>
    </xf>
    <xf numFmtId="0" fontId="59" fillId="0" borderId="2" xfId="0" applyFont="1" applyBorder="1" applyAlignment="1">
      <alignment horizontal="center" vertical="top"/>
    </xf>
    <xf numFmtId="0" fontId="59" fillId="0" borderId="4" xfId="0" applyFont="1" applyBorder="1" applyAlignment="1">
      <alignment horizontal="center" vertical="top"/>
    </xf>
    <xf numFmtId="0" fontId="59" fillId="0" borderId="0" xfId="0" applyFont="1" applyAlignment="1">
      <alignment horizontal="center" vertical="top"/>
    </xf>
    <xf numFmtId="0" fontId="45" fillId="0" borderId="12" xfId="0" applyFont="1" applyBorder="1" applyAlignment="1">
      <alignment horizontal="center" vertical="center" wrapText="1"/>
    </xf>
    <xf numFmtId="2" fontId="45" fillId="9" borderId="0" xfId="0" applyNumberFormat="1" applyFont="1" applyFill="1" applyAlignment="1">
      <alignment horizontal="center" vertical="center"/>
    </xf>
    <xf numFmtId="0" fontId="59" fillId="0" borderId="0" xfId="0" applyFont="1" applyAlignment="1">
      <alignment vertical="center"/>
    </xf>
    <xf numFmtId="171" fontId="45" fillId="9" borderId="0" xfId="0" applyNumberFormat="1" applyFont="1" applyFill="1" applyAlignment="1">
      <alignment horizontal="center" vertical="center"/>
    </xf>
    <xf numFmtId="0" fontId="39" fillId="0" borderId="1" xfId="0" applyFont="1" applyBorder="1" applyAlignment="1">
      <alignment horizontal="left" vertical="center"/>
    </xf>
    <xf numFmtId="0" fontId="39" fillId="0" borderId="2" xfId="0" applyFont="1" applyBorder="1" applyAlignment="1">
      <alignment horizontal="left" vertical="center"/>
    </xf>
    <xf numFmtId="0" fontId="39" fillId="0" borderId="3" xfId="0" applyFont="1" applyBorder="1" applyAlignment="1">
      <alignment horizontal="left" vertical="center"/>
    </xf>
    <xf numFmtId="0" fontId="45" fillId="8" borderId="9" xfId="3" applyFont="1" applyFill="1" applyBorder="1" applyAlignment="1">
      <alignment horizontal="center" vertical="center"/>
    </xf>
    <xf numFmtId="0" fontId="45" fillId="8" borderId="10" xfId="3" applyFont="1" applyFill="1" applyBorder="1" applyAlignment="1">
      <alignment horizontal="center" vertical="center"/>
    </xf>
    <xf numFmtId="0" fontId="45" fillId="8" borderId="11" xfId="3" applyFont="1" applyFill="1" applyBorder="1" applyAlignment="1">
      <alignment horizontal="center" vertical="center"/>
    </xf>
    <xf numFmtId="0" fontId="41" fillId="13" borderId="1" xfId="0" applyFont="1" applyFill="1" applyBorder="1" applyAlignment="1">
      <alignment horizontal="center" vertical="top" wrapText="1"/>
    </xf>
    <xf numFmtId="0" fontId="41" fillId="13" borderId="2" xfId="0" applyFont="1" applyFill="1" applyBorder="1" applyAlignment="1">
      <alignment horizontal="center" vertical="top" wrapText="1"/>
    </xf>
    <xf numFmtId="0" fontId="41" fillId="13" borderId="3" xfId="0" applyFont="1" applyFill="1" applyBorder="1" applyAlignment="1">
      <alignment horizontal="center" vertical="top" wrapText="1"/>
    </xf>
    <xf numFmtId="0" fontId="41" fillId="13" borderId="4" xfId="0" applyFont="1" applyFill="1" applyBorder="1" applyAlignment="1">
      <alignment horizontal="center" vertical="top" wrapText="1"/>
    </xf>
    <xf numFmtId="0" fontId="41" fillId="13" borderId="0" xfId="0" applyFont="1" applyFill="1" applyAlignment="1">
      <alignment horizontal="center" vertical="top" wrapText="1"/>
    </xf>
    <xf numFmtId="0" fontId="41" fillId="13" borderId="5" xfId="0" applyFont="1" applyFill="1" applyBorder="1" applyAlignment="1">
      <alignment horizontal="center" vertical="top" wrapText="1"/>
    </xf>
    <xf numFmtId="0" fontId="41" fillId="13" borderId="6" xfId="0" applyFont="1" applyFill="1" applyBorder="1" applyAlignment="1">
      <alignment horizontal="center" vertical="top" wrapText="1"/>
    </xf>
    <xf numFmtId="0" fontId="41" fillId="13" borderId="7" xfId="0" applyFont="1" applyFill="1" applyBorder="1" applyAlignment="1">
      <alignment horizontal="center" vertical="top" wrapText="1"/>
    </xf>
    <xf numFmtId="0" fontId="41" fillId="13" borderId="8" xfId="0" applyFont="1" applyFill="1" applyBorder="1" applyAlignment="1">
      <alignment horizontal="center" vertical="top" wrapText="1"/>
    </xf>
    <xf numFmtId="186" fontId="45" fillId="9" borderId="0" xfId="0" applyNumberFormat="1" applyFont="1" applyFill="1" applyAlignment="1">
      <alignment horizontal="center" vertical="center"/>
    </xf>
    <xf numFmtId="172" fontId="45" fillId="9" borderId="0" xfId="0" applyNumberFormat="1" applyFont="1" applyFill="1" applyAlignment="1">
      <alignment horizontal="center" vertical="center"/>
    </xf>
    <xf numFmtId="0" fontId="45" fillId="8" borderId="12" xfId="3" applyFont="1" applyFill="1" applyBorder="1" applyAlignment="1">
      <alignment horizontal="center" vertical="center"/>
    </xf>
    <xf numFmtId="176" fontId="45" fillId="9" borderId="0" xfId="0" applyNumberFormat="1" applyFont="1" applyFill="1" applyAlignment="1">
      <alignment horizontal="center" vertical="center"/>
    </xf>
    <xf numFmtId="171" fontId="45" fillId="9" borderId="9" xfId="0" applyNumberFormat="1" applyFont="1" applyFill="1" applyBorder="1" applyAlignment="1">
      <alignment horizontal="center" vertical="center"/>
    </xf>
    <xf numFmtId="171" fontId="45" fillId="9" borderId="10" xfId="0" applyNumberFormat="1" applyFont="1" applyFill="1" applyBorder="1" applyAlignment="1">
      <alignment horizontal="center" vertical="center"/>
    </xf>
    <xf numFmtId="171" fontId="45" fillId="9" borderId="11" xfId="0" applyNumberFormat="1" applyFont="1" applyFill="1" applyBorder="1" applyAlignment="1">
      <alignment horizontal="center" vertical="center"/>
    </xf>
    <xf numFmtId="0" fontId="38" fillId="13" borderId="4" xfId="0" applyFont="1" applyFill="1" applyBorder="1" applyAlignment="1">
      <alignment horizontal="center" vertical="center"/>
    </xf>
    <xf numFmtId="0" fontId="38" fillId="13" borderId="0" xfId="0" applyFont="1" applyFill="1" applyAlignment="1">
      <alignment horizontal="center" vertical="center"/>
    </xf>
    <xf numFmtId="0" fontId="38" fillId="13" borderId="5" xfId="0" applyFont="1" applyFill="1" applyBorder="1" applyAlignment="1">
      <alignment horizontal="center" vertical="center"/>
    </xf>
    <xf numFmtId="2" fontId="39" fillId="0" borderId="12" xfId="0" applyNumberFormat="1" applyFont="1" applyBorder="1" applyAlignment="1">
      <alignment horizontal="left" vertical="top"/>
    </xf>
    <xf numFmtId="0" fontId="39" fillId="0" borderId="12" xfId="0" applyFont="1" applyBorder="1" applyAlignment="1">
      <alignment horizontal="left" vertical="center"/>
    </xf>
    <xf numFmtId="0" fontId="49" fillId="13" borderId="1" xfId="0" applyFont="1" applyFill="1" applyBorder="1" applyAlignment="1">
      <alignment horizontal="center" vertical="center" wrapText="1"/>
    </xf>
    <xf numFmtId="0" fontId="49" fillId="13" borderId="2" xfId="0" applyFont="1" applyFill="1" applyBorder="1" applyAlignment="1">
      <alignment horizontal="center" vertical="center" wrapText="1"/>
    </xf>
    <xf numFmtId="0" fontId="49" fillId="13" borderId="3" xfId="0" applyFont="1" applyFill="1" applyBorder="1" applyAlignment="1">
      <alignment horizontal="center" vertical="center" wrapText="1"/>
    </xf>
    <xf numFmtId="0" fontId="49" fillId="13" borderId="4" xfId="0" applyFont="1" applyFill="1" applyBorder="1" applyAlignment="1">
      <alignment horizontal="center" vertical="center" wrapText="1"/>
    </xf>
    <xf numFmtId="0" fontId="49" fillId="13" borderId="0" xfId="0" applyFont="1" applyFill="1" applyAlignment="1">
      <alignment horizontal="center" vertical="center" wrapText="1"/>
    </xf>
    <xf numFmtId="0" fontId="49" fillId="13" borderId="5" xfId="0" applyFont="1" applyFill="1" applyBorder="1" applyAlignment="1">
      <alignment horizontal="center" vertical="center" wrapText="1"/>
    </xf>
    <xf numFmtId="0" fontId="49" fillId="13" borderId="6" xfId="0" applyFont="1" applyFill="1" applyBorder="1" applyAlignment="1">
      <alignment horizontal="center" vertical="center" wrapText="1"/>
    </xf>
    <xf numFmtId="0" fontId="49" fillId="13" borderId="7" xfId="0" applyFont="1" applyFill="1" applyBorder="1" applyAlignment="1">
      <alignment horizontal="center" vertical="center" wrapText="1"/>
    </xf>
    <xf numFmtId="0" fontId="49" fillId="13" borderId="8" xfId="0" applyFont="1" applyFill="1" applyBorder="1" applyAlignment="1">
      <alignment horizontal="center" vertical="center" wrapText="1"/>
    </xf>
    <xf numFmtId="0" fontId="39" fillId="0" borderId="2" xfId="0" applyFont="1" applyBorder="1" applyAlignment="1">
      <alignment horizontal="center" vertical="center"/>
    </xf>
    <xf numFmtId="191" fontId="45" fillId="9" borderId="7" xfId="0" applyNumberFormat="1" applyFont="1" applyFill="1" applyBorder="1" applyAlignment="1">
      <alignment horizontal="center" vertical="center"/>
    </xf>
    <xf numFmtId="170" fontId="45" fillId="9" borderId="12" xfId="0" applyNumberFormat="1" applyFont="1" applyFill="1" applyBorder="1" applyAlignment="1">
      <alignment horizontal="center" vertical="center"/>
    </xf>
    <xf numFmtId="176" fontId="45" fillId="9" borderId="4" xfId="0" applyNumberFormat="1" applyFont="1" applyFill="1" applyBorder="1" applyAlignment="1">
      <alignment horizontal="center" vertical="center"/>
    </xf>
    <xf numFmtId="2" fontId="43" fillId="10" borderId="1" xfId="2" applyNumberFormat="1" applyFont="1" applyFill="1" applyBorder="1" applyAlignment="1">
      <alignment horizontal="left" vertical="top" wrapText="1"/>
    </xf>
    <xf numFmtId="2" fontId="43" fillId="10" borderId="2" xfId="2" applyNumberFormat="1" applyFont="1" applyFill="1" applyBorder="1" applyAlignment="1">
      <alignment horizontal="left" vertical="top" wrapText="1"/>
    </xf>
    <xf numFmtId="2" fontId="43" fillId="10" borderId="3" xfId="2" applyNumberFormat="1" applyFont="1" applyFill="1" applyBorder="1" applyAlignment="1">
      <alignment horizontal="left" vertical="top" wrapText="1"/>
    </xf>
    <xf numFmtId="2" fontId="43" fillId="10" borderId="4" xfId="2" applyNumberFormat="1" applyFont="1" applyFill="1" applyBorder="1" applyAlignment="1">
      <alignment horizontal="left" vertical="top" wrapText="1"/>
    </xf>
    <xf numFmtId="2" fontId="43" fillId="10" borderId="0" xfId="2" applyNumberFormat="1" applyFont="1" applyFill="1" applyAlignment="1">
      <alignment horizontal="left" vertical="top" wrapText="1"/>
    </xf>
    <xf numFmtId="2" fontId="43" fillId="10" borderId="5" xfId="2" applyNumberFormat="1" applyFont="1" applyFill="1" applyBorder="1" applyAlignment="1">
      <alignment horizontal="left" vertical="top" wrapText="1"/>
    </xf>
    <xf numFmtId="2" fontId="43" fillId="10" borderId="6" xfId="2" applyNumberFormat="1" applyFont="1" applyFill="1" applyBorder="1" applyAlignment="1">
      <alignment horizontal="left" vertical="top" wrapText="1"/>
    </xf>
    <xf numFmtId="2" fontId="43" fillId="10" borderId="7" xfId="2" applyNumberFormat="1" applyFont="1" applyFill="1" applyBorder="1" applyAlignment="1">
      <alignment horizontal="left" vertical="top" wrapText="1"/>
    </xf>
    <xf numFmtId="2" fontId="43" fillId="10" borderId="8" xfId="2" applyNumberFormat="1" applyFont="1" applyFill="1" applyBorder="1" applyAlignment="1">
      <alignment horizontal="left" vertical="top" wrapText="1"/>
    </xf>
    <xf numFmtId="0" fontId="59" fillId="2" borderId="4" xfId="0" applyFont="1" applyFill="1" applyBorder="1" applyAlignment="1">
      <alignment horizontal="center" vertical="top"/>
    </xf>
    <xf numFmtId="0" fontId="59" fillId="2" borderId="0" xfId="0" applyFont="1" applyFill="1" applyAlignment="1">
      <alignment horizontal="center" vertical="top"/>
    </xf>
    <xf numFmtId="0" fontId="59" fillId="2" borderId="2" xfId="0" applyFont="1" applyFill="1" applyBorder="1" applyAlignment="1">
      <alignment horizontal="center" vertical="top"/>
    </xf>
    <xf numFmtId="0" fontId="59" fillId="2" borderId="3" xfId="0" applyFont="1" applyFill="1" applyBorder="1" applyAlignment="1">
      <alignment horizontal="center" vertical="top"/>
    </xf>
    <xf numFmtId="0" fontId="59" fillId="2" borderId="5" xfId="0" applyFont="1" applyFill="1" applyBorder="1" applyAlignment="1">
      <alignment horizontal="center" vertical="top"/>
    </xf>
    <xf numFmtId="0" fontId="59" fillId="2" borderId="6" xfId="0" applyFont="1" applyFill="1" applyBorder="1" applyAlignment="1">
      <alignment horizontal="center" vertical="top"/>
    </xf>
    <xf numFmtId="0" fontId="59" fillId="2" borderId="7" xfId="0" applyFont="1" applyFill="1" applyBorder="1" applyAlignment="1">
      <alignment horizontal="center" vertical="top"/>
    </xf>
    <xf numFmtId="0" fontId="59" fillId="2" borderId="8" xfId="0" applyFont="1" applyFill="1" applyBorder="1" applyAlignment="1">
      <alignment horizontal="center" vertical="top"/>
    </xf>
    <xf numFmtId="0" fontId="59" fillId="0" borderId="7" xfId="0" applyFont="1" applyBorder="1" applyAlignment="1">
      <alignment vertical="center"/>
    </xf>
    <xf numFmtId="2" fontId="39" fillId="0" borderId="1" xfId="0" applyNumberFormat="1" applyFont="1" applyBorder="1" applyAlignment="1">
      <alignment horizontal="left" vertical="top"/>
    </xf>
    <xf numFmtId="2" fontId="39" fillId="0" borderId="2" xfId="0" applyNumberFormat="1" applyFont="1" applyBorder="1" applyAlignment="1">
      <alignment horizontal="left" vertical="top"/>
    </xf>
    <xf numFmtId="2" fontId="39" fillId="0" borderId="3" xfId="0" applyNumberFormat="1" applyFont="1" applyBorder="1" applyAlignment="1">
      <alignment horizontal="left" vertical="top"/>
    </xf>
    <xf numFmtId="0" fontId="25" fillId="0" borderId="1" xfId="0" applyFont="1" applyBorder="1" applyAlignment="1">
      <alignment horizontal="left" vertical="center"/>
    </xf>
    <xf numFmtId="0" fontId="25" fillId="0" borderId="2" xfId="0" applyFont="1" applyBorder="1" applyAlignment="1">
      <alignment horizontal="left" vertical="center"/>
    </xf>
    <xf numFmtId="0" fontId="25" fillId="0" borderId="3" xfId="0" applyFont="1" applyBorder="1" applyAlignment="1">
      <alignment horizontal="left" vertical="center"/>
    </xf>
    <xf numFmtId="169" fontId="45" fillId="9" borderId="0" xfId="0" applyNumberFormat="1" applyFont="1" applyFill="1" applyAlignment="1">
      <alignment horizontal="center" vertical="center"/>
    </xf>
    <xf numFmtId="0" fontId="39" fillId="0" borderId="7" xfId="0" applyFont="1" applyBorder="1" applyAlignment="1">
      <alignment horizontal="center" vertical="center"/>
    </xf>
    <xf numFmtId="1" fontId="45" fillId="9" borderId="0" xfId="0" applyNumberFormat="1" applyFont="1" applyFill="1" applyAlignment="1">
      <alignment horizontal="center" vertical="center"/>
    </xf>
    <xf numFmtId="11" fontId="45" fillId="9" borderId="0" xfId="0" applyNumberFormat="1" applyFont="1" applyFill="1" applyAlignment="1">
      <alignment horizontal="center" vertical="center"/>
    </xf>
    <xf numFmtId="0" fontId="45" fillId="9" borderId="0" xfId="0" applyFont="1" applyFill="1" applyAlignment="1">
      <alignment horizontal="center" vertical="center"/>
    </xf>
    <xf numFmtId="172" fontId="45" fillId="7" borderId="12" xfId="0" applyNumberFormat="1" applyFont="1" applyFill="1" applyBorder="1" applyAlignment="1">
      <alignment horizontal="center" vertical="center"/>
    </xf>
    <xf numFmtId="195" fontId="45" fillId="9" borderId="9" xfId="0" applyNumberFormat="1" applyFont="1" applyFill="1" applyBorder="1" applyAlignment="1">
      <alignment horizontal="center" vertical="center"/>
    </xf>
    <xf numFmtId="195" fontId="45" fillId="9" borderId="10" xfId="0" applyNumberFormat="1" applyFont="1" applyFill="1" applyBorder="1" applyAlignment="1">
      <alignment horizontal="center" vertical="center"/>
    </xf>
    <xf numFmtId="195" fontId="45" fillId="9" borderId="11" xfId="0" applyNumberFormat="1" applyFont="1" applyFill="1" applyBorder="1" applyAlignment="1">
      <alignment horizontal="center" vertical="center"/>
    </xf>
    <xf numFmtId="170" fontId="45" fillId="9" borderId="0" xfId="0" applyNumberFormat="1" applyFont="1" applyFill="1" applyAlignment="1">
      <alignment horizontal="center" vertical="center"/>
    </xf>
    <xf numFmtId="198" fontId="45" fillId="9" borderId="0" xfId="0" applyNumberFormat="1" applyFont="1" applyFill="1" applyAlignment="1">
      <alignment horizontal="center" vertical="center"/>
    </xf>
    <xf numFmtId="0" fontId="49" fillId="0" borderId="1" xfId="0" applyFont="1" applyBorder="1" applyAlignment="1">
      <alignment horizontal="left" vertical="center" wrapText="1"/>
    </xf>
    <xf numFmtId="0" fontId="49" fillId="0" borderId="2" xfId="0" applyFont="1" applyBorder="1" applyAlignment="1">
      <alignment horizontal="left" vertical="center" wrapText="1"/>
    </xf>
    <xf numFmtId="0" fontId="49" fillId="0" borderId="3" xfId="0" applyFont="1" applyBorder="1" applyAlignment="1">
      <alignment horizontal="left" vertical="center" wrapText="1"/>
    </xf>
    <xf numFmtId="0" fontId="49" fillId="0" borderId="4" xfId="0" applyFont="1" applyBorder="1" applyAlignment="1">
      <alignment horizontal="left" vertical="center" wrapText="1"/>
    </xf>
    <xf numFmtId="0" fontId="49" fillId="0" borderId="0" xfId="0" applyFont="1" applyAlignment="1">
      <alignment horizontal="left" vertical="center" wrapText="1"/>
    </xf>
    <xf numFmtId="0" fontId="49" fillId="0" borderId="5" xfId="0" applyFont="1" applyBorder="1" applyAlignment="1">
      <alignment horizontal="left" vertical="center" wrapText="1"/>
    </xf>
    <xf numFmtId="0" fontId="49" fillId="0" borderId="6" xfId="0" applyFont="1" applyBorder="1" applyAlignment="1">
      <alignment horizontal="left" vertical="center" wrapText="1"/>
    </xf>
    <xf numFmtId="0" fontId="49" fillId="0" borderId="7" xfId="0" applyFont="1" applyBorder="1" applyAlignment="1">
      <alignment horizontal="left" vertical="center" wrapText="1"/>
    </xf>
    <xf numFmtId="0" fontId="49" fillId="0" borderId="8" xfId="0" applyFont="1" applyBorder="1" applyAlignment="1">
      <alignment horizontal="left" vertical="center" wrapText="1"/>
    </xf>
    <xf numFmtId="194" fontId="45" fillId="9" borderId="0" xfId="0" applyNumberFormat="1" applyFont="1" applyFill="1" applyAlignment="1">
      <alignment horizontal="center" vertical="center"/>
    </xf>
    <xf numFmtId="173" fontId="45" fillId="9" borderId="5" xfId="0" applyNumberFormat="1" applyFont="1" applyFill="1" applyBorder="1" applyAlignment="1">
      <alignment horizontal="center" vertical="center"/>
    </xf>
    <xf numFmtId="0" fontId="39" fillId="0" borderId="0" xfId="0" applyFont="1" applyAlignment="1">
      <alignment horizontal="left" vertical="center"/>
    </xf>
    <xf numFmtId="185" fontId="45" fillId="9" borderId="0" xfId="0" applyNumberFormat="1" applyFont="1" applyFill="1" applyAlignment="1">
      <alignment horizontal="center" vertical="center"/>
    </xf>
    <xf numFmtId="175" fontId="45" fillId="9" borderId="0" xfId="0" applyNumberFormat="1" applyFont="1" applyFill="1" applyAlignment="1">
      <alignment horizontal="center" vertical="center"/>
    </xf>
    <xf numFmtId="175" fontId="45" fillId="9" borderId="5" xfId="0" applyNumberFormat="1" applyFont="1" applyFill="1" applyBorder="1" applyAlignment="1">
      <alignment horizontal="center" vertical="center"/>
    </xf>
    <xf numFmtId="171" fontId="45" fillId="9" borderId="5" xfId="0" applyNumberFormat="1" applyFont="1" applyFill="1" applyBorder="1" applyAlignment="1">
      <alignment horizontal="center" vertical="center"/>
    </xf>
    <xf numFmtId="0" fontId="38" fillId="0" borderId="0" xfId="0" applyFont="1" applyAlignment="1">
      <alignment horizontal="left" vertical="center"/>
    </xf>
    <xf numFmtId="0" fontId="59" fillId="2" borderId="1" xfId="0" applyFont="1" applyFill="1" applyBorder="1" applyAlignment="1">
      <alignment horizontal="center" vertical="top"/>
    </xf>
    <xf numFmtId="0" fontId="59" fillId="0" borderId="1" xfId="0" applyFont="1" applyBorder="1" applyAlignment="1">
      <alignment horizontal="center" vertical="center"/>
    </xf>
    <xf numFmtId="0" fontId="59" fillId="0" borderId="2" xfId="0" applyFont="1" applyBorder="1" applyAlignment="1">
      <alignment horizontal="center" vertical="center"/>
    </xf>
    <xf numFmtId="0" fontId="39" fillId="0" borderId="9" xfId="0" applyFont="1" applyBorder="1" applyAlignment="1">
      <alignment horizontal="left" vertical="center"/>
    </xf>
    <xf numFmtId="0" fontId="39" fillId="0" borderId="10" xfId="0" applyFont="1" applyBorder="1" applyAlignment="1">
      <alignment horizontal="left" vertical="center"/>
    </xf>
    <xf numFmtId="0" fontId="39" fillId="0" borderId="11" xfId="0" applyFont="1" applyBorder="1" applyAlignment="1">
      <alignment horizontal="left" vertical="center"/>
    </xf>
    <xf numFmtId="2" fontId="39" fillId="10" borderId="1" xfId="0" applyNumberFormat="1" applyFont="1" applyFill="1" applyBorder="1" applyAlignment="1">
      <alignment horizontal="center" vertical="center" wrapText="1"/>
    </xf>
    <xf numFmtId="2" fontId="39" fillId="10" borderId="2" xfId="0" applyNumberFormat="1" applyFont="1" applyFill="1" applyBorder="1" applyAlignment="1">
      <alignment horizontal="center" vertical="center" wrapText="1"/>
    </xf>
    <xf numFmtId="2" fontId="39" fillId="10" borderId="3" xfId="0" applyNumberFormat="1" applyFont="1" applyFill="1" applyBorder="1" applyAlignment="1">
      <alignment horizontal="center" vertical="center" wrapText="1"/>
    </xf>
    <xf numFmtId="2" fontId="39" fillId="10" borderId="4" xfId="0" applyNumberFormat="1" applyFont="1" applyFill="1" applyBorder="1" applyAlignment="1">
      <alignment horizontal="center" vertical="center" wrapText="1"/>
    </xf>
    <xf numFmtId="2" fontId="39" fillId="10" borderId="0" xfId="0" applyNumberFormat="1" applyFont="1" applyFill="1" applyAlignment="1">
      <alignment horizontal="center" vertical="center" wrapText="1"/>
    </xf>
    <xf numFmtId="2" fontId="39" fillId="10" borderId="5" xfId="0" applyNumberFormat="1" applyFont="1" applyFill="1" applyBorder="1" applyAlignment="1">
      <alignment horizontal="center" vertical="center" wrapText="1"/>
    </xf>
    <xf numFmtId="2" fontId="39" fillId="10" borderId="6" xfId="0" applyNumberFormat="1" applyFont="1" applyFill="1" applyBorder="1" applyAlignment="1">
      <alignment horizontal="center" vertical="center" wrapText="1"/>
    </xf>
    <xf numFmtId="2" fontId="39" fillId="10" borderId="7" xfId="0" applyNumberFormat="1" applyFont="1" applyFill="1" applyBorder="1" applyAlignment="1">
      <alignment horizontal="center" vertical="center" wrapText="1"/>
    </xf>
    <xf numFmtId="2" fontId="39" fillId="10" borderId="8" xfId="0" applyNumberFormat="1" applyFont="1" applyFill="1" applyBorder="1" applyAlignment="1">
      <alignment horizontal="center" vertical="center" wrapText="1"/>
    </xf>
    <xf numFmtId="0" fontId="45" fillId="7" borderId="12" xfId="0" applyFont="1" applyFill="1" applyBorder="1" applyAlignment="1">
      <alignment horizontal="center" vertical="center"/>
    </xf>
    <xf numFmtId="171" fontId="45" fillId="9" borderId="12" xfId="2" applyNumberFormat="1" applyFont="1" applyFill="1" applyBorder="1" applyAlignment="1">
      <alignment horizontal="center" vertical="center"/>
    </xf>
    <xf numFmtId="1" fontId="45" fillId="12" borderId="12" xfId="2" applyNumberFormat="1" applyFont="1" applyFill="1" applyBorder="1" applyAlignment="1">
      <alignment horizontal="center" vertical="center"/>
    </xf>
    <xf numFmtId="1" fontId="45" fillId="9" borderId="12" xfId="2" applyNumberFormat="1" applyFont="1" applyFill="1" applyBorder="1" applyAlignment="1">
      <alignment horizontal="center" vertical="center"/>
    </xf>
    <xf numFmtId="0" fontId="41" fillId="10" borderId="12" xfId="0" applyFont="1" applyFill="1" applyBorder="1" applyAlignment="1">
      <alignment horizontal="left" vertical="center" wrapText="1"/>
    </xf>
    <xf numFmtId="175" fontId="45" fillId="11" borderId="12" xfId="0" applyNumberFormat="1" applyFont="1" applyFill="1" applyBorder="1" applyAlignment="1">
      <alignment horizontal="center" vertical="center"/>
    </xf>
    <xf numFmtId="167" fontId="45" fillId="9" borderId="9" xfId="0" applyNumberFormat="1" applyFont="1" applyFill="1" applyBorder="1" applyAlignment="1">
      <alignment horizontal="center" vertical="center"/>
    </xf>
    <xf numFmtId="167" fontId="45" fillId="9" borderId="10" xfId="0" applyNumberFormat="1" applyFont="1" applyFill="1" applyBorder="1" applyAlignment="1">
      <alignment horizontal="center" vertical="center"/>
    </xf>
    <xf numFmtId="167" fontId="45" fillId="9" borderId="11" xfId="0" applyNumberFormat="1" applyFont="1" applyFill="1" applyBorder="1" applyAlignment="1">
      <alignment horizontal="center" vertical="center"/>
    </xf>
    <xf numFmtId="172" fontId="45" fillId="9" borderId="12" xfId="0" applyNumberFormat="1" applyFont="1" applyFill="1" applyBorder="1" applyAlignment="1">
      <alignment horizontal="center" vertical="center"/>
    </xf>
    <xf numFmtId="0" fontId="38" fillId="10" borderId="12" xfId="0" applyFont="1" applyFill="1" applyBorder="1" applyAlignment="1">
      <alignment horizontal="center" vertical="center" wrapText="1"/>
    </xf>
    <xf numFmtId="0" fontId="38" fillId="0" borderId="0" xfId="0" applyFont="1" applyAlignment="1">
      <alignment horizontal="left" vertical="top" wrapText="1"/>
    </xf>
    <xf numFmtId="2" fontId="39" fillId="0" borderId="9" xfId="0" applyNumberFormat="1" applyFont="1" applyBorder="1" applyAlignment="1">
      <alignment horizontal="left" vertical="top"/>
    </xf>
    <xf numFmtId="2" fontId="39" fillId="0" borderId="10" xfId="0" applyNumberFormat="1" applyFont="1" applyBorder="1" applyAlignment="1">
      <alignment horizontal="left" vertical="top"/>
    </xf>
    <xf numFmtId="2" fontId="39" fillId="0" borderId="11" xfId="0" applyNumberFormat="1" applyFont="1" applyBorder="1" applyAlignment="1">
      <alignment horizontal="left" vertical="top"/>
    </xf>
    <xf numFmtId="0" fontId="44" fillId="10" borderId="0" xfId="2" applyFont="1" applyFill="1" applyAlignment="1">
      <alignment horizontal="center" vertical="center"/>
    </xf>
    <xf numFmtId="0" fontId="44" fillId="10" borderId="7" xfId="2" applyFont="1" applyFill="1" applyBorder="1" applyAlignment="1">
      <alignment horizontal="center" vertical="center"/>
    </xf>
    <xf numFmtId="0" fontId="39" fillId="0" borderId="0" xfId="0" applyFont="1" applyAlignment="1">
      <alignment horizontal="left"/>
    </xf>
    <xf numFmtId="188" fontId="45" fillId="9" borderId="0" xfId="0" applyNumberFormat="1" applyFont="1" applyFill="1" applyAlignment="1">
      <alignment horizontal="center" vertical="center"/>
    </xf>
    <xf numFmtId="188" fontId="45" fillId="9" borderId="5" xfId="0" applyNumberFormat="1" applyFont="1" applyFill="1" applyBorder="1" applyAlignment="1">
      <alignment horizontal="center" vertical="center"/>
    </xf>
    <xf numFmtId="167" fontId="45" fillId="9" borderId="0" xfId="0" applyNumberFormat="1" applyFont="1" applyFill="1" applyAlignment="1">
      <alignment horizontal="center" vertical="center"/>
    </xf>
    <xf numFmtId="192" fontId="53" fillId="9" borderId="0" xfId="0" applyNumberFormat="1" applyFont="1" applyFill="1" applyAlignment="1">
      <alignment horizontal="center" vertical="center"/>
    </xf>
    <xf numFmtId="199" fontId="53" fillId="9" borderId="7" xfId="0" applyNumberFormat="1" applyFont="1" applyFill="1" applyBorder="1" applyAlignment="1">
      <alignment horizontal="center" vertical="center"/>
    </xf>
    <xf numFmtId="174" fontId="45" fillId="9" borderId="7" xfId="0" applyNumberFormat="1" applyFont="1" applyFill="1" applyBorder="1" applyAlignment="1">
      <alignment horizontal="center" vertical="center"/>
    </xf>
    <xf numFmtId="196" fontId="45" fillId="9" borderId="12" xfId="0" applyNumberFormat="1" applyFont="1" applyFill="1" applyBorder="1" applyAlignment="1">
      <alignment horizontal="center" vertical="center"/>
    </xf>
    <xf numFmtId="170" fontId="45" fillId="9" borderId="5" xfId="0" applyNumberFormat="1" applyFont="1" applyFill="1" applyBorder="1" applyAlignment="1">
      <alignment horizontal="center" vertical="center"/>
    </xf>
    <xf numFmtId="0" fontId="45" fillId="9" borderId="7" xfId="0" quotePrefix="1" applyFont="1" applyFill="1" applyBorder="1" applyAlignment="1">
      <alignment horizontal="center" vertical="center"/>
    </xf>
    <xf numFmtId="184" fontId="45" fillId="9" borderId="7" xfId="0" applyNumberFormat="1" applyFont="1" applyFill="1" applyBorder="1" applyAlignment="1">
      <alignment horizontal="center" vertical="center"/>
    </xf>
    <xf numFmtId="193" fontId="45" fillId="9" borderId="12" xfId="0" applyNumberFormat="1" applyFont="1" applyFill="1" applyBorder="1" applyAlignment="1">
      <alignment horizontal="center" vertical="center"/>
    </xf>
    <xf numFmtId="198" fontId="45" fillId="9" borderId="7" xfId="0" applyNumberFormat="1" applyFont="1" applyFill="1" applyBorder="1" applyAlignment="1">
      <alignment horizontal="center" vertical="center"/>
    </xf>
    <xf numFmtId="0" fontId="38" fillId="13" borderId="9"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199" fontId="45" fillId="9" borderId="7" xfId="0" applyNumberFormat="1" applyFont="1" applyFill="1" applyBorder="1" applyAlignment="1">
      <alignment horizontal="center" vertical="center"/>
    </xf>
    <xf numFmtId="172" fontId="45" fillId="9" borderId="7" xfId="0" applyNumberFormat="1" applyFont="1" applyFill="1" applyBorder="1" applyAlignment="1">
      <alignment horizontal="center" vertical="center"/>
    </xf>
    <xf numFmtId="0" fontId="38" fillId="13" borderId="1" xfId="0" applyFont="1" applyFill="1" applyBorder="1" applyAlignment="1">
      <alignment horizontal="center" vertical="center" wrapText="1"/>
    </xf>
    <xf numFmtId="0" fontId="38" fillId="13" borderId="2" xfId="0" applyFont="1" applyFill="1" applyBorder="1" applyAlignment="1">
      <alignment horizontal="center" vertical="center" wrapText="1"/>
    </xf>
    <xf numFmtId="0" fontId="38" fillId="13" borderId="3" xfId="0" applyFont="1" applyFill="1" applyBorder="1" applyAlignment="1">
      <alignment horizontal="center" vertical="center" wrapText="1"/>
    </xf>
    <xf numFmtId="0" fontId="38" fillId="13" borderId="4" xfId="0" applyFont="1" applyFill="1" applyBorder="1" applyAlignment="1">
      <alignment horizontal="center" vertical="center" wrapText="1"/>
    </xf>
    <xf numFmtId="0" fontId="38" fillId="13" borderId="0" xfId="0" applyFont="1" applyFill="1" applyAlignment="1">
      <alignment horizontal="center" vertical="center" wrapText="1"/>
    </xf>
    <xf numFmtId="0" fontId="38" fillId="13" borderId="5" xfId="0" applyFont="1" applyFill="1" applyBorder="1" applyAlignment="1">
      <alignment horizontal="center" vertical="center" wrapText="1"/>
    </xf>
    <xf numFmtId="0" fontId="38" fillId="13" borderId="6" xfId="0" applyFont="1" applyFill="1" applyBorder="1" applyAlignment="1">
      <alignment horizontal="center" vertical="center" wrapText="1"/>
    </xf>
    <xf numFmtId="0" fontId="38" fillId="13" borderId="7" xfId="0" applyFont="1" applyFill="1" applyBorder="1" applyAlignment="1">
      <alignment horizontal="center" vertical="center" wrapText="1"/>
    </xf>
    <xf numFmtId="0" fontId="38" fillId="13" borderId="8" xfId="0" applyFont="1" applyFill="1" applyBorder="1" applyAlignment="1">
      <alignment horizontal="center" vertical="center" wrapText="1"/>
    </xf>
    <xf numFmtId="0" fontId="41" fillId="10" borderId="0" xfId="0" applyFont="1" applyFill="1" applyAlignment="1">
      <alignment horizontal="center" vertical="top"/>
    </xf>
    <xf numFmtId="175" fontId="39" fillId="2" borderId="0" xfId="0" applyNumberFormat="1" applyFont="1" applyFill="1" applyAlignment="1">
      <alignment horizontal="left" vertical="center"/>
    </xf>
    <xf numFmtId="0" fontId="39" fillId="2" borderId="0" xfId="0" applyFont="1" applyFill="1" applyAlignment="1">
      <alignment horizontal="left" vertical="center"/>
    </xf>
    <xf numFmtId="172" fontId="39" fillId="2" borderId="0" xfId="0" applyNumberFormat="1" applyFont="1" applyFill="1" applyAlignment="1">
      <alignment horizontal="center" vertical="center"/>
    </xf>
    <xf numFmtId="0" fontId="39" fillId="13" borderId="1" xfId="0" applyFont="1" applyFill="1" applyBorder="1" applyAlignment="1">
      <alignment horizontal="center" vertical="center" wrapText="1"/>
    </xf>
    <xf numFmtId="0" fontId="39" fillId="13" borderId="2" xfId="0" applyFont="1" applyFill="1" applyBorder="1" applyAlignment="1">
      <alignment horizontal="center" vertical="center" wrapText="1"/>
    </xf>
    <xf numFmtId="0" fontId="39" fillId="13" borderId="3" xfId="0" applyFont="1" applyFill="1" applyBorder="1" applyAlignment="1">
      <alignment horizontal="center" vertical="center" wrapText="1"/>
    </xf>
    <xf numFmtId="0" fontId="39" fillId="13" borderId="6" xfId="0" applyFont="1" applyFill="1" applyBorder="1" applyAlignment="1">
      <alignment horizontal="center" vertical="center" wrapText="1"/>
    </xf>
    <xf numFmtId="0" fontId="39" fillId="13" borderId="7" xfId="0" applyFont="1" applyFill="1" applyBorder="1" applyAlignment="1">
      <alignment horizontal="center" vertical="center" wrapText="1"/>
    </xf>
    <xf numFmtId="0" fontId="39" fillId="13" borderId="8" xfId="0" applyFont="1" applyFill="1" applyBorder="1" applyAlignment="1">
      <alignment horizontal="center" vertical="center" wrapText="1"/>
    </xf>
    <xf numFmtId="176" fontId="45" fillId="9" borderId="12" xfId="0" applyNumberFormat="1" applyFont="1" applyFill="1" applyBorder="1" applyAlignment="1">
      <alignment horizontal="center" vertical="center"/>
    </xf>
    <xf numFmtId="181" fontId="45" fillId="9" borderId="12" xfId="0" applyNumberFormat="1" applyFont="1" applyFill="1" applyBorder="1" applyAlignment="1">
      <alignment horizontal="center" vertical="center"/>
    </xf>
    <xf numFmtId="190" fontId="45" fillId="9" borderId="12" xfId="0" applyNumberFormat="1" applyFont="1" applyFill="1" applyBorder="1" applyAlignment="1">
      <alignment horizontal="center" vertical="center"/>
    </xf>
    <xf numFmtId="2" fontId="25" fillId="0" borderId="1" xfId="0" applyNumberFormat="1" applyFont="1" applyBorder="1" applyAlignment="1">
      <alignment horizontal="left" vertical="top"/>
    </xf>
    <xf numFmtId="2" fontId="25" fillId="0" borderId="2" xfId="0" applyNumberFormat="1" applyFont="1" applyBorder="1" applyAlignment="1">
      <alignment horizontal="left" vertical="top"/>
    </xf>
    <xf numFmtId="2" fontId="25" fillId="0" borderId="3" xfId="0" applyNumberFormat="1" applyFont="1" applyBorder="1" applyAlignment="1">
      <alignment horizontal="left" vertical="top"/>
    </xf>
    <xf numFmtId="0" fontId="45" fillId="11" borderId="10" xfId="0" applyFont="1" applyFill="1" applyBorder="1" applyAlignment="1">
      <alignment horizontal="center" vertical="center" wrapText="1"/>
    </xf>
    <xf numFmtId="0" fontId="45" fillId="11" borderId="11" xfId="0" applyFont="1" applyFill="1" applyBorder="1" applyAlignment="1">
      <alignment horizontal="center" vertical="center" wrapText="1"/>
    </xf>
    <xf numFmtId="189" fontId="45" fillId="9" borderId="0" xfId="0" applyNumberFormat="1" applyFont="1" applyFill="1" applyAlignment="1">
      <alignment horizontal="center" vertical="center"/>
    </xf>
    <xf numFmtId="2" fontId="45" fillId="9" borderId="1" xfId="0" applyNumberFormat="1" applyFont="1" applyFill="1" applyBorder="1" applyAlignment="1">
      <alignment horizontal="center" vertical="center"/>
    </xf>
    <xf numFmtId="2" fontId="45" fillId="9" borderId="2" xfId="0" applyNumberFormat="1" applyFont="1" applyFill="1" applyBorder="1" applyAlignment="1">
      <alignment horizontal="center" vertical="center"/>
    </xf>
    <xf numFmtId="182" fontId="45" fillId="11" borderId="26" xfId="0" applyNumberFormat="1" applyFont="1" applyFill="1" applyBorder="1" applyAlignment="1">
      <alignment horizontal="center" vertical="center"/>
    </xf>
    <xf numFmtId="168" fontId="45" fillId="9" borderId="0" xfId="0" applyNumberFormat="1" applyFont="1" applyFill="1" applyAlignment="1">
      <alignment horizontal="center" vertical="center"/>
    </xf>
    <xf numFmtId="168" fontId="45" fillId="9" borderId="5" xfId="0" applyNumberFormat="1" applyFont="1" applyFill="1" applyBorder="1" applyAlignment="1">
      <alignment horizontal="center" vertical="center"/>
    </xf>
    <xf numFmtId="178" fontId="45" fillId="9" borderId="0" xfId="0" applyNumberFormat="1" applyFont="1" applyFill="1" applyAlignment="1">
      <alignment horizontal="center" vertical="center"/>
    </xf>
    <xf numFmtId="178" fontId="45" fillId="9" borderId="4" xfId="0" applyNumberFormat="1" applyFont="1" applyFill="1" applyBorder="1" applyAlignment="1">
      <alignment horizontal="center" vertical="center"/>
    </xf>
    <xf numFmtId="165" fontId="45" fillId="9" borderId="7" xfId="0" applyNumberFormat="1" applyFont="1" applyFill="1" applyBorder="1" applyAlignment="1">
      <alignment horizontal="center" vertical="center"/>
    </xf>
    <xf numFmtId="2" fontId="45" fillId="9" borderId="7" xfId="0" applyNumberFormat="1" applyFont="1" applyFill="1" applyBorder="1" applyAlignment="1">
      <alignment horizontal="center" vertical="center"/>
    </xf>
    <xf numFmtId="168" fontId="45" fillId="9" borderId="7" xfId="0" applyNumberFormat="1" applyFont="1" applyFill="1" applyBorder="1" applyAlignment="1">
      <alignment horizontal="center" vertical="center"/>
    </xf>
    <xf numFmtId="0" fontId="45" fillId="8" borderId="9" xfId="0" applyFont="1" applyFill="1" applyBorder="1" applyAlignment="1">
      <alignment horizontal="center" vertical="center"/>
    </xf>
    <xf numFmtId="0" fontId="45" fillId="8" borderId="10" xfId="0" applyFont="1" applyFill="1" applyBorder="1" applyAlignment="1">
      <alignment horizontal="center" vertical="center"/>
    </xf>
    <xf numFmtId="0" fontId="45" fillId="8" borderId="11" xfId="0" applyFont="1" applyFill="1" applyBorder="1" applyAlignment="1">
      <alignment horizontal="center" vertical="center"/>
    </xf>
    <xf numFmtId="0" fontId="45" fillId="11" borderId="4" xfId="0" applyFont="1" applyFill="1" applyBorder="1" applyAlignment="1">
      <alignment horizontal="center" vertical="center"/>
    </xf>
    <xf numFmtId="0" fontId="45" fillId="11" borderId="0" xfId="0" applyFont="1" applyFill="1" applyAlignment="1">
      <alignment horizontal="center" vertical="center"/>
    </xf>
    <xf numFmtId="183" fontId="45" fillId="9" borderId="7" xfId="0" applyNumberFormat="1" applyFont="1" applyFill="1" applyBorder="1" applyAlignment="1">
      <alignment horizontal="center" vertical="center"/>
    </xf>
    <xf numFmtId="171" fontId="45" fillId="9" borderId="2" xfId="0" applyNumberFormat="1" applyFont="1" applyFill="1" applyBorder="1" applyAlignment="1">
      <alignment horizontal="center" vertical="center"/>
    </xf>
    <xf numFmtId="0" fontId="38" fillId="13" borderId="1" xfId="0" applyFont="1" applyFill="1" applyBorder="1" applyAlignment="1">
      <alignment horizontal="left" vertical="center"/>
    </xf>
    <xf numFmtId="0" fontId="38" fillId="13" borderId="2" xfId="0" applyFont="1" applyFill="1" applyBorder="1" applyAlignment="1">
      <alignment horizontal="left" vertical="center"/>
    </xf>
    <xf numFmtId="0" fontId="38" fillId="13" borderId="3" xfId="0" applyFont="1" applyFill="1" applyBorder="1" applyAlignment="1">
      <alignment horizontal="left" vertical="center"/>
    </xf>
    <xf numFmtId="0" fontId="38" fillId="13" borderId="6" xfId="0" applyFont="1" applyFill="1" applyBorder="1" applyAlignment="1">
      <alignment horizontal="left" vertical="center"/>
    </xf>
    <xf numFmtId="0" fontId="38" fillId="13" borderId="7" xfId="0" applyFont="1" applyFill="1" applyBorder="1" applyAlignment="1">
      <alignment horizontal="left" vertical="center"/>
    </xf>
    <xf numFmtId="0" fontId="38" fillId="13" borderId="8" xfId="0" applyFont="1" applyFill="1" applyBorder="1" applyAlignment="1">
      <alignment horizontal="left" vertical="center"/>
    </xf>
    <xf numFmtId="168" fontId="44" fillId="0" borderId="0" xfId="0" applyNumberFormat="1" applyFont="1" applyAlignment="1">
      <alignment horizontal="center" vertical="center"/>
    </xf>
    <xf numFmtId="180" fontId="45" fillId="9" borderId="2" xfId="0" applyNumberFormat="1" applyFont="1" applyFill="1" applyBorder="1" applyAlignment="1">
      <alignment horizontal="center" vertical="center"/>
    </xf>
    <xf numFmtId="0" fontId="56" fillId="13" borderId="12" xfId="0" applyFont="1" applyFill="1" applyBorder="1" applyAlignment="1">
      <alignment horizontal="center" vertical="center" wrapText="1"/>
    </xf>
    <xf numFmtId="0" fontId="56" fillId="13" borderId="12" xfId="0" applyFont="1" applyFill="1" applyBorder="1" applyAlignment="1">
      <alignment horizontal="center" vertical="center"/>
    </xf>
    <xf numFmtId="186" fontId="45" fillId="9" borderId="7" xfId="0" applyNumberFormat="1" applyFont="1" applyFill="1" applyBorder="1" applyAlignment="1">
      <alignment horizontal="center" vertical="center"/>
    </xf>
    <xf numFmtId="170" fontId="45" fillId="9" borderId="7" xfId="0" applyNumberFormat="1" applyFont="1" applyFill="1" applyBorder="1" applyAlignment="1">
      <alignment horizontal="center" vertical="center"/>
    </xf>
    <xf numFmtId="197" fontId="45" fillId="9" borderId="0" xfId="0" applyNumberFormat="1" applyFont="1" applyFill="1" applyAlignment="1">
      <alignment horizontal="center" vertical="center"/>
    </xf>
    <xf numFmtId="193" fontId="45" fillId="9" borderId="0" xfId="0" applyNumberFormat="1" applyFont="1" applyFill="1" applyAlignment="1">
      <alignment horizontal="center" vertical="center"/>
    </xf>
    <xf numFmtId="172" fontId="53" fillId="9" borderId="12" xfId="0" applyNumberFormat="1" applyFont="1" applyFill="1" applyBorder="1" applyAlignment="1">
      <alignment horizontal="center" vertical="center"/>
    </xf>
    <xf numFmtId="167" fontId="45" fillId="9" borderId="9" xfId="0" applyNumberFormat="1" applyFont="1" applyFill="1" applyBorder="1" applyAlignment="1">
      <alignment horizontal="center" vertical="top"/>
    </xf>
    <xf numFmtId="0" fontId="45" fillId="9" borderId="10" xfId="0" applyFont="1" applyFill="1" applyBorder="1" applyAlignment="1">
      <alignment horizontal="center" vertical="top"/>
    </xf>
    <xf numFmtId="0" fontId="45" fillId="9" borderId="11" xfId="0" applyFont="1" applyFill="1" applyBorder="1" applyAlignment="1">
      <alignment horizontal="center" vertical="top"/>
    </xf>
    <xf numFmtId="176" fontId="45" fillId="9" borderId="9" xfId="0" applyNumberFormat="1" applyFont="1" applyFill="1" applyBorder="1" applyAlignment="1">
      <alignment horizontal="center" vertical="center"/>
    </xf>
    <xf numFmtId="176" fontId="45" fillId="9" borderId="10" xfId="0" applyNumberFormat="1" applyFont="1" applyFill="1" applyBorder="1" applyAlignment="1">
      <alignment horizontal="center" vertical="center"/>
    </xf>
    <xf numFmtId="176" fontId="45" fillId="9" borderId="11" xfId="0" applyNumberFormat="1" applyFont="1" applyFill="1" applyBorder="1" applyAlignment="1">
      <alignment horizontal="center" vertical="center"/>
    </xf>
    <xf numFmtId="169" fontId="45" fillId="9" borderId="5" xfId="0" applyNumberFormat="1" applyFont="1" applyFill="1" applyBorder="1" applyAlignment="1">
      <alignment horizontal="center" vertical="center"/>
    </xf>
    <xf numFmtId="0" fontId="39" fillId="13" borderId="12" xfId="0" applyFont="1" applyFill="1" applyBorder="1" applyAlignment="1">
      <alignment horizontal="center" vertical="center"/>
    </xf>
    <xf numFmtId="172" fontId="45" fillId="9" borderId="2" xfId="0" applyNumberFormat="1" applyFont="1" applyFill="1" applyBorder="1" applyAlignment="1">
      <alignment horizontal="center" vertical="center"/>
    </xf>
    <xf numFmtId="192" fontId="45" fillId="9" borderId="0" xfId="0" applyNumberFormat="1" applyFont="1" applyFill="1" applyAlignment="1">
      <alignment horizontal="center" vertical="center"/>
    </xf>
    <xf numFmtId="0" fontId="45" fillId="9" borderId="7" xfId="0" applyFont="1" applyFill="1" applyBorder="1" applyAlignment="1">
      <alignment horizontal="center" vertical="center"/>
    </xf>
    <xf numFmtId="199" fontId="45" fillId="9" borderId="2" xfId="0" applyNumberFormat="1" applyFont="1" applyFill="1" applyBorder="1" applyAlignment="1">
      <alignment horizontal="center" vertical="center"/>
    </xf>
    <xf numFmtId="187" fontId="45" fillId="9" borderId="0" xfId="0" applyNumberFormat="1" applyFont="1" applyFill="1" applyAlignment="1">
      <alignment horizontal="center" vertical="center"/>
    </xf>
    <xf numFmtId="200" fontId="45" fillId="9" borderId="0" xfId="0" applyNumberFormat="1" applyFont="1" applyFill="1" applyAlignment="1">
      <alignment horizontal="center" vertical="center"/>
    </xf>
    <xf numFmtId="166" fontId="45" fillId="9" borderId="0" xfId="0" applyNumberFormat="1" applyFont="1" applyFill="1" applyAlignment="1">
      <alignment horizontal="left" vertical="center"/>
    </xf>
    <xf numFmtId="0" fontId="41" fillId="13" borderId="4" xfId="0" applyFont="1" applyFill="1" applyBorder="1" applyAlignment="1">
      <alignment horizontal="center" vertical="center" wrapText="1"/>
    </xf>
    <xf numFmtId="0" fontId="41" fillId="13" borderId="0" xfId="0" applyFont="1" applyFill="1" applyAlignment="1">
      <alignment horizontal="center" vertical="center" wrapText="1"/>
    </xf>
    <xf numFmtId="0" fontId="41" fillId="13" borderId="5" xfId="0" applyFont="1" applyFill="1" applyBorder="1" applyAlignment="1">
      <alignment horizontal="center" vertical="center" wrapText="1"/>
    </xf>
    <xf numFmtId="0" fontId="41" fillId="13" borderId="6" xfId="0" applyFont="1" applyFill="1" applyBorder="1" applyAlignment="1">
      <alignment horizontal="center" vertical="center" wrapText="1"/>
    </xf>
    <xf numFmtId="0" fontId="41" fillId="13" borderId="7" xfId="0" applyFont="1" applyFill="1" applyBorder="1" applyAlignment="1">
      <alignment horizontal="center" vertical="center" wrapText="1"/>
    </xf>
    <xf numFmtId="0" fontId="41" fillId="13" borderId="8" xfId="0" applyFont="1" applyFill="1" applyBorder="1" applyAlignment="1">
      <alignment horizontal="center" vertical="center" wrapText="1"/>
    </xf>
    <xf numFmtId="176" fontId="45" fillId="9" borderId="7" xfId="0" applyNumberFormat="1" applyFont="1" applyFill="1" applyBorder="1" applyAlignment="1">
      <alignment horizontal="center" vertical="center"/>
    </xf>
    <xf numFmtId="0" fontId="38" fillId="13" borderId="12" xfId="0" applyFont="1" applyFill="1" applyBorder="1" applyAlignment="1">
      <alignment horizontal="center" vertical="center"/>
    </xf>
    <xf numFmtId="0" fontId="39" fillId="13" borderId="12" xfId="0" applyFont="1" applyFill="1" applyBorder="1" applyAlignment="1">
      <alignment horizontal="center" vertical="center" wrapText="1"/>
    </xf>
    <xf numFmtId="173" fontId="45" fillId="9" borderId="7" xfId="0" applyNumberFormat="1" applyFont="1" applyFill="1" applyBorder="1" applyAlignment="1">
      <alignment horizontal="center" vertical="center"/>
    </xf>
    <xf numFmtId="0" fontId="38" fillId="13" borderId="4" xfId="2" quotePrefix="1" applyFont="1" applyFill="1" applyBorder="1" applyAlignment="1">
      <alignment horizontal="center" vertical="center" wrapText="1"/>
    </xf>
    <xf numFmtId="0" fontId="38" fillId="13" borderId="0" xfId="2" quotePrefix="1" applyFont="1" applyFill="1" applyAlignment="1">
      <alignment horizontal="center" vertical="center" wrapText="1"/>
    </xf>
    <xf numFmtId="0" fontId="38" fillId="13" borderId="5" xfId="2" quotePrefix="1" applyFont="1" applyFill="1" applyBorder="1" applyAlignment="1">
      <alignment horizontal="center" vertical="center" wrapText="1"/>
    </xf>
    <xf numFmtId="0" fontId="38" fillId="13" borderId="6" xfId="2" quotePrefix="1" applyFont="1" applyFill="1" applyBorder="1" applyAlignment="1">
      <alignment horizontal="center" vertical="center" wrapText="1"/>
    </xf>
    <xf numFmtId="0" fontId="38" fillId="13" borderId="7" xfId="2" quotePrefix="1" applyFont="1" applyFill="1" applyBorder="1" applyAlignment="1">
      <alignment horizontal="center" vertical="center" wrapText="1"/>
    </xf>
    <xf numFmtId="0" fontId="38" fillId="13" borderId="8" xfId="2" quotePrefix="1" applyFont="1" applyFill="1" applyBorder="1" applyAlignment="1">
      <alignment horizontal="center" vertical="center" wrapText="1"/>
    </xf>
    <xf numFmtId="1" fontId="14" fillId="0" borderId="13" xfId="4" applyNumberFormat="1" applyFont="1" applyBorder="1"/>
    <xf numFmtId="0" fontId="5" fillId="0" borderId="14" xfId="4" applyBorder="1"/>
    <xf numFmtId="0" fontId="14" fillId="0" borderId="13" xfId="4" applyFont="1" applyBorder="1" applyAlignment="1">
      <alignment horizontal="center"/>
    </xf>
    <xf numFmtId="0" fontId="14" fillId="0" borderId="14" xfId="4" applyFont="1" applyBorder="1" applyAlignment="1">
      <alignment horizontal="center"/>
    </xf>
    <xf numFmtId="0" fontId="14" fillId="0" borderId="15" xfId="4" applyFont="1" applyBorder="1" applyAlignment="1">
      <alignment horizontal="center"/>
    </xf>
    <xf numFmtId="2" fontId="12" fillId="4" borderId="0" xfId="4" applyNumberFormat="1" applyFont="1" applyFill="1" applyAlignment="1">
      <alignment horizontal="center" vertical="center"/>
    </xf>
    <xf numFmtId="2" fontId="15" fillId="5" borderId="0" xfId="4" applyNumberFormat="1" applyFont="1" applyFill="1" applyAlignment="1">
      <alignment horizontal="center" vertical="center" wrapText="1"/>
    </xf>
    <xf numFmtId="0" fontId="14" fillId="0" borderId="0" xfId="4" applyFont="1"/>
    <xf numFmtId="0" fontId="14" fillId="0" borderId="14" xfId="4" applyFont="1" applyBorder="1"/>
    <xf numFmtId="0" fontId="5" fillId="0" borderId="15" xfId="4" applyBorder="1"/>
    <xf numFmtId="0" fontId="5" fillId="0" borderId="13" xfId="4" applyBorder="1" applyAlignment="1">
      <alignment horizontal="center"/>
    </xf>
    <xf numFmtId="0" fontId="5" fillId="0" borderId="14" xfId="4" applyBorder="1" applyAlignment="1">
      <alignment horizontal="center"/>
    </xf>
    <xf numFmtId="0" fontId="5" fillId="0" borderId="15" xfId="4" applyBorder="1" applyAlignment="1">
      <alignment horizontal="center"/>
    </xf>
  </cellXfs>
  <cellStyles count="7">
    <cellStyle name="Good" xfId="3" builtinId="26"/>
    <cellStyle name="Normal" xfId="0" builtinId="0"/>
    <cellStyle name="Normal 2" xfId="2" xr:uid="{171D8E08-2493-4E91-80B2-4EB066C9FBE7}"/>
    <cellStyle name="Normal 3" xfId="4" xr:uid="{60ACC4EA-1004-4C4D-BC16-C6F7A604320F}"/>
    <cellStyle name="Normal 4" xfId="5" xr:uid="{585F0FE0-18A2-4F9B-BE76-5DC7EAD01E88}"/>
    <cellStyle name="Normal 5" xfId="6" xr:uid="{03D3AFED-AEA1-405E-A6C0-62E97E90CC22}"/>
    <cellStyle name="Normal 9" xfId="1" xr:uid="{461ABF0D-7F6A-43AC-A73E-5A00A4064DEF}"/>
  </cellStyles>
  <dxfs count="20">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2" defaultPivotStyle="PivotStyleLight16"/>
  <colors>
    <mruColors>
      <color rgb="FFFFDB69"/>
      <color rgb="FF262C5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externalLink" Target="externalLinks/externalLink1.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openxmlformats.org/officeDocument/2006/relationships/customXml" Target="../customXml/item1.xml"/><Relationship Id="rId5" Type="http://schemas.openxmlformats.org/officeDocument/2006/relationships/externalLink" Target="externalLinks/externalLink3.xml"/><Relationship Id="rId10" Type="http://schemas.openxmlformats.org/officeDocument/2006/relationships/calcChain" Target="calcChain.xml"/><Relationship Id="rId4" Type="http://schemas.openxmlformats.org/officeDocument/2006/relationships/externalLink" Target="externalLinks/externalLink2.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1</xdr:col>
      <xdr:colOff>73268</xdr:colOff>
      <xdr:row>2</xdr:row>
      <xdr:rowOff>36636</xdr:rowOff>
    </xdr:from>
    <xdr:to>
      <xdr:col>20</xdr:col>
      <xdr:colOff>53506</xdr:colOff>
      <xdr:row>7</xdr:row>
      <xdr:rowOff>136333</xdr:rowOff>
    </xdr:to>
    <xdr:pic>
      <xdr:nvPicPr>
        <xdr:cNvPr id="2" name="Picture 6">
          <a:extLst>
            <a:ext uri="{FF2B5EF4-FFF2-40B4-BE49-F238E27FC236}">
              <a16:creationId xmlns:a16="http://schemas.microsoft.com/office/drawing/2014/main" id="{AA1041E8-7462-4FD5-9515-0127018F625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68" y="356676"/>
          <a:ext cx="2296718" cy="899797"/>
        </a:xfrm>
        <a:prstGeom prst="rect">
          <a:avLst/>
        </a:prstGeom>
      </xdr:spPr>
    </xdr:pic>
    <xdr:clientData/>
  </xdr:twoCellAnchor>
  <xdr:oneCellAnchor>
    <xdr:from>
      <xdr:col>1</xdr:col>
      <xdr:colOff>73268</xdr:colOff>
      <xdr:row>70</xdr:row>
      <xdr:rowOff>36635</xdr:rowOff>
    </xdr:from>
    <xdr:ext cx="2212731" cy="922253"/>
    <xdr:pic>
      <xdr:nvPicPr>
        <xdr:cNvPr id="3" name="Picture 2">
          <a:extLst>
            <a:ext uri="{FF2B5EF4-FFF2-40B4-BE49-F238E27FC236}">
              <a16:creationId xmlns:a16="http://schemas.microsoft.com/office/drawing/2014/main" id="{0FAC76B6-3F16-4692-A714-D7E7BE97B2EE}"/>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4243" y="11380910"/>
          <a:ext cx="2212731" cy="922253"/>
        </a:xfrm>
        <a:prstGeom prst="rect">
          <a:avLst/>
        </a:prstGeom>
      </xdr:spPr>
    </xdr:pic>
    <xdr:clientData/>
  </xdr:oneCellAnchor>
  <xdr:oneCellAnchor>
    <xdr:from>
      <xdr:col>1</xdr:col>
      <xdr:colOff>73268</xdr:colOff>
      <xdr:row>138</xdr:row>
      <xdr:rowOff>36635</xdr:rowOff>
    </xdr:from>
    <xdr:ext cx="2212731" cy="922253"/>
    <xdr:pic>
      <xdr:nvPicPr>
        <xdr:cNvPr id="4" name="Picture 6">
          <a:extLst>
            <a:ext uri="{FF2B5EF4-FFF2-40B4-BE49-F238E27FC236}">
              <a16:creationId xmlns:a16="http://schemas.microsoft.com/office/drawing/2014/main" id="{7A63E514-1570-44FE-BBD7-740C6A82559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3768" y="22127015"/>
          <a:ext cx="2212731" cy="922253"/>
        </a:xfrm>
        <a:prstGeom prst="rect">
          <a:avLst/>
        </a:prstGeom>
      </xdr:spPr>
    </xdr:pic>
    <xdr:clientData/>
  </xdr:oneCellAnchor>
  <xdr:twoCellAnchor>
    <xdr:from>
      <xdr:col>78</xdr:col>
      <xdr:colOff>66675</xdr:colOff>
      <xdr:row>26</xdr:row>
      <xdr:rowOff>57150</xdr:rowOff>
    </xdr:from>
    <xdr:to>
      <xdr:col>82</xdr:col>
      <xdr:colOff>104775</xdr:colOff>
      <xdr:row>26</xdr:row>
      <xdr:rowOff>57150</xdr:rowOff>
    </xdr:to>
    <xdr:sp macro="" textlink="">
      <xdr:nvSpPr>
        <xdr:cNvPr id="5" name="Line 249">
          <a:extLst>
            <a:ext uri="{FF2B5EF4-FFF2-40B4-BE49-F238E27FC236}">
              <a16:creationId xmlns:a16="http://schemas.microsoft.com/office/drawing/2014/main" id="{530DF690-8595-429F-8BBE-848D1F5D2906}"/>
            </a:ext>
          </a:extLst>
        </xdr:cNvPr>
        <xdr:cNvSpPr>
          <a:spLocks noChangeShapeType="1"/>
        </xdr:cNvSpPr>
      </xdr:nvSpPr>
      <xdr:spPr bwMode="auto">
        <a:xfrm>
          <a:off x="10582275" y="4276725"/>
          <a:ext cx="7620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76</xdr:col>
      <xdr:colOff>19050</xdr:colOff>
      <xdr:row>53</xdr:row>
      <xdr:rowOff>114300</xdr:rowOff>
    </xdr:from>
    <xdr:to>
      <xdr:col>81</xdr:col>
      <xdr:colOff>104775</xdr:colOff>
      <xdr:row>53</xdr:row>
      <xdr:rowOff>114300</xdr:rowOff>
    </xdr:to>
    <xdr:sp macro="" textlink="">
      <xdr:nvSpPr>
        <xdr:cNvPr id="6" name="Line 252">
          <a:extLst>
            <a:ext uri="{FF2B5EF4-FFF2-40B4-BE49-F238E27FC236}">
              <a16:creationId xmlns:a16="http://schemas.microsoft.com/office/drawing/2014/main" id="{13B9575A-7EA1-4A2B-89D4-4E74B963311C}"/>
            </a:ext>
          </a:extLst>
        </xdr:cNvPr>
        <xdr:cNvSpPr>
          <a:spLocks noChangeShapeType="1"/>
        </xdr:cNvSpPr>
      </xdr:nvSpPr>
      <xdr:spPr bwMode="auto">
        <a:xfrm>
          <a:off x="10172700" y="8543925"/>
          <a:ext cx="9906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79</xdr:col>
      <xdr:colOff>95250</xdr:colOff>
      <xdr:row>54</xdr:row>
      <xdr:rowOff>9525</xdr:rowOff>
    </xdr:from>
    <xdr:to>
      <xdr:col>85</xdr:col>
      <xdr:colOff>123825</xdr:colOff>
      <xdr:row>54</xdr:row>
      <xdr:rowOff>9525</xdr:rowOff>
    </xdr:to>
    <xdr:sp macro="" textlink="">
      <xdr:nvSpPr>
        <xdr:cNvPr id="7" name="Line 253">
          <a:extLst>
            <a:ext uri="{FF2B5EF4-FFF2-40B4-BE49-F238E27FC236}">
              <a16:creationId xmlns:a16="http://schemas.microsoft.com/office/drawing/2014/main" id="{948E2E1A-3834-4A69-B1E6-3EE364D5CA2C}"/>
            </a:ext>
          </a:extLst>
        </xdr:cNvPr>
        <xdr:cNvSpPr>
          <a:spLocks noChangeShapeType="1"/>
        </xdr:cNvSpPr>
      </xdr:nvSpPr>
      <xdr:spPr bwMode="auto">
        <a:xfrm>
          <a:off x="10791825" y="8601075"/>
          <a:ext cx="11144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78</xdr:col>
      <xdr:colOff>66675</xdr:colOff>
      <xdr:row>23</xdr:row>
      <xdr:rowOff>57150</xdr:rowOff>
    </xdr:from>
    <xdr:to>
      <xdr:col>82</xdr:col>
      <xdr:colOff>104775</xdr:colOff>
      <xdr:row>23</xdr:row>
      <xdr:rowOff>57150</xdr:rowOff>
    </xdr:to>
    <xdr:sp macro="" textlink="">
      <xdr:nvSpPr>
        <xdr:cNvPr id="8" name="Line 259">
          <a:extLst>
            <a:ext uri="{FF2B5EF4-FFF2-40B4-BE49-F238E27FC236}">
              <a16:creationId xmlns:a16="http://schemas.microsoft.com/office/drawing/2014/main" id="{41F7B090-C268-4FF0-8B7C-86146B2C2B90}"/>
            </a:ext>
          </a:extLst>
        </xdr:cNvPr>
        <xdr:cNvSpPr>
          <a:spLocks noChangeShapeType="1"/>
        </xdr:cNvSpPr>
      </xdr:nvSpPr>
      <xdr:spPr bwMode="auto">
        <a:xfrm>
          <a:off x="10582275" y="3781425"/>
          <a:ext cx="7620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83</xdr:col>
      <xdr:colOff>57150</xdr:colOff>
      <xdr:row>44</xdr:row>
      <xdr:rowOff>9525</xdr:rowOff>
    </xdr:from>
    <xdr:to>
      <xdr:col>87</xdr:col>
      <xdr:colOff>142875</xdr:colOff>
      <xdr:row>44</xdr:row>
      <xdr:rowOff>9525</xdr:rowOff>
    </xdr:to>
    <xdr:sp macro="" textlink="">
      <xdr:nvSpPr>
        <xdr:cNvPr id="9" name="Line 260">
          <a:extLst>
            <a:ext uri="{FF2B5EF4-FFF2-40B4-BE49-F238E27FC236}">
              <a16:creationId xmlns:a16="http://schemas.microsoft.com/office/drawing/2014/main" id="{4B7CEC3C-1C36-4C27-9896-A0E283534AA0}"/>
            </a:ext>
          </a:extLst>
        </xdr:cNvPr>
        <xdr:cNvSpPr>
          <a:spLocks noChangeShapeType="1"/>
        </xdr:cNvSpPr>
      </xdr:nvSpPr>
      <xdr:spPr bwMode="auto">
        <a:xfrm flipH="1">
          <a:off x="11477625" y="6981825"/>
          <a:ext cx="8096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78</xdr:col>
      <xdr:colOff>66675</xdr:colOff>
      <xdr:row>24</xdr:row>
      <xdr:rowOff>57150</xdr:rowOff>
    </xdr:from>
    <xdr:to>
      <xdr:col>82</xdr:col>
      <xdr:colOff>104775</xdr:colOff>
      <xdr:row>24</xdr:row>
      <xdr:rowOff>57150</xdr:rowOff>
    </xdr:to>
    <xdr:sp macro="" textlink="">
      <xdr:nvSpPr>
        <xdr:cNvPr id="10" name="Line 264">
          <a:extLst>
            <a:ext uri="{FF2B5EF4-FFF2-40B4-BE49-F238E27FC236}">
              <a16:creationId xmlns:a16="http://schemas.microsoft.com/office/drawing/2014/main" id="{496CCC10-68D0-4D3D-9581-39C0A8FA4718}"/>
            </a:ext>
          </a:extLst>
        </xdr:cNvPr>
        <xdr:cNvSpPr>
          <a:spLocks noChangeShapeType="1"/>
        </xdr:cNvSpPr>
      </xdr:nvSpPr>
      <xdr:spPr bwMode="auto">
        <a:xfrm>
          <a:off x="10582275" y="3943350"/>
          <a:ext cx="7620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83</xdr:col>
      <xdr:colOff>57150</xdr:colOff>
      <xdr:row>45</xdr:row>
      <xdr:rowOff>9525</xdr:rowOff>
    </xdr:from>
    <xdr:to>
      <xdr:col>87</xdr:col>
      <xdr:colOff>142875</xdr:colOff>
      <xdr:row>45</xdr:row>
      <xdr:rowOff>9525</xdr:rowOff>
    </xdr:to>
    <xdr:sp macro="" textlink="">
      <xdr:nvSpPr>
        <xdr:cNvPr id="11" name="Line 265">
          <a:extLst>
            <a:ext uri="{FF2B5EF4-FFF2-40B4-BE49-F238E27FC236}">
              <a16:creationId xmlns:a16="http://schemas.microsoft.com/office/drawing/2014/main" id="{8029332A-2FFD-4243-BEAC-946601FF5C26}"/>
            </a:ext>
          </a:extLst>
        </xdr:cNvPr>
        <xdr:cNvSpPr>
          <a:spLocks noChangeShapeType="1"/>
        </xdr:cNvSpPr>
      </xdr:nvSpPr>
      <xdr:spPr bwMode="auto">
        <a:xfrm flipH="1">
          <a:off x="11477625" y="7143750"/>
          <a:ext cx="8096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76</xdr:col>
      <xdr:colOff>19050</xdr:colOff>
      <xdr:row>49</xdr:row>
      <xdr:rowOff>114300</xdr:rowOff>
    </xdr:from>
    <xdr:to>
      <xdr:col>81</xdr:col>
      <xdr:colOff>104775</xdr:colOff>
      <xdr:row>49</xdr:row>
      <xdr:rowOff>114300</xdr:rowOff>
    </xdr:to>
    <xdr:sp macro="" textlink="">
      <xdr:nvSpPr>
        <xdr:cNvPr id="12" name="Line 267">
          <a:extLst>
            <a:ext uri="{FF2B5EF4-FFF2-40B4-BE49-F238E27FC236}">
              <a16:creationId xmlns:a16="http://schemas.microsoft.com/office/drawing/2014/main" id="{E894553F-C1B7-456E-916F-A00C8ECF867A}"/>
            </a:ext>
          </a:extLst>
        </xdr:cNvPr>
        <xdr:cNvSpPr>
          <a:spLocks noChangeShapeType="1"/>
        </xdr:cNvSpPr>
      </xdr:nvSpPr>
      <xdr:spPr bwMode="auto">
        <a:xfrm>
          <a:off x="10172700" y="7896225"/>
          <a:ext cx="9906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79</xdr:col>
      <xdr:colOff>95250</xdr:colOff>
      <xdr:row>50</xdr:row>
      <xdr:rowOff>9525</xdr:rowOff>
    </xdr:from>
    <xdr:to>
      <xdr:col>85</xdr:col>
      <xdr:colOff>123825</xdr:colOff>
      <xdr:row>50</xdr:row>
      <xdr:rowOff>9525</xdr:rowOff>
    </xdr:to>
    <xdr:sp macro="" textlink="">
      <xdr:nvSpPr>
        <xdr:cNvPr id="13" name="Line 268">
          <a:extLst>
            <a:ext uri="{FF2B5EF4-FFF2-40B4-BE49-F238E27FC236}">
              <a16:creationId xmlns:a16="http://schemas.microsoft.com/office/drawing/2014/main" id="{8BF2F1FF-118E-4688-B8B2-7F7ED6877849}"/>
            </a:ext>
          </a:extLst>
        </xdr:cNvPr>
        <xdr:cNvSpPr>
          <a:spLocks noChangeShapeType="1"/>
        </xdr:cNvSpPr>
      </xdr:nvSpPr>
      <xdr:spPr bwMode="auto">
        <a:xfrm>
          <a:off x="10791825" y="7953375"/>
          <a:ext cx="11144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78</xdr:col>
      <xdr:colOff>66675</xdr:colOff>
      <xdr:row>13</xdr:row>
      <xdr:rowOff>57150</xdr:rowOff>
    </xdr:from>
    <xdr:to>
      <xdr:col>82</xdr:col>
      <xdr:colOff>104775</xdr:colOff>
      <xdr:row>13</xdr:row>
      <xdr:rowOff>57150</xdr:rowOff>
    </xdr:to>
    <xdr:sp macro="" textlink="">
      <xdr:nvSpPr>
        <xdr:cNvPr id="14" name="Line 274">
          <a:extLst>
            <a:ext uri="{FF2B5EF4-FFF2-40B4-BE49-F238E27FC236}">
              <a16:creationId xmlns:a16="http://schemas.microsoft.com/office/drawing/2014/main" id="{5CB63851-2CDA-4089-BCE1-FD740F692F53}"/>
            </a:ext>
          </a:extLst>
        </xdr:cNvPr>
        <xdr:cNvSpPr>
          <a:spLocks noChangeShapeType="1"/>
        </xdr:cNvSpPr>
      </xdr:nvSpPr>
      <xdr:spPr bwMode="auto">
        <a:xfrm>
          <a:off x="10582275" y="2162175"/>
          <a:ext cx="7620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79</xdr:col>
      <xdr:colOff>95250</xdr:colOff>
      <xdr:row>42</xdr:row>
      <xdr:rowOff>9525</xdr:rowOff>
    </xdr:from>
    <xdr:to>
      <xdr:col>85</xdr:col>
      <xdr:colOff>123825</xdr:colOff>
      <xdr:row>42</xdr:row>
      <xdr:rowOff>9525</xdr:rowOff>
    </xdr:to>
    <xdr:sp macro="" textlink="">
      <xdr:nvSpPr>
        <xdr:cNvPr id="15" name="Line 278">
          <a:extLst>
            <a:ext uri="{FF2B5EF4-FFF2-40B4-BE49-F238E27FC236}">
              <a16:creationId xmlns:a16="http://schemas.microsoft.com/office/drawing/2014/main" id="{DEBDE197-5C93-4653-883B-510042E21E91}"/>
            </a:ext>
          </a:extLst>
        </xdr:cNvPr>
        <xdr:cNvSpPr>
          <a:spLocks noChangeShapeType="1"/>
        </xdr:cNvSpPr>
      </xdr:nvSpPr>
      <xdr:spPr bwMode="auto">
        <a:xfrm>
          <a:off x="10791825" y="6657975"/>
          <a:ext cx="11144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83</xdr:col>
      <xdr:colOff>57150</xdr:colOff>
      <xdr:row>29</xdr:row>
      <xdr:rowOff>9525</xdr:rowOff>
    </xdr:from>
    <xdr:to>
      <xdr:col>87</xdr:col>
      <xdr:colOff>142875</xdr:colOff>
      <xdr:row>29</xdr:row>
      <xdr:rowOff>9525</xdr:rowOff>
    </xdr:to>
    <xdr:sp macro="" textlink="">
      <xdr:nvSpPr>
        <xdr:cNvPr id="16" name="Line 280">
          <a:extLst>
            <a:ext uri="{FF2B5EF4-FFF2-40B4-BE49-F238E27FC236}">
              <a16:creationId xmlns:a16="http://schemas.microsoft.com/office/drawing/2014/main" id="{DED95F57-B093-4E29-9EF4-D1E684916AB9}"/>
            </a:ext>
          </a:extLst>
        </xdr:cNvPr>
        <xdr:cNvSpPr>
          <a:spLocks noChangeShapeType="1"/>
        </xdr:cNvSpPr>
      </xdr:nvSpPr>
      <xdr:spPr bwMode="auto">
        <a:xfrm flipH="1">
          <a:off x="11477625" y="4714875"/>
          <a:ext cx="8096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87</xdr:col>
      <xdr:colOff>38100</xdr:colOff>
      <xdr:row>40</xdr:row>
      <xdr:rowOff>123825</xdr:rowOff>
    </xdr:from>
    <xdr:to>
      <xdr:col>93</xdr:col>
      <xdr:colOff>47625</xdr:colOff>
      <xdr:row>40</xdr:row>
      <xdr:rowOff>123825</xdr:rowOff>
    </xdr:to>
    <xdr:sp macro="" textlink="">
      <xdr:nvSpPr>
        <xdr:cNvPr id="17" name="Line 281">
          <a:extLst>
            <a:ext uri="{FF2B5EF4-FFF2-40B4-BE49-F238E27FC236}">
              <a16:creationId xmlns:a16="http://schemas.microsoft.com/office/drawing/2014/main" id="{695BEF36-2EBD-4F80-9C2A-AFC4E5BE9DDF}"/>
            </a:ext>
          </a:extLst>
        </xdr:cNvPr>
        <xdr:cNvSpPr>
          <a:spLocks noChangeShapeType="1"/>
        </xdr:cNvSpPr>
      </xdr:nvSpPr>
      <xdr:spPr bwMode="auto">
        <a:xfrm flipH="1">
          <a:off x="12182475" y="6448425"/>
          <a:ext cx="109537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76</xdr:col>
      <xdr:colOff>19050</xdr:colOff>
      <xdr:row>41</xdr:row>
      <xdr:rowOff>114300</xdr:rowOff>
    </xdr:from>
    <xdr:to>
      <xdr:col>81</xdr:col>
      <xdr:colOff>104775</xdr:colOff>
      <xdr:row>41</xdr:row>
      <xdr:rowOff>114300</xdr:rowOff>
    </xdr:to>
    <xdr:sp macro="" textlink="">
      <xdr:nvSpPr>
        <xdr:cNvPr id="18" name="Line 282">
          <a:extLst>
            <a:ext uri="{FF2B5EF4-FFF2-40B4-BE49-F238E27FC236}">
              <a16:creationId xmlns:a16="http://schemas.microsoft.com/office/drawing/2014/main" id="{C197C403-CC9E-4C84-9B4D-841FB9992B62}"/>
            </a:ext>
          </a:extLst>
        </xdr:cNvPr>
        <xdr:cNvSpPr>
          <a:spLocks noChangeShapeType="1"/>
        </xdr:cNvSpPr>
      </xdr:nvSpPr>
      <xdr:spPr bwMode="auto">
        <a:xfrm>
          <a:off x="10172700" y="6600825"/>
          <a:ext cx="9906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79</xdr:col>
      <xdr:colOff>95250</xdr:colOff>
      <xdr:row>43</xdr:row>
      <xdr:rowOff>9525</xdr:rowOff>
    </xdr:from>
    <xdr:to>
      <xdr:col>85</xdr:col>
      <xdr:colOff>123825</xdr:colOff>
      <xdr:row>43</xdr:row>
      <xdr:rowOff>9525</xdr:rowOff>
    </xdr:to>
    <xdr:sp macro="" textlink="">
      <xdr:nvSpPr>
        <xdr:cNvPr id="19" name="Line 283">
          <a:extLst>
            <a:ext uri="{FF2B5EF4-FFF2-40B4-BE49-F238E27FC236}">
              <a16:creationId xmlns:a16="http://schemas.microsoft.com/office/drawing/2014/main" id="{9E230955-1A1E-44ED-B8E8-4EC5C04B5F3A}"/>
            </a:ext>
          </a:extLst>
        </xdr:cNvPr>
        <xdr:cNvSpPr>
          <a:spLocks noChangeShapeType="1"/>
        </xdr:cNvSpPr>
      </xdr:nvSpPr>
      <xdr:spPr bwMode="auto">
        <a:xfrm>
          <a:off x="10791825" y="6819900"/>
          <a:ext cx="11144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78</xdr:col>
      <xdr:colOff>66675</xdr:colOff>
      <xdr:row>13</xdr:row>
      <xdr:rowOff>57150</xdr:rowOff>
    </xdr:from>
    <xdr:to>
      <xdr:col>82</xdr:col>
      <xdr:colOff>104775</xdr:colOff>
      <xdr:row>13</xdr:row>
      <xdr:rowOff>57150</xdr:rowOff>
    </xdr:to>
    <xdr:sp macro="" textlink="">
      <xdr:nvSpPr>
        <xdr:cNvPr id="20" name="Line 284">
          <a:extLst>
            <a:ext uri="{FF2B5EF4-FFF2-40B4-BE49-F238E27FC236}">
              <a16:creationId xmlns:a16="http://schemas.microsoft.com/office/drawing/2014/main" id="{F9E65B1C-FF35-4A61-8A78-5B06A03B2B5D}"/>
            </a:ext>
          </a:extLst>
        </xdr:cNvPr>
        <xdr:cNvSpPr>
          <a:spLocks noChangeShapeType="1"/>
        </xdr:cNvSpPr>
      </xdr:nvSpPr>
      <xdr:spPr bwMode="auto">
        <a:xfrm>
          <a:off x="10582275" y="2162175"/>
          <a:ext cx="762000"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79</xdr:col>
      <xdr:colOff>95250</xdr:colOff>
      <xdr:row>42</xdr:row>
      <xdr:rowOff>9525</xdr:rowOff>
    </xdr:from>
    <xdr:to>
      <xdr:col>85</xdr:col>
      <xdr:colOff>123825</xdr:colOff>
      <xdr:row>42</xdr:row>
      <xdr:rowOff>9525</xdr:rowOff>
    </xdr:to>
    <xdr:sp macro="" textlink="">
      <xdr:nvSpPr>
        <xdr:cNvPr id="21" name="Line 288">
          <a:extLst>
            <a:ext uri="{FF2B5EF4-FFF2-40B4-BE49-F238E27FC236}">
              <a16:creationId xmlns:a16="http://schemas.microsoft.com/office/drawing/2014/main" id="{FAD975B7-1B02-4338-B3CD-B178B7DE03CC}"/>
            </a:ext>
          </a:extLst>
        </xdr:cNvPr>
        <xdr:cNvSpPr>
          <a:spLocks noChangeShapeType="1"/>
        </xdr:cNvSpPr>
      </xdr:nvSpPr>
      <xdr:spPr bwMode="auto">
        <a:xfrm>
          <a:off x="10791825" y="6657975"/>
          <a:ext cx="1114425"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2</xdr:col>
      <xdr:colOff>381</xdr:colOff>
      <xdr:row>409</xdr:row>
      <xdr:rowOff>142653</xdr:rowOff>
    </xdr:from>
    <xdr:ext cx="2212731" cy="922253"/>
    <xdr:pic>
      <xdr:nvPicPr>
        <xdr:cNvPr id="32" name="Picture 6">
          <a:extLst>
            <a:ext uri="{FF2B5EF4-FFF2-40B4-BE49-F238E27FC236}">
              <a16:creationId xmlns:a16="http://schemas.microsoft.com/office/drawing/2014/main" id="{D182AACC-0104-43CF-BC21-BBB179853DDB}"/>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1807" y="65190949"/>
          <a:ext cx="2212731" cy="922253"/>
        </a:xfrm>
        <a:prstGeom prst="rect">
          <a:avLst/>
        </a:prstGeom>
      </xdr:spPr>
    </xdr:pic>
    <xdr:clientData/>
  </xdr:oneCellAnchor>
  <xdr:oneCellAnchor>
    <xdr:from>
      <xdr:col>2</xdr:col>
      <xdr:colOff>381</xdr:colOff>
      <xdr:row>478</xdr:row>
      <xdr:rowOff>36635</xdr:rowOff>
    </xdr:from>
    <xdr:ext cx="2212731" cy="922253"/>
    <xdr:pic>
      <xdr:nvPicPr>
        <xdr:cNvPr id="33" name="Picture 6">
          <a:extLst>
            <a:ext uri="{FF2B5EF4-FFF2-40B4-BE49-F238E27FC236}">
              <a16:creationId xmlns:a16="http://schemas.microsoft.com/office/drawing/2014/main" id="{7E5C78FE-A4B7-42A6-99CE-384B89735C7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6904" y="75697373"/>
          <a:ext cx="2212731" cy="922253"/>
        </a:xfrm>
        <a:prstGeom prst="rect">
          <a:avLst/>
        </a:prstGeom>
      </xdr:spPr>
    </xdr:pic>
    <xdr:clientData/>
  </xdr:oneCellAnchor>
  <xdr:oneCellAnchor>
    <xdr:from>
      <xdr:col>2</xdr:col>
      <xdr:colOff>13633</xdr:colOff>
      <xdr:row>546</xdr:row>
      <xdr:rowOff>16757</xdr:rowOff>
    </xdr:from>
    <xdr:ext cx="2212731" cy="922253"/>
    <xdr:pic>
      <xdr:nvPicPr>
        <xdr:cNvPr id="34" name="Picture 6">
          <a:extLst>
            <a:ext uri="{FF2B5EF4-FFF2-40B4-BE49-F238E27FC236}">
              <a16:creationId xmlns:a16="http://schemas.microsoft.com/office/drawing/2014/main" id="{2E5585E9-BDBD-4CE8-9B55-C4C6E7F2ADF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5059" y="86851627"/>
          <a:ext cx="2212731" cy="922253"/>
        </a:xfrm>
        <a:prstGeom prst="rect">
          <a:avLst/>
        </a:prstGeom>
      </xdr:spPr>
    </xdr:pic>
    <xdr:clientData/>
  </xdr:oneCellAnchor>
  <xdr:oneCellAnchor>
    <xdr:from>
      <xdr:col>1</xdr:col>
      <xdr:colOff>113024</xdr:colOff>
      <xdr:row>614</xdr:row>
      <xdr:rowOff>36635</xdr:rowOff>
    </xdr:from>
    <xdr:ext cx="2212731" cy="922253"/>
    <xdr:pic>
      <xdr:nvPicPr>
        <xdr:cNvPr id="35" name="Picture 6">
          <a:extLst>
            <a:ext uri="{FF2B5EF4-FFF2-40B4-BE49-F238E27FC236}">
              <a16:creationId xmlns:a16="http://schemas.microsoft.com/office/drawing/2014/main" id="{A1FCFDB4-7439-45E1-9EE1-A99B554E679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181" y="97685278"/>
          <a:ext cx="2212731" cy="922253"/>
        </a:xfrm>
        <a:prstGeom prst="rect">
          <a:avLst/>
        </a:prstGeom>
      </xdr:spPr>
    </xdr:pic>
    <xdr:clientData/>
  </xdr:oneCellAnchor>
  <xdr:twoCellAnchor editAs="oneCell">
    <xdr:from>
      <xdr:col>9</xdr:col>
      <xdr:colOff>66260</xdr:colOff>
      <xdr:row>300</xdr:row>
      <xdr:rowOff>3812</xdr:rowOff>
    </xdr:from>
    <xdr:to>
      <xdr:col>46</xdr:col>
      <xdr:colOff>93013</xdr:colOff>
      <xdr:row>317</xdr:row>
      <xdr:rowOff>386</xdr:rowOff>
    </xdr:to>
    <xdr:pic>
      <xdr:nvPicPr>
        <xdr:cNvPr id="22" name="Picture 21">
          <a:extLst>
            <a:ext uri="{FF2B5EF4-FFF2-40B4-BE49-F238E27FC236}">
              <a16:creationId xmlns:a16="http://schemas.microsoft.com/office/drawing/2014/main" id="{38158CF6-D168-442C-9B4D-9D01687B9155}"/>
            </a:ext>
          </a:extLst>
        </xdr:cNvPr>
        <xdr:cNvPicPr>
          <a:picLocks noChangeAspect="1"/>
        </xdr:cNvPicPr>
      </xdr:nvPicPr>
      <xdr:blipFill>
        <a:blip xmlns:r="http://schemas.openxmlformats.org/officeDocument/2006/relationships" r:embed="rId3"/>
        <a:stretch>
          <a:fillRect/>
        </a:stretch>
      </xdr:blipFill>
      <xdr:spPr>
        <a:xfrm>
          <a:off x="1250673" y="60806442"/>
          <a:ext cx="4612171" cy="2809647"/>
        </a:xfrm>
        <a:prstGeom prst="rect">
          <a:avLst/>
        </a:prstGeom>
      </xdr:spPr>
    </xdr:pic>
    <xdr:clientData/>
  </xdr:twoCellAnchor>
  <xdr:oneCellAnchor>
    <xdr:from>
      <xdr:col>14</xdr:col>
      <xdr:colOff>95250</xdr:colOff>
      <xdr:row>353</xdr:row>
      <xdr:rowOff>0</xdr:rowOff>
    </xdr:from>
    <xdr:ext cx="65" cy="172227"/>
    <xdr:sp macro="" textlink="">
      <xdr:nvSpPr>
        <xdr:cNvPr id="23" name="TextBox 22">
          <a:extLst>
            <a:ext uri="{FF2B5EF4-FFF2-40B4-BE49-F238E27FC236}">
              <a16:creationId xmlns:a16="http://schemas.microsoft.com/office/drawing/2014/main" id="{7582464E-3F7D-4706-9A81-BB7AF6D8EF59}"/>
            </a:ext>
          </a:extLst>
        </xdr:cNvPr>
        <xdr:cNvSpPr txBox="1"/>
      </xdr:nvSpPr>
      <xdr:spPr>
        <a:xfrm>
          <a:off x="2148840" y="692753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37</xdr:col>
      <xdr:colOff>95250</xdr:colOff>
      <xdr:row>495</xdr:row>
      <xdr:rowOff>0</xdr:rowOff>
    </xdr:from>
    <xdr:ext cx="65" cy="172227"/>
    <xdr:sp macro="" textlink="">
      <xdr:nvSpPr>
        <xdr:cNvPr id="36" name="TextBox 35">
          <a:extLst>
            <a:ext uri="{FF2B5EF4-FFF2-40B4-BE49-F238E27FC236}">
              <a16:creationId xmlns:a16="http://schemas.microsoft.com/office/drawing/2014/main" id="{1B3D4EE3-32E3-4334-BDA9-CBB116FCD018}"/>
            </a:ext>
          </a:extLst>
        </xdr:cNvPr>
        <xdr:cNvSpPr txBox="1"/>
      </xdr:nvSpPr>
      <xdr:spPr>
        <a:xfrm>
          <a:off x="5920740" y="86648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37</xdr:col>
      <xdr:colOff>95250</xdr:colOff>
      <xdr:row>495</xdr:row>
      <xdr:rowOff>0</xdr:rowOff>
    </xdr:from>
    <xdr:ext cx="65" cy="172227"/>
    <xdr:sp macro="" textlink="">
      <xdr:nvSpPr>
        <xdr:cNvPr id="37" name="TextBox 36">
          <a:extLst>
            <a:ext uri="{FF2B5EF4-FFF2-40B4-BE49-F238E27FC236}">
              <a16:creationId xmlns:a16="http://schemas.microsoft.com/office/drawing/2014/main" id="{3C7CBA1D-3396-485C-9D93-CC3B759EF7AB}"/>
            </a:ext>
          </a:extLst>
        </xdr:cNvPr>
        <xdr:cNvSpPr txBox="1"/>
      </xdr:nvSpPr>
      <xdr:spPr>
        <a:xfrm>
          <a:off x="5920740" y="86648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447</xdr:row>
      <xdr:rowOff>0</xdr:rowOff>
    </xdr:from>
    <xdr:ext cx="65" cy="172227"/>
    <xdr:sp macro="" textlink="">
      <xdr:nvSpPr>
        <xdr:cNvPr id="41" name="TextBox 40">
          <a:extLst>
            <a:ext uri="{FF2B5EF4-FFF2-40B4-BE49-F238E27FC236}">
              <a16:creationId xmlns:a16="http://schemas.microsoft.com/office/drawing/2014/main" id="{F2D3A033-D66F-4906-A00F-4148A596F9BB}"/>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448</xdr:row>
      <xdr:rowOff>0</xdr:rowOff>
    </xdr:from>
    <xdr:ext cx="65" cy="172227"/>
    <xdr:sp macro="" textlink="">
      <xdr:nvSpPr>
        <xdr:cNvPr id="42" name="TextBox 41">
          <a:extLst>
            <a:ext uri="{FF2B5EF4-FFF2-40B4-BE49-F238E27FC236}">
              <a16:creationId xmlns:a16="http://schemas.microsoft.com/office/drawing/2014/main" id="{32E79902-BF52-4592-AAA1-63A3CCAF255A}"/>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449</xdr:row>
      <xdr:rowOff>0</xdr:rowOff>
    </xdr:from>
    <xdr:ext cx="65" cy="172227"/>
    <xdr:sp macro="" textlink="">
      <xdr:nvSpPr>
        <xdr:cNvPr id="43" name="TextBox 42">
          <a:extLst>
            <a:ext uri="{FF2B5EF4-FFF2-40B4-BE49-F238E27FC236}">
              <a16:creationId xmlns:a16="http://schemas.microsoft.com/office/drawing/2014/main" id="{F275EC19-03BC-4136-8129-BAFB153F9F19}"/>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450</xdr:row>
      <xdr:rowOff>0</xdr:rowOff>
    </xdr:from>
    <xdr:ext cx="65" cy="172227"/>
    <xdr:sp macro="" textlink="">
      <xdr:nvSpPr>
        <xdr:cNvPr id="44" name="TextBox 43">
          <a:extLst>
            <a:ext uri="{FF2B5EF4-FFF2-40B4-BE49-F238E27FC236}">
              <a16:creationId xmlns:a16="http://schemas.microsoft.com/office/drawing/2014/main" id="{7C9ED960-510F-48A4-915E-DAEE3C5CA443}"/>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451</xdr:row>
      <xdr:rowOff>0</xdr:rowOff>
    </xdr:from>
    <xdr:ext cx="65" cy="172227"/>
    <xdr:sp macro="" textlink="">
      <xdr:nvSpPr>
        <xdr:cNvPr id="45" name="TextBox 44">
          <a:extLst>
            <a:ext uri="{FF2B5EF4-FFF2-40B4-BE49-F238E27FC236}">
              <a16:creationId xmlns:a16="http://schemas.microsoft.com/office/drawing/2014/main" id="{8026917D-62AE-44B0-B0F0-9FD62B9C38ED}"/>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452</xdr:row>
      <xdr:rowOff>0</xdr:rowOff>
    </xdr:from>
    <xdr:ext cx="65" cy="172227"/>
    <xdr:sp macro="" textlink="">
      <xdr:nvSpPr>
        <xdr:cNvPr id="46" name="TextBox 45">
          <a:extLst>
            <a:ext uri="{FF2B5EF4-FFF2-40B4-BE49-F238E27FC236}">
              <a16:creationId xmlns:a16="http://schemas.microsoft.com/office/drawing/2014/main" id="{9124D9AA-AB4D-45FE-B819-1840204C7028}"/>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453</xdr:row>
      <xdr:rowOff>0</xdr:rowOff>
    </xdr:from>
    <xdr:ext cx="65" cy="172227"/>
    <xdr:sp macro="" textlink="">
      <xdr:nvSpPr>
        <xdr:cNvPr id="47" name="TextBox 46">
          <a:extLst>
            <a:ext uri="{FF2B5EF4-FFF2-40B4-BE49-F238E27FC236}">
              <a16:creationId xmlns:a16="http://schemas.microsoft.com/office/drawing/2014/main" id="{03008CA0-7F7E-4786-A5F0-66F5D01DED89}"/>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454</xdr:row>
      <xdr:rowOff>0</xdr:rowOff>
    </xdr:from>
    <xdr:ext cx="65" cy="172227"/>
    <xdr:sp macro="" textlink="">
      <xdr:nvSpPr>
        <xdr:cNvPr id="48" name="TextBox 47">
          <a:extLst>
            <a:ext uri="{FF2B5EF4-FFF2-40B4-BE49-F238E27FC236}">
              <a16:creationId xmlns:a16="http://schemas.microsoft.com/office/drawing/2014/main" id="{B2836298-E5C3-413C-8613-623D3FAA2B02}"/>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455</xdr:row>
      <xdr:rowOff>0</xdr:rowOff>
    </xdr:from>
    <xdr:ext cx="65" cy="172227"/>
    <xdr:sp macro="" textlink="">
      <xdr:nvSpPr>
        <xdr:cNvPr id="49" name="TextBox 48">
          <a:extLst>
            <a:ext uri="{FF2B5EF4-FFF2-40B4-BE49-F238E27FC236}">
              <a16:creationId xmlns:a16="http://schemas.microsoft.com/office/drawing/2014/main" id="{C1F40AE4-1629-47B1-8E09-E7519E2E9537}"/>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461</xdr:row>
      <xdr:rowOff>0</xdr:rowOff>
    </xdr:from>
    <xdr:ext cx="65" cy="172227"/>
    <xdr:sp macro="" textlink="">
      <xdr:nvSpPr>
        <xdr:cNvPr id="50" name="TextBox 49">
          <a:extLst>
            <a:ext uri="{FF2B5EF4-FFF2-40B4-BE49-F238E27FC236}">
              <a16:creationId xmlns:a16="http://schemas.microsoft.com/office/drawing/2014/main" id="{0BA8DAB0-FE70-4889-986D-6AD75D35768D}"/>
            </a:ext>
          </a:extLst>
        </xdr:cNvPr>
        <xdr:cNvSpPr txBox="1"/>
      </xdr:nvSpPr>
      <xdr:spPr>
        <a:xfrm>
          <a:off x="4151061" y="84253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454</xdr:row>
      <xdr:rowOff>0</xdr:rowOff>
    </xdr:from>
    <xdr:ext cx="65" cy="172227"/>
    <xdr:sp macro="" textlink="">
      <xdr:nvSpPr>
        <xdr:cNvPr id="51" name="TextBox 50">
          <a:extLst>
            <a:ext uri="{FF2B5EF4-FFF2-40B4-BE49-F238E27FC236}">
              <a16:creationId xmlns:a16="http://schemas.microsoft.com/office/drawing/2014/main" id="{B0E00584-CAC7-41C8-88D9-48E6582D9354}"/>
            </a:ext>
          </a:extLst>
        </xdr:cNvPr>
        <xdr:cNvSpPr txBox="1"/>
      </xdr:nvSpPr>
      <xdr:spPr>
        <a:xfrm>
          <a:off x="4151061" y="8573156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455</xdr:row>
      <xdr:rowOff>0</xdr:rowOff>
    </xdr:from>
    <xdr:ext cx="65" cy="172227"/>
    <xdr:sp macro="" textlink="">
      <xdr:nvSpPr>
        <xdr:cNvPr id="52" name="TextBox 51">
          <a:extLst>
            <a:ext uri="{FF2B5EF4-FFF2-40B4-BE49-F238E27FC236}">
              <a16:creationId xmlns:a16="http://schemas.microsoft.com/office/drawing/2014/main" id="{DB9E25EF-3722-4318-A749-949500FA7C5D}"/>
            </a:ext>
          </a:extLst>
        </xdr:cNvPr>
        <xdr:cNvSpPr txBox="1"/>
      </xdr:nvSpPr>
      <xdr:spPr>
        <a:xfrm>
          <a:off x="4151061" y="8589579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455</xdr:row>
      <xdr:rowOff>0</xdr:rowOff>
    </xdr:from>
    <xdr:ext cx="65" cy="172227"/>
    <xdr:sp macro="" textlink="">
      <xdr:nvSpPr>
        <xdr:cNvPr id="53" name="TextBox 52">
          <a:extLst>
            <a:ext uri="{FF2B5EF4-FFF2-40B4-BE49-F238E27FC236}">
              <a16:creationId xmlns:a16="http://schemas.microsoft.com/office/drawing/2014/main" id="{3978D94D-5351-4F28-B8B7-7DA2E01BE937}"/>
            </a:ext>
          </a:extLst>
        </xdr:cNvPr>
        <xdr:cNvSpPr txBox="1"/>
      </xdr:nvSpPr>
      <xdr:spPr>
        <a:xfrm>
          <a:off x="4151061" y="8573156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461</xdr:row>
      <xdr:rowOff>0</xdr:rowOff>
    </xdr:from>
    <xdr:ext cx="65" cy="172227"/>
    <xdr:sp macro="" textlink="">
      <xdr:nvSpPr>
        <xdr:cNvPr id="54" name="TextBox 53">
          <a:extLst>
            <a:ext uri="{FF2B5EF4-FFF2-40B4-BE49-F238E27FC236}">
              <a16:creationId xmlns:a16="http://schemas.microsoft.com/office/drawing/2014/main" id="{46B351ED-D90E-4D9D-98D9-BC3FCE065CCB}"/>
            </a:ext>
          </a:extLst>
        </xdr:cNvPr>
        <xdr:cNvSpPr txBox="1"/>
      </xdr:nvSpPr>
      <xdr:spPr>
        <a:xfrm>
          <a:off x="4151061" y="8589579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461</xdr:row>
      <xdr:rowOff>0</xdr:rowOff>
    </xdr:from>
    <xdr:ext cx="65" cy="172227"/>
    <xdr:sp macro="" textlink="">
      <xdr:nvSpPr>
        <xdr:cNvPr id="55" name="TextBox 54">
          <a:extLst>
            <a:ext uri="{FF2B5EF4-FFF2-40B4-BE49-F238E27FC236}">
              <a16:creationId xmlns:a16="http://schemas.microsoft.com/office/drawing/2014/main" id="{808B00BE-4995-4571-8A62-98ED06AB7775}"/>
            </a:ext>
          </a:extLst>
        </xdr:cNvPr>
        <xdr:cNvSpPr txBox="1"/>
      </xdr:nvSpPr>
      <xdr:spPr>
        <a:xfrm>
          <a:off x="4151061" y="8589579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461</xdr:row>
      <xdr:rowOff>0</xdr:rowOff>
    </xdr:from>
    <xdr:ext cx="65" cy="172227"/>
    <xdr:sp macro="" textlink="">
      <xdr:nvSpPr>
        <xdr:cNvPr id="56" name="TextBox 55">
          <a:extLst>
            <a:ext uri="{FF2B5EF4-FFF2-40B4-BE49-F238E27FC236}">
              <a16:creationId xmlns:a16="http://schemas.microsoft.com/office/drawing/2014/main" id="{BF5923F6-A657-4A6E-A57B-D784F1747B9D}"/>
            </a:ext>
          </a:extLst>
        </xdr:cNvPr>
        <xdr:cNvSpPr txBox="1"/>
      </xdr:nvSpPr>
      <xdr:spPr>
        <a:xfrm>
          <a:off x="4151061" y="8573156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462</xdr:row>
      <xdr:rowOff>0</xdr:rowOff>
    </xdr:from>
    <xdr:ext cx="65" cy="172227"/>
    <xdr:sp macro="" textlink="">
      <xdr:nvSpPr>
        <xdr:cNvPr id="57" name="TextBox 56">
          <a:extLst>
            <a:ext uri="{FF2B5EF4-FFF2-40B4-BE49-F238E27FC236}">
              <a16:creationId xmlns:a16="http://schemas.microsoft.com/office/drawing/2014/main" id="{5417567E-6DD2-40E2-B1B0-654ABB11903F}"/>
            </a:ext>
          </a:extLst>
        </xdr:cNvPr>
        <xdr:cNvSpPr txBox="1"/>
      </xdr:nvSpPr>
      <xdr:spPr>
        <a:xfrm>
          <a:off x="4151061" y="8589579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462</xdr:row>
      <xdr:rowOff>0</xdr:rowOff>
    </xdr:from>
    <xdr:ext cx="65" cy="172227"/>
    <xdr:sp macro="" textlink="">
      <xdr:nvSpPr>
        <xdr:cNvPr id="58" name="TextBox 57">
          <a:extLst>
            <a:ext uri="{FF2B5EF4-FFF2-40B4-BE49-F238E27FC236}">
              <a16:creationId xmlns:a16="http://schemas.microsoft.com/office/drawing/2014/main" id="{C03BD64C-AD59-49F8-923A-2E2B67B23A88}"/>
            </a:ext>
          </a:extLst>
        </xdr:cNvPr>
        <xdr:cNvSpPr txBox="1"/>
      </xdr:nvSpPr>
      <xdr:spPr>
        <a:xfrm>
          <a:off x="4151061" y="8589579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editAs="oneCell">
    <xdr:from>
      <xdr:col>8</xdr:col>
      <xdr:colOff>48363</xdr:colOff>
      <xdr:row>490</xdr:row>
      <xdr:rowOff>139835</xdr:rowOff>
    </xdr:from>
    <xdr:to>
      <xdr:col>47</xdr:col>
      <xdr:colOff>97160</xdr:colOff>
      <xdr:row>504</xdr:row>
      <xdr:rowOff>124990</xdr:rowOff>
    </xdr:to>
    <xdr:pic>
      <xdr:nvPicPr>
        <xdr:cNvPr id="59" name="Picture 58">
          <a:extLst>
            <a:ext uri="{FF2B5EF4-FFF2-40B4-BE49-F238E27FC236}">
              <a16:creationId xmlns:a16="http://schemas.microsoft.com/office/drawing/2014/main" id="{60FB4F37-5726-4DF1-B95B-8B36F3A6FFBD}"/>
            </a:ext>
          </a:extLst>
        </xdr:cNvPr>
        <xdr:cNvPicPr>
          <a:picLocks noChangeAspect="1"/>
        </xdr:cNvPicPr>
      </xdr:nvPicPr>
      <xdr:blipFill>
        <a:blip xmlns:r="http://schemas.openxmlformats.org/officeDocument/2006/relationships" r:embed="rId4"/>
        <a:stretch>
          <a:fillRect/>
        </a:stretch>
      </xdr:blipFill>
      <xdr:spPr>
        <a:xfrm>
          <a:off x="1075406" y="88883018"/>
          <a:ext cx="4704121" cy="2205804"/>
        </a:xfrm>
        <a:prstGeom prst="rect">
          <a:avLst/>
        </a:prstGeom>
      </xdr:spPr>
    </xdr:pic>
    <xdr:clientData/>
  </xdr:twoCellAnchor>
  <xdr:twoCellAnchor editAs="oneCell">
    <xdr:from>
      <xdr:col>10</xdr:col>
      <xdr:colOff>17503</xdr:colOff>
      <xdr:row>116</xdr:row>
      <xdr:rowOff>36050</xdr:rowOff>
    </xdr:from>
    <xdr:to>
      <xdr:col>17</xdr:col>
      <xdr:colOff>97756</xdr:colOff>
      <xdr:row>125</xdr:row>
      <xdr:rowOff>8832</xdr:rowOff>
    </xdr:to>
    <xdr:pic>
      <xdr:nvPicPr>
        <xdr:cNvPr id="129" name="MatTemplate">
          <a:extLst>
            <a:ext uri="{FF2B5EF4-FFF2-40B4-BE49-F238E27FC236}">
              <a16:creationId xmlns:a16="http://schemas.microsoft.com/office/drawing/2014/main" id="{EEA9EC41-39A1-7CB9-E9DE-C3104E673BA8}"/>
            </a:ext>
          </a:extLst>
        </xdr:cNvPr>
        <xdr:cNvPicPr>
          <a:picLocks noChangeAspect="1"/>
        </xdr:cNvPicPr>
      </xdr:nvPicPr>
      <xdr:blipFill>
        <a:blip xmlns:r="http://schemas.openxmlformats.org/officeDocument/2006/relationships" r:embed="rId5"/>
        <a:stretch>
          <a:fillRect/>
        </a:stretch>
      </xdr:blipFill>
      <xdr:spPr>
        <a:xfrm>
          <a:off x="1305283" y="18605990"/>
          <a:ext cx="933693" cy="1412962"/>
        </a:xfrm>
        <a:prstGeom prst="rect">
          <a:avLst/>
        </a:prstGeom>
      </xdr:spPr>
    </xdr:pic>
    <xdr:clientData/>
  </xdr:twoCellAnchor>
  <xdr:twoCellAnchor editAs="oneCell">
    <xdr:from>
      <xdr:col>19</xdr:col>
      <xdr:colOff>107576</xdr:colOff>
      <xdr:row>89</xdr:row>
      <xdr:rowOff>26895</xdr:rowOff>
    </xdr:from>
    <xdr:to>
      <xdr:col>35</xdr:col>
      <xdr:colOff>26894</xdr:colOff>
      <xdr:row>106</xdr:row>
      <xdr:rowOff>144220</xdr:rowOff>
    </xdr:to>
    <xdr:pic>
      <xdr:nvPicPr>
        <xdr:cNvPr id="168" name="Picture 167">
          <a:extLst>
            <a:ext uri="{FF2B5EF4-FFF2-40B4-BE49-F238E27FC236}">
              <a16:creationId xmlns:a16="http://schemas.microsoft.com/office/drawing/2014/main" id="{E62B3582-A448-2318-DDC9-F9F91F94E2CB}"/>
            </a:ext>
          </a:extLst>
        </xdr:cNvPr>
        <xdr:cNvPicPr>
          <a:picLocks noChangeAspect="1"/>
        </xdr:cNvPicPr>
      </xdr:nvPicPr>
      <xdr:blipFill>
        <a:blip xmlns:r="http://schemas.openxmlformats.org/officeDocument/2006/relationships" r:embed="rId5"/>
        <a:stretch>
          <a:fillRect/>
        </a:stretch>
      </xdr:blipFill>
      <xdr:spPr>
        <a:xfrm>
          <a:off x="2554941" y="14397319"/>
          <a:ext cx="1927412" cy="2860525"/>
        </a:xfrm>
        <a:prstGeom prst="rect">
          <a:avLst/>
        </a:prstGeom>
      </xdr:spPr>
    </xdr:pic>
    <xdr:clientData/>
  </xdr:twoCellAnchor>
  <xdr:twoCellAnchor>
    <xdr:from>
      <xdr:col>21</xdr:col>
      <xdr:colOff>91440</xdr:colOff>
      <xdr:row>88</xdr:row>
      <xdr:rowOff>99060</xdr:rowOff>
    </xdr:from>
    <xdr:to>
      <xdr:col>34</xdr:col>
      <xdr:colOff>0</xdr:colOff>
      <xdr:row>88</xdr:row>
      <xdr:rowOff>99060</xdr:rowOff>
    </xdr:to>
    <xdr:cxnSp macro="">
      <xdr:nvCxnSpPr>
        <xdr:cNvPr id="171" name="Straight Arrow Connector 170">
          <a:extLst>
            <a:ext uri="{FF2B5EF4-FFF2-40B4-BE49-F238E27FC236}">
              <a16:creationId xmlns:a16="http://schemas.microsoft.com/office/drawing/2014/main" id="{83AD1A80-8485-C7CB-D838-DDEA4B64B552}"/>
            </a:ext>
          </a:extLst>
        </xdr:cNvPr>
        <xdr:cNvCxnSpPr/>
      </xdr:nvCxnSpPr>
      <xdr:spPr>
        <a:xfrm>
          <a:off x="2720340" y="14188440"/>
          <a:ext cx="1493520" cy="0"/>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xdr:col>
      <xdr:colOff>53340</xdr:colOff>
      <xdr:row>86</xdr:row>
      <xdr:rowOff>137160</xdr:rowOff>
    </xdr:from>
    <xdr:to>
      <xdr:col>31</xdr:col>
      <xdr:colOff>0</xdr:colOff>
      <xdr:row>88</xdr:row>
      <xdr:rowOff>60960</xdr:rowOff>
    </xdr:to>
    <xdr:sp macro="" textlink="">
      <xdr:nvSpPr>
        <xdr:cNvPr id="173" name="TextBox 172">
          <a:extLst>
            <a:ext uri="{FF2B5EF4-FFF2-40B4-BE49-F238E27FC236}">
              <a16:creationId xmlns:a16="http://schemas.microsoft.com/office/drawing/2014/main" id="{0EC746E7-116B-1FA0-1174-54326FCD1E8A}"/>
            </a:ext>
          </a:extLst>
        </xdr:cNvPr>
        <xdr:cNvSpPr txBox="1"/>
      </xdr:nvSpPr>
      <xdr:spPr>
        <a:xfrm>
          <a:off x="3048000" y="13906500"/>
          <a:ext cx="800100" cy="243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latin typeface="Calibri Light" panose="020F0302020204030204" pitchFamily="34" charset="0"/>
              <a:ea typeface="Calibri Light" panose="020F0302020204030204" pitchFamily="34" charset="0"/>
              <a:cs typeface="Calibri Light" panose="020F0302020204030204" pitchFamily="34" charset="0"/>
            </a:rPr>
            <a:t>1870mm</a:t>
          </a:r>
        </a:p>
      </xdr:txBody>
    </xdr:sp>
    <xdr:clientData/>
  </xdr:twoCellAnchor>
  <xdr:twoCellAnchor>
    <xdr:from>
      <xdr:col>17</xdr:col>
      <xdr:colOff>114300</xdr:colOff>
      <xdr:row>90</xdr:row>
      <xdr:rowOff>68580</xdr:rowOff>
    </xdr:from>
    <xdr:to>
      <xdr:col>18</xdr:col>
      <xdr:colOff>0</xdr:colOff>
      <xdr:row>105</xdr:row>
      <xdr:rowOff>144780</xdr:rowOff>
    </xdr:to>
    <xdr:cxnSp macro="">
      <xdr:nvCxnSpPr>
        <xdr:cNvPr id="175" name="Straight Arrow Connector 174">
          <a:extLst>
            <a:ext uri="{FF2B5EF4-FFF2-40B4-BE49-F238E27FC236}">
              <a16:creationId xmlns:a16="http://schemas.microsoft.com/office/drawing/2014/main" id="{9E6F3E6F-2103-4202-A011-2C90EBC4BF4E}"/>
            </a:ext>
          </a:extLst>
        </xdr:cNvPr>
        <xdr:cNvCxnSpPr/>
      </xdr:nvCxnSpPr>
      <xdr:spPr>
        <a:xfrm>
          <a:off x="2255520" y="14478000"/>
          <a:ext cx="7620" cy="2476500"/>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34290</xdr:colOff>
      <xdr:row>95</xdr:row>
      <xdr:rowOff>41910</xdr:rowOff>
    </xdr:from>
    <xdr:to>
      <xdr:col>17</xdr:col>
      <xdr:colOff>34290</xdr:colOff>
      <xdr:row>100</xdr:row>
      <xdr:rowOff>41910</xdr:rowOff>
    </xdr:to>
    <xdr:sp macro="" textlink="">
      <xdr:nvSpPr>
        <xdr:cNvPr id="177" name="TextBox 176">
          <a:extLst>
            <a:ext uri="{FF2B5EF4-FFF2-40B4-BE49-F238E27FC236}">
              <a16:creationId xmlns:a16="http://schemas.microsoft.com/office/drawing/2014/main" id="{DC46F580-1F00-4608-8EA9-70975893471E}"/>
            </a:ext>
          </a:extLst>
        </xdr:cNvPr>
        <xdr:cNvSpPr txBox="1"/>
      </xdr:nvSpPr>
      <xdr:spPr>
        <a:xfrm rot="16200000">
          <a:off x="1653540" y="15529560"/>
          <a:ext cx="800100" cy="243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latin typeface="Calibri Light" panose="020F0302020204030204" pitchFamily="34" charset="0"/>
              <a:ea typeface="Calibri Light" panose="020F0302020204030204" pitchFamily="34" charset="0"/>
              <a:cs typeface="Calibri Light" panose="020F0302020204030204" pitchFamily="34" charset="0"/>
            </a:rPr>
            <a:t>2810mm</a:t>
          </a:r>
        </a:p>
      </xdr:txBody>
    </xdr:sp>
    <xdr:clientData/>
  </xdr:twoCellAnchor>
  <xdr:twoCellAnchor>
    <xdr:from>
      <xdr:col>37</xdr:col>
      <xdr:colOff>76200</xdr:colOff>
      <xdr:row>94</xdr:row>
      <xdr:rowOff>152400</xdr:rowOff>
    </xdr:from>
    <xdr:to>
      <xdr:col>45</xdr:col>
      <xdr:colOff>58616</xdr:colOff>
      <xdr:row>97</xdr:row>
      <xdr:rowOff>105507</xdr:rowOff>
    </xdr:to>
    <xdr:sp macro="" textlink="">
      <xdr:nvSpPr>
        <xdr:cNvPr id="178" name="TextBox 177">
          <a:extLst>
            <a:ext uri="{FF2B5EF4-FFF2-40B4-BE49-F238E27FC236}">
              <a16:creationId xmlns:a16="http://schemas.microsoft.com/office/drawing/2014/main" id="{66447D23-4935-481F-B6BC-5B100EC55C76}"/>
            </a:ext>
          </a:extLst>
        </xdr:cNvPr>
        <xdr:cNvSpPr txBox="1"/>
      </xdr:nvSpPr>
      <xdr:spPr>
        <a:xfrm>
          <a:off x="4700954" y="15040708"/>
          <a:ext cx="967154" cy="42789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latin typeface="Calibri Light" panose="020F0302020204030204" pitchFamily="34" charset="0"/>
              <a:ea typeface="Calibri Light" panose="020F0302020204030204" pitchFamily="34" charset="0"/>
              <a:cs typeface="Calibri Light" panose="020F0302020204030204" pitchFamily="34" charset="0"/>
            </a:rPr>
            <a:t>Surface Area</a:t>
          </a:r>
          <a:r>
            <a:rPr lang="en-GB" sz="900" baseline="0">
              <a:latin typeface="Calibri Light" panose="020F0302020204030204" pitchFamily="34" charset="0"/>
              <a:ea typeface="Calibri Light" panose="020F0302020204030204" pitchFamily="34" charset="0"/>
              <a:cs typeface="Calibri Light" panose="020F0302020204030204" pitchFamily="34" charset="0"/>
            </a:rPr>
            <a:t> = 5.25m²</a:t>
          </a:r>
          <a:endParaRPr lang="en-GB" sz="900">
            <a:latin typeface="Calibri Light" panose="020F0302020204030204" pitchFamily="34" charset="0"/>
            <a:ea typeface="Calibri Light" panose="020F0302020204030204" pitchFamily="34" charset="0"/>
            <a:cs typeface="Calibri Light" panose="020F0302020204030204" pitchFamily="34" charset="0"/>
          </a:endParaRPr>
        </a:p>
      </xdr:txBody>
    </xdr:sp>
    <xdr:clientData/>
  </xdr:twoCellAnchor>
  <xdr:twoCellAnchor>
    <xdr:from>
      <xdr:col>17</xdr:col>
      <xdr:colOff>9111</xdr:colOff>
      <xdr:row>181</xdr:row>
      <xdr:rowOff>100427</xdr:rowOff>
    </xdr:from>
    <xdr:to>
      <xdr:col>17</xdr:col>
      <xdr:colOff>42242</xdr:colOff>
      <xdr:row>182</xdr:row>
      <xdr:rowOff>40792</xdr:rowOff>
    </xdr:to>
    <xdr:cxnSp macro="">
      <xdr:nvCxnSpPr>
        <xdr:cNvPr id="60" name="Straight Connector 59">
          <a:extLst>
            <a:ext uri="{FF2B5EF4-FFF2-40B4-BE49-F238E27FC236}">
              <a16:creationId xmlns:a16="http://schemas.microsoft.com/office/drawing/2014/main" id="{FBD93D56-0200-A084-A8CF-8CC17E4B568D}"/>
            </a:ext>
          </a:extLst>
        </xdr:cNvPr>
        <xdr:cNvCxnSpPr/>
      </xdr:nvCxnSpPr>
      <xdr:spPr>
        <a:xfrm flipV="1">
          <a:off x="2180811" y="29413615"/>
          <a:ext cx="33131" cy="10229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39964</xdr:colOff>
      <xdr:row>181</xdr:row>
      <xdr:rowOff>101255</xdr:rowOff>
    </xdr:from>
    <xdr:to>
      <xdr:col>17</xdr:col>
      <xdr:colOff>92973</xdr:colOff>
      <xdr:row>183</xdr:row>
      <xdr:rowOff>0</xdr:rowOff>
    </xdr:to>
    <xdr:cxnSp macro="">
      <xdr:nvCxnSpPr>
        <xdr:cNvPr id="62" name="Straight Connector 61">
          <a:extLst>
            <a:ext uri="{FF2B5EF4-FFF2-40B4-BE49-F238E27FC236}">
              <a16:creationId xmlns:a16="http://schemas.microsoft.com/office/drawing/2014/main" id="{35E8C776-C483-4AF5-8E9A-852364D0E92E}"/>
            </a:ext>
          </a:extLst>
        </xdr:cNvPr>
        <xdr:cNvCxnSpPr/>
      </xdr:nvCxnSpPr>
      <xdr:spPr>
        <a:xfrm>
          <a:off x="2211664" y="29414443"/>
          <a:ext cx="53009" cy="25758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91109</xdr:colOff>
      <xdr:row>180</xdr:row>
      <xdr:rowOff>86140</xdr:rowOff>
    </xdr:from>
    <xdr:to>
      <xdr:col>18</xdr:col>
      <xdr:colOff>51353</xdr:colOff>
      <xdr:row>183</xdr:row>
      <xdr:rowOff>0</xdr:rowOff>
    </xdr:to>
    <xdr:cxnSp macro="">
      <xdr:nvCxnSpPr>
        <xdr:cNvPr id="132" name="Straight Connector 131">
          <a:extLst>
            <a:ext uri="{FF2B5EF4-FFF2-40B4-BE49-F238E27FC236}">
              <a16:creationId xmlns:a16="http://schemas.microsoft.com/office/drawing/2014/main" id="{D63F515F-805D-41C7-AD58-B52E65429F8B}"/>
            </a:ext>
          </a:extLst>
        </xdr:cNvPr>
        <xdr:cNvCxnSpPr/>
      </xdr:nvCxnSpPr>
      <xdr:spPr>
        <a:xfrm flipH="1">
          <a:off x="2262809" y="29237403"/>
          <a:ext cx="84069" cy="41951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56238</xdr:colOff>
      <xdr:row>180</xdr:row>
      <xdr:rowOff>90946</xdr:rowOff>
    </xdr:from>
    <xdr:to>
      <xdr:col>23</xdr:col>
      <xdr:colOff>36567</xdr:colOff>
      <xdr:row>180</xdr:row>
      <xdr:rowOff>94879</xdr:rowOff>
    </xdr:to>
    <xdr:cxnSp macro="">
      <xdr:nvCxnSpPr>
        <xdr:cNvPr id="141" name="Straight Connector 140">
          <a:extLst>
            <a:ext uri="{FF2B5EF4-FFF2-40B4-BE49-F238E27FC236}">
              <a16:creationId xmlns:a16="http://schemas.microsoft.com/office/drawing/2014/main" id="{922288D1-F237-4B29-A1AC-581D82AD621D}"/>
            </a:ext>
          </a:extLst>
        </xdr:cNvPr>
        <xdr:cNvCxnSpPr/>
      </xdr:nvCxnSpPr>
      <xdr:spPr>
        <a:xfrm flipH="1" flipV="1">
          <a:off x="2331087" y="28868526"/>
          <a:ext cx="593646" cy="393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74054</xdr:colOff>
      <xdr:row>181</xdr:row>
      <xdr:rowOff>120055</xdr:rowOff>
    </xdr:from>
    <xdr:to>
      <xdr:col>24</xdr:col>
      <xdr:colOff>6747</xdr:colOff>
      <xdr:row>183</xdr:row>
      <xdr:rowOff>0</xdr:rowOff>
    </xdr:to>
    <xdr:cxnSp macro="">
      <xdr:nvCxnSpPr>
        <xdr:cNvPr id="143" name="Straight Connector 142">
          <a:extLst>
            <a:ext uri="{FF2B5EF4-FFF2-40B4-BE49-F238E27FC236}">
              <a16:creationId xmlns:a16="http://schemas.microsoft.com/office/drawing/2014/main" id="{A8C74BFB-20FE-4C87-95D0-5D4C713CA799}"/>
            </a:ext>
          </a:extLst>
        </xdr:cNvPr>
        <xdr:cNvCxnSpPr/>
      </xdr:nvCxnSpPr>
      <xdr:spPr>
        <a:xfrm>
          <a:off x="3154138" y="29164287"/>
          <a:ext cx="53009" cy="2545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10138</xdr:colOff>
      <xdr:row>180</xdr:row>
      <xdr:rowOff>110195</xdr:rowOff>
    </xdr:from>
    <xdr:to>
      <xdr:col>24</xdr:col>
      <xdr:colOff>90698</xdr:colOff>
      <xdr:row>183</xdr:row>
      <xdr:rowOff>5255</xdr:rowOff>
    </xdr:to>
    <xdr:cxnSp macro="">
      <xdr:nvCxnSpPr>
        <xdr:cNvPr id="144" name="Straight Connector 143">
          <a:extLst>
            <a:ext uri="{FF2B5EF4-FFF2-40B4-BE49-F238E27FC236}">
              <a16:creationId xmlns:a16="http://schemas.microsoft.com/office/drawing/2014/main" id="{6EFD0E82-5312-4D83-87B7-0BE1BFD03C1B}"/>
            </a:ext>
          </a:extLst>
        </xdr:cNvPr>
        <xdr:cNvCxnSpPr/>
      </xdr:nvCxnSpPr>
      <xdr:spPr>
        <a:xfrm flipH="1">
          <a:off x="2979310" y="28498636"/>
          <a:ext cx="80560" cy="3680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87591</xdr:colOff>
      <xdr:row>180</xdr:row>
      <xdr:rowOff>131138</xdr:rowOff>
    </xdr:from>
    <xdr:to>
      <xdr:col>29</xdr:col>
      <xdr:colOff>67920</xdr:colOff>
      <xdr:row>180</xdr:row>
      <xdr:rowOff>135071</xdr:rowOff>
    </xdr:to>
    <xdr:cxnSp macro="">
      <xdr:nvCxnSpPr>
        <xdr:cNvPr id="145" name="Straight Connector 144">
          <a:extLst>
            <a:ext uri="{FF2B5EF4-FFF2-40B4-BE49-F238E27FC236}">
              <a16:creationId xmlns:a16="http://schemas.microsoft.com/office/drawing/2014/main" id="{76705E8E-BD4E-4185-A614-3E0D62417314}"/>
            </a:ext>
          </a:extLst>
        </xdr:cNvPr>
        <xdr:cNvCxnSpPr/>
      </xdr:nvCxnSpPr>
      <xdr:spPr>
        <a:xfrm flipH="1" flipV="1">
          <a:off x="3056763" y="28519579"/>
          <a:ext cx="584674" cy="393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31169</xdr:colOff>
      <xdr:row>181</xdr:row>
      <xdr:rowOff>124741</xdr:rowOff>
    </xdr:from>
    <xdr:to>
      <xdr:col>23</xdr:col>
      <xdr:colOff>64300</xdr:colOff>
      <xdr:row>182</xdr:row>
      <xdr:rowOff>65106</xdr:rowOff>
    </xdr:to>
    <xdr:cxnSp macro="">
      <xdr:nvCxnSpPr>
        <xdr:cNvPr id="146" name="Straight Connector 145">
          <a:extLst>
            <a:ext uri="{FF2B5EF4-FFF2-40B4-BE49-F238E27FC236}">
              <a16:creationId xmlns:a16="http://schemas.microsoft.com/office/drawing/2014/main" id="{E1F67DE7-3957-4306-A1C5-16A863BE96F7}"/>
            </a:ext>
          </a:extLst>
        </xdr:cNvPr>
        <xdr:cNvCxnSpPr/>
      </xdr:nvCxnSpPr>
      <xdr:spPr>
        <a:xfrm flipV="1">
          <a:off x="3111253" y="29168973"/>
          <a:ext cx="33131" cy="1007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17</xdr:col>
      <xdr:colOff>46956</xdr:colOff>
      <xdr:row>116</xdr:row>
      <xdr:rowOff>36050</xdr:rowOff>
    </xdr:from>
    <xdr:to>
      <xdr:col>25</xdr:col>
      <xdr:colOff>3112</xdr:colOff>
      <xdr:row>125</xdr:row>
      <xdr:rowOff>8831</xdr:rowOff>
    </xdr:to>
    <xdr:pic>
      <xdr:nvPicPr>
        <xdr:cNvPr id="147" name="dynMat2">
          <a:extLst>
            <a:ext uri="{FF2B5EF4-FFF2-40B4-BE49-F238E27FC236}">
              <a16:creationId xmlns:a16="http://schemas.microsoft.com/office/drawing/2014/main" id="{475A86FA-0150-B725-6D22-A5936449A2CF}"/>
            </a:ext>
          </a:extLst>
        </xdr:cNvPr>
        <xdr:cNvPicPr>
          <a:picLocks noChangeAspect="1"/>
        </xdr:cNvPicPr>
      </xdr:nvPicPr>
      <xdr:blipFill>
        <a:blip xmlns:r="http://schemas.openxmlformats.org/officeDocument/2006/relationships" r:embed="rId5"/>
        <a:stretch>
          <a:fillRect/>
        </a:stretch>
      </xdr:blipFill>
      <xdr:spPr>
        <a:xfrm>
          <a:off x="2188176" y="18605990"/>
          <a:ext cx="931516" cy="1412961"/>
        </a:xfrm>
        <a:prstGeom prst="rect">
          <a:avLst/>
        </a:prstGeom>
      </xdr:spPr>
    </xdr:pic>
    <xdr:clientData/>
  </xdr:twoCellAnchor>
  <xdr:twoCellAnchor editAs="oneCell">
    <xdr:from>
      <xdr:col>24</xdr:col>
      <xdr:colOff>76409</xdr:colOff>
      <xdr:row>116</xdr:row>
      <xdr:rowOff>36050</xdr:rowOff>
    </xdr:from>
    <xdr:to>
      <xdr:col>32</xdr:col>
      <xdr:colOff>32565</xdr:colOff>
      <xdr:row>125</xdr:row>
      <xdr:rowOff>8831</xdr:rowOff>
    </xdr:to>
    <xdr:pic>
      <xdr:nvPicPr>
        <xdr:cNvPr id="148" name="dynMat3">
          <a:extLst>
            <a:ext uri="{FF2B5EF4-FFF2-40B4-BE49-F238E27FC236}">
              <a16:creationId xmlns:a16="http://schemas.microsoft.com/office/drawing/2014/main" id="{25E9A83B-4D85-C271-D0F9-80F3FBC10BCD}"/>
            </a:ext>
          </a:extLst>
        </xdr:cNvPr>
        <xdr:cNvPicPr>
          <a:picLocks noChangeAspect="1"/>
        </xdr:cNvPicPr>
      </xdr:nvPicPr>
      <xdr:blipFill>
        <a:blip xmlns:r="http://schemas.openxmlformats.org/officeDocument/2006/relationships" r:embed="rId5"/>
        <a:stretch>
          <a:fillRect/>
        </a:stretch>
      </xdr:blipFill>
      <xdr:spPr>
        <a:xfrm>
          <a:off x="3071069" y="18605990"/>
          <a:ext cx="931516" cy="1412961"/>
        </a:xfrm>
        <a:prstGeom prst="rect">
          <a:avLst/>
        </a:prstGeom>
      </xdr:spPr>
    </xdr:pic>
    <xdr:clientData/>
  </xdr:twoCellAnchor>
  <xdr:twoCellAnchor editAs="oneCell">
    <xdr:from>
      <xdr:col>31</xdr:col>
      <xdr:colOff>105862</xdr:colOff>
      <xdr:row>116</xdr:row>
      <xdr:rowOff>36050</xdr:rowOff>
    </xdr:from>
    <xdr:to>
      <xdr:col>39</xdr:col>
      <xdr:colOff>62018</xdr:colOff>
      <xdr:row>125</xdr:row>
      <xdr:rowOff>8831</xdr:rowOff>
    </xdr:to>
    <xdr:pic>
      <xdr:nvPicPr>
        <xdr:cNvPr id="149" name="dynMat4" hidden="1">
          <a:extLst>
            <a:ext uri="{FF2B5EF4-FFF2-40B4-BE49-F238E27FC236}">
              <a16:creationId xmlns:a16="http://schemas.microsoft.com/office/drawing/2014/main" id="{5EC6F16E-2D66-E04D-FFA4-851C26B1B523}"/>
            </a:ext>
          </a:extLst>
        </xdr:cNvPr>
        <xdr:cNvPicPr>
          <a:picLocks noChangeAspect="1"/>
        </xdr:cNvPicPr>
      </xdr:nvPicPr>
      <xdr:blipFill>
        <a:blip xmlns:r="http://schemas.openxmlformats.org/officeDocument/2006/relationships" r:embed="rId5"/>
        <a:stretch>
          <a:fillRect/>
        </a:stretch>
      </xdr:blipFill>
      <xdr:spPr>
        <a:xfrm>
          <a:off x="3953962" y="18605990"/>
          <a:ext cx="931516" cy="1412961"/>
        </a:xfrm>
        <a:prstGeom prst="rect">
          <a:avLst/>
        </a:prstGeom>
      </xdr:spPr>
    </xdr:pic>
    <xdr:clientData/>
  </xdr:twoCellAnchor>
  <xdr:twoCellAnchor editAs="oneCell">
    <xdr:from>
      <xdr:col>31</xdr:col>
      <xdr:colOff>105862</xdr:colOff>
      <xdr:row>116</xdr:row>
      <xdr:rowOff>36050</xdr:rowOff>
    </xdr:from>
    <xdr:to>
      <xdr:col>39</xdr:col>
      <xdr:colOff>62018</xdr:colOff>
      <xdr:row>125</xdr:row>
      <xdr:rowOff>8831</xdr:rowOff>
    </xdr:to>
    <xdr:pic>
      <xdr:nvPicPr>
        <xdr:cNvPr id="150" name="dynMat5" hidden="1">
          <a:extLst>
            <a:ext uri="{FF2B5EF4-FFF2-40B4-BE49-F238E27FC236}">
              <a16:creationId xmlns:a16="http://schemas.microsoft.com/office/drawing/2014/main" id="{5831AC4F-18BE-6FFA-31CB-7DD39225C399}"/>
            </a:ext>
          </a:extLst>
        </xdr:cNvPr>
        <xdr:cNvPicPr>
          <a:picLocks noChangeAspect="1"/>
        </xdr:cNvPicPr>
      </xdr:nvPicPr>
      <xdr:blipFill>
        <a:blip xmlns:r="http://schemas.openxmlformats.org/officeDocument/2006/relationships" r:embed="rId5"/>
        <a:stretch>
          <a:fillRect/>
        </a:stretch>
      </xdr:blipFill>
      <xdr:spPr>
        <a:xfrm>
          <a:off x="3953962" y="18605990"/>
          <a:ext cx="931516" cy="1412961"/>
        </a:xfrm>
        <a:prstGeom prst="rect">
          <a:avLst/>
        </a:prstGeom>
      </xdr:spPr>
    </xdr:pic>
    <xdr:clientData/>
  </xdr:twoCellAnchor>
  <xdr:twoCellAnchor editAs="oneCell">
    <xdr:from>
      <xdr:col>10</xdr:col>
      <xdr:colOff>17503</xdr:colOff>
      <xdr:row>114</xdr:row>
      <xdr:rowOff>127490</xdr:rowOff>
    </xdr:from>
    <xdr:to>
      <xdr:col>32</xdr:col>
      <xdr:colOff>32565</xdr:colOff>
      <xdr:row>114</xdr:row>
      <xdr:rowOff>127490</xdr:rowOff>
    </xdr:to>
    <xdr:cxnSp macro="">
      <xdr:nvCxnSpPr>
        <xdr:cNvPr id="24" name="RowDimLine">
          <a:extLst>
            <a:ext uri="{FF2B5EF4-FFF2-40B4-BE49-F238E27FC236}">
              <a16:creationId xmlns:a16="http://schemas.microsoft.com/office/drawing/2014/main" id="{BC322F05-CF4F-DA76-2090-164704AA6F9E}"/>
            </a:ext>
          </a:extLst>
        </xdr:cNvPr>
        <xdr:cNvCxnSpPr/>
      </xdr:nvCxnSpPr>
      <xdr:spPr>
        <a:xfrm>
          <a:off x="1305283" y="18377390"/>
          <a:ext cx="2697302" cy="0"/>
        </a:xfrm>
        <a:prstGeom prst="line">
          <a:avLst/>
        </a:prstGeom>
        <a:ln w="12700">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17</xdr:col>
      <xdr:colOff>26772</xdr:colOff>
      <xdr:row>113</xdr:row>
      <xdr:rowOff>13258</xdr:rowOff>
    </xdr:from>
    <xdr:to>
      <xdr:col>25</xdr:col>
      <xdr:colOff>23297</xdr:colOff>
      <xdr:row>114</xdr:row>
      <xdr:rowOff>102089</xdr:rowOff>
    </xdr:to>
    <xdr:sp macro="" textlink="">
      <xdr:nvSpPr>
        <xdr:cNvPr id="25" name="RowDimLabel">
          <a:extLst>
            <a:ext uri="{FF2B5EF4-FFF2-40B4-BE49-F238E27FC236}">
              <a16:creationId xmlns:a16="http://schemas.microsoft.com/office/drawing/2014/main" id="{685DF970-896A-5E0C-A999-38581B9AC794}"/>
            </a:ext>
          </a:extLst>
        </xdr:cNvPr>
        <xdr:cNvSpPr txBox="1"/>
      </xdr:nvSpPr>
      <xdr:spPr>
        <a:xfrm>
          <a:off x="2167992" y="18103138"/>
          <a:ext cx="971885" cy="248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spAutoFit/>
        </a:bodyPr>
        <a:lstStyle/>
        <a:p>
          <a:pPr algn="ctr"/>
          <a:r>
            <a:rPr lang="en-GB" sz="1000">
              <a:latin typeface="Calibri Light" panose="020F0302020204030204" pitchFamily="34" charset="0"/>
              <a:ea typeface="Calibri Light" panose="020F0302020204030204" pitchFamily="34" charset="0"/>
              <a:cs typeface="Calibri Light" panose="020F0302020204030204" pitchFamily="34" charset="0"/>
            </a:rPr>
            <a:t>5610mm</a:t>
          </a:r>
        </a:p>
      </xdr:txBody>
    </xdr:sp>
    <xdr:clientData/>
  </xdr:twoCellAnchor>
  <xdr:twoCellAnchor editAs="oneCell">
    <xdr:from>
      <xdr:col>9</xdr:col>
      <xdr:colOff>1</xdr:colOff>
      <xdr:row>559</xdr:row>
      <xdr:rowOff>0</xdr:rowOff>
    </xdr:from>
    <xdr:to>
      <xdr:col>47</xdr:col>
      <xdr:colOff>37823</xdr:colOff>
      <xdr:row>600</xdr:row>
      <xdr:rowOff>13252</xdr:rowOff>
    </xdr:to>
    <xdr:pic>
      <xdr:nvPicPr>
        <xdr:cNvPr id="26" name="Picture 25">
          <a:extLst>
            <a:ext uri="{FF2B5EF4-FFF2-40B4-BE49-F238E27FC236}">
              <a16:creationId xmlns:a16="http://schemas.microsoft.com/office/drawing/2014/main" id="{0C5DE8D1-190A-B101-FD5F-5DCFA1CF4469}"/>
            </a:ext>
          </a:extLst>
        </xdr:cNvPr>
        <xdr:cNvPicPr>
          <a:picLocks noChangeAspect="1"/>
        </xdr:cNvPicPr>
      </xdr:nvPicPr>
      <xdr:blipFill>
        <a:blip xmlns:r="http://schemas.openxmlformats.org/officeDocument/2006/relationships" r:embed="rId6"/>
        <a:stretch>
          <a:fillRect/>
        </a:stretch>
      </xdr:blipFill>
      <xdr:spPr>
        <a:xfrm>
          <a:off x="1146314" y="88902209"/>
          <a:ext cx="4570066" cy="6533321"/>
        </a:xfrm>
        <a:prstGeom prst="rect">
          <a:avLst/>
        </a:prstGeom>
      </xdr:spPr>
    </xdr:pic>
    <xdr:clientData/>
  </xdr:twoCellAnchor>
  <xdr:twoCellAnchor editAs="oneCell">
    <xdr:from>
      <xdr:col>9</xdr:col>
      <xdr:colOff>0</xdr:colOff>
      <xdr:row>625</xdr:row>
      <xdr:rowOff>0</xdr:rowOff>
    </xdr:from>
    <xdr:to>
      <xdr:col>47</xdr:col>
      <xdr:colOff>31912</xdr:colOff>
      <xdr:row>665</xdr:row>
      <xdr:rowOff>53009</xdr:rowOff>
    </xdr:to>
    <xdr:pic>
      <xdr:nvPicPr>
        <xdr:cNvPr id="27" name="Picture 26">
          <a:extLst>
            <a:ext uri="{FF2B5EF4-FFF2-40B4-BE49-F238E27FC236}">
              <a16:creationId xmlns:a16="http://schemas.microsoft.com/office/drawing/2014/main" id="{F2D89405-8975-6B2B-3994-AF2CD03804E1}"/>
            </a:ext>
          </a:extLst>
        </xdr:cNvPr>
        <xdr:cNvPicPr>
          <a:picLocks noChangeAspect="1"/>
        </xdr:cNvPicPr>
      </xdr:nvPicPr>
      <xdr:blipFill>
        <a:blip xmlns:r="http://schemas.openxmlformats.org/officeDocument/2006/relationships" r:embed="rId7"/>
        <a:stretch>
          <a:fillRect/>
        </a:stretch>
      </xdr:blipFill>
      <xdr:spPr>
        <a:xfrm>
          <a:off x="1146313" y="99397930"/>
          <a:ext cx="4564156" cy="6414053"/>
        </a:xfrm>
        <a:prstGeom prst="rect">
          <a:avLst/>
        </a:prstGeom>
      </xdr:spPr>
    </xdr:pic>
    <xdr:clientData/>
  </xdr:twoCellAnchor>
  <xdr:oneCellAnchor>
    <xdr:from>
      <xdr:col>1</xdr:col>
      <xdr:colOff>73268</xdr:colOff>
      <xdr:row>206</xdr:row>
      <xdr:rowOff>36635</xdr:rowOff>
    </xdr:from>
    <xdr:ext cx="2212731" cy="922253"/>
    <xdr:pic>
      <xdr:nvPicPr>
        <xdr:cNvPr id="30" name="Picture 6">
          <a:extLst>
            <a:ext uri="{FF2B5EF4-FFF2-40B4-BE49-F238E27FC236}">
              <a16:creationId xmlns:a16="http://schemas.microsoft.com/office/drawing/2014/main" id="{F16C407B-A5A6-4C08-A32E-FB345EEF7706}"/>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5425" y="21988861"/>
          <a:ext cx="2212731" cy="922253"/>
        </a:xfrm>
        <a:prstGeom prst="rect">
          <a:avLst/>
        </a:prstGeom>
      </xdr:spPr>
    </xdr:pic>
    <xdr:clientData/>
  </xdr:oneCellAnchor>
  <xdr:oneCellAnchor>
    <xdr:from>
      <xdr:col>1</xdr:col>
      <xdr:colOff>73268</xdr:colOff>
      <xdr:row>274</xdr:row>
      <xdr:rowOff>36635</xdr:rowOff>
    </xdr:from>
    <xdr:ext cx="2212731" cy="922253"/>
    <xdr:pic>
      <xdr:nvPicPr>
        <xdr:cNvPr id="61" name="Picture 6">
          <a:extLst>
            <a:ext uri="{FF2B5EF4-FFF2-40B4-BE49-F238E27FC236}">
              <a16:creationId xmlns:a16="http://schemas.microsoft.com/office/drawing/2014/main" id="{A6EEC2C2-B44A-4747-BA12-A9F1F116705C}"/>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5425" y="32802635"/>
          <a:ext cx="2212731" cy="922253"/>
        </a:xfrm>
        <a:prstGeom prst="rect">
          <a:avLst/>
        </a:prstGeom>
      </xdr:spPr>
    </xdr:pic>
    <xdr:clientData/>
  </xdr:oneCellAnchor>
  <xdr:oneCellAnchor>
    <xdr:from>
      <xdr:col>1</xdr:col>
      <xdr:colOff>33131</xdr:colOff>
      <xdr:row>342</xdr:row>
      <xdr:rowOff>0</xdr:rowOff>
    </xdr:from>
    <xdr:ext cx="2212731" cy="922253"/>
    <xdr:pic>
      <xdr:nvPicPr>
        <xdr:cNvPr id="63" name="Picture 6">
          <a:extLst>
            <a:ext uri="{FF2B5EF4-FFF2-40B4-BE49-F238E27FC236}">
              <a16:creationId xmlns:a16="http://schemas.microsoft.com/office/drawing/2014/main" id="{6EDB088C-3A45-470E-8715-8E015B7B2D2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5288" y="54393548"/>
          <a:ext cx="2212731" cy="922253"/>
        </a:xfrm>
        <a:prstGeom prst="rect">
          <a:avLst/>
        </a:prstGeom>
      </xdr:spPr>
    </xdr:pic>
    <xdr:clientData/>
  </xdr:oneCellAnchor>
  <xdr:oneCellAnchor>
    <xdr:from>
      <xdr:col>32</xdr:col>
      <xdr:colOff>95250</xdr:colOff>
      <xdr:row>375</xdr:row>
      <xdr:rowOff>0</xdr:rowOff>
    </xdr:from>
    <xdr:ext cx="65" cy="172227"/>
    <xdr:sp macro="" textlink="">
      <xdr:nvSpPr>
        <xdr:cNvPr id="28" name="TextBox 27">
          <a:extLst>
            <a:ext uri="{FF2B5EF4-FFF2-40B4-BE49-F238E27FC236}">
              <a16:creationId xmlns:a16="http://schemas.microsoft.com/office/drawing/2014/main" id="{09F8E040-2848-43F4-8158-8B73D92D8D10}"/>
            </a:ext>
          </a:extLst>
        </xdr:cNvPr>
        <xdr:cNvSpPr txBox="1"/>
      </xdr:nvSpPr>
      <xdr:spPr>
        <a:xfrm>
          <a:off x="3874770" y="7441692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378</xdr:row>
      <xdr:rowOff>0</xdr:rowOff>
    </xdr:from>
    <xdr:ext cx="65" cy="172227"/>
    <xdr:sp macro="" textlink="">
      <xdr:nvSpPr>
        <xdr:cNvPr id="29" name="TextBox 28">
          <a:extLst>
            <a:ext uri="{FF2B5EF4-FFF2-40B4-BE49-F238E27FC236}">
              <a16:creationId xmlns:a16="http://schemas.microsoft.com/office/drawing/2014/main" id="{51212215-BE8A-4A31-B419-194E27271B6D}"/>
            </a:ext>
          </a:extLst>
        </xdr:cNvPr>
        <xdr:cNvSpPr txBox="1"/>
      </xdr:nvSpPr>
      <xdr:spPr>
        <a:xfrm>
          <a:off x="3874770" y="7489698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378</xdr:row>
      <xdr:rowOff>0</xdr:rowOff>
    </xdr:from>
    <xdr:ext cx="65" cy="172227"/>
    <xdr:sp macro="" textlink="">
      <xdr:nvSpPr>
        <xdr:cNvPr id="31" name="TextBox 30">
          <a:extLst>
            <a:ext uri="{FF2B5EF4-FFF2-40B4-BE49-F238E27FC236}">
              <a16:creationId xmlns:a16="http://schemas.microsoft.com/office/drawing/2014/main" id="{A5A467A6-8EAE-4BF7-BB71-5B62F7AE29F7}"/>
            </a:ext>
          </a:extLst>
        </xdr:cNvPr>
        <xdr:cNvSpPr txBox="1"/>
      </xdr:nvSpPr>
      <xdr:spPr>
        <a:xfrm>
          <a:off x="3874770" y="7489698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382</xdr:row>
      <xdr:rowOff>0</xdr:rowOff>
    </xdr:from>
    <xdr:ext cx="65" cy="172227"/>
    <xdr:sp macro="" textlink="">
      <xdr:nvSpPr>
        <xdr:cNvPr id="38" name="TextBox 37">
          <a:extLst>
            <a:ext uri="{FF2B5EF4-FFF2-40B4-BE49-F238E27FC236}">
              <a16:creationId xmlns:a16="http://schemas.microsoft.com/office/drawing/2014/main" id="{009A9CCC-8985-4F7B-BE97-6B73A4CAACD2}"/>
            </a:ext>
          </a:extLst>
        </xdr:cNvPr>
        <xdr:cNvSpPr txBox="1"/>
      </xdr:nvSpPr>
      <xdr:spPr>
        <a:xfrm>
          <a:off x="3874770" y="7489698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383</xdr:row>
      <xdr:rowOff>0</xdr:rowOff>
    </xdr:from>
    <xdr:ext cx="65" cy="172227"/>
    <xdr:sp macro="" textlink="">
      <xdr:nvSpPr>
        <xdr:cNvPr id="39" name="TextBox 38">
          <a:extLst>
            <a:ext uri="{FF2B5EF4-FFF2-40B4-BE49-F238E27FC236}">
              <a16:creationId xmlns:a16="http://schemas.microsoft.com/office/drawing/2014/main" id="{61C38D08-8480-4CC3-98CA-BB76795A18C0}"/>
            </a:ext>
          </a:extLst>
        </xdr:cNvPr>
        <xdr:cNvSpPr txBox="1"/>
      </xdr:nvSpPr>
      <xdr:spPr>
        <a:xfrm>
          <a:off x="3874770" y="75057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382</xdr:row>
      <xdr:rowOff>0</xdr:rowOff>
    </xdr:from>
    <xdr:ext cx="65" cy="172227"/>
    <xdr:sp macro="" textlink="">
      <xdr:nvSpPr>
        <xdr:cNvPr id="40" name="TextBox 39">
          <a:extLst>
            <a:ext uri="{FF2B5EF4-FFF2-40B4-BE49-F238E27FC236}">
              <a16:creationId xmlns:a16="http://schemas.microsoft.com/office/drawing/2014/main" id="{0C7C2F30-F240-44CA-8109-218F0D3E523F}"/>
            </a:ext>
          </a:extLst>
        </xdr:cNvPr>
        <xdr:cNvSpPr txBox="1"/>
      </xdr:nvSpPr>
      <xdr:spPr>
        <a:xfrm>
          <a:off x="3874770" y="7489698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383</xdr:row>
      <xdr:rowOff>0</xdr:rowOff>
    </xdr:from>
    <xdr:ext cx="65" cy="172227"/>
    <xdr:sp macro="" textlink="">
      <xdr:nvSpPr>
        <xdr:cNvPr id="128" name="TextBox 127">
          <a:extLst>
            <a:ext uri="{FF2B5EF4-FFF2-40B4-BE49-F238E27FC236}">
              <a16:creationId xmlns:a16="http://schemas.microsoft.com/office/drawing/2014/main" id="{DAD3A65C-D153-4625-B723-66718666E261}"/>
            </a:ext>
          </a:extLst>
        </xdr:cNvPr>
        <xdr:cNvSpPr txBox="1"/>
      </xdr:nvSpPr>
      <xdr:spPr>
        <a:xfrm>
          <a:off x="3874770" y="75057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383</xdr:row>
      <xdr:rowOff>0</xdr:rowOff>
    </xdr:from>
    <xdr:ext cx="65" cy="172227"/>
    <xdr:sp macro="" textlink="">
      <xdr:nvSpPr>
        <xdr:cNvPr id="130" name="TextBox 129">
          <a:extLst>
            <a:ext uri="{FF2B5EF4-FFF2-40B4-BE49-F238E27FC236}">
              <a16:creationId xmlns:a16="http://schemas.microsoft.com/office/drawing/2014/main" id="{FCFBE3C8-0F4B-4E42-A699-9D27AF8E3754}"/>
            </a:ext>
          </a:extLst>
        </xdr:cNvPr>
        <xdr:cNvSpPr txBox="1"/>
      </xdr:nvSpPr>
      <xdr:spPr>
        <a:xfrm>
          <a:off x="3874770" y="75057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384</xdr:row>
      <xdr:rowOff>0</xdr:rowOff>
    </xdr:from>
    <xdr:ext cx="65" cy="172227"/>
    <xdr:sp macro="" textlink="">
      <xdr:nvSpPr>
        <xdr:cNvPr id="152" name="TextBox 151">
          <a:extLst>
            <a:ext uri="{FF2B5EF4-FFF2-40B4-BE49-F238E27FC236}">
              <a16:creationId xmlns:a16="http://schemas.microsoft.com/office/drawing/2014/main" id="{27AAE25A-D0C1-40AA-A5F4-01338A2B4961}"/>
            </a:ext>
          </a:extLst>
        </xdr:cNvPr>
        <xdr:cNvSpPr txBox="1"/>
      </xdr:nvSpPr>
      <xdr:spPr>
        <a:xfrm>
          <a:off x="3874770" y="75057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385</xdr:row>
      <xdr:rowOff>0</xdr:rowOff>
    </xdr:from>
    <xdr:ext cx="65" cy="172227"/>
    <xdr:sp macro="" textlink="">
      <xdr:nvSpPr>
        <xdr:cNvPr id="153" name="TextBox 152">
          <a:extLst>
            <a:ext uri="{FF2B5EF4-FFF2-40B4-BE49-F238E27FC236}">
              <a16:creationId xmlns:a16="http://schemas.microsoft.com/office/drawing/2014/main" id="{811F87EC-E9B2-4186-8D05-C9F269F6A482}"/>
            </a:ext>
          </a:extLst>
        </xdr:cNvPr>
        <xdr:cNvSpPr txBox="1"/>
      </xdr:nvSpPr>
      <xdr:spPr>
        <a:xfrm>
          <a:off x="3509010" y="7521702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384</xdr:row>
      <xdr:rowOff>0</xdr:rowOff>
    </xdr:from>
    <xdr:ext cx="65" cy="172227"/>
    <xdr:sp macro="" textlink="">
      <xdr:nvSpPr>
        <xdr:cNvPr id="154" name="TextBox 153">
          <a:extLst>
            <a:ext uri="{FF2B5EF4-FFF2-40B4-BE49-F238E27FC236}">
              <a16:creationId xmlns:a16="http://schemas.microsoft.com/office/drawing/2014/main" id="{D06095F5-9273-4D77-B436-C733E894ABA1}"/>
            </a:ext>
          </a:extLst>
        </xdr:cNvPr>
        <xdr:cNvSpPr txBox="1"/>
      </xdr:nvSpPr>
      <xdr:spPr>
        <a:xfrm>
          <a:off x="3874770" y="75057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384</xdr:row>
      <xdr:rowOff>0</xdr:rowOff>
    </xdr:from>
    <xdr:ext cx="65" cy="172227"/>
    <xdr:sp macro="" textlink="">
      <xdr:nvSpPr>
        <xdr:cNvPr id="155" name="TextBox 154">
          <a:extLst>
            <a:ext uri="{FF2B5EF4-FFF2-40B4-BE49-F238E27FC236}">
              <a16:creationId xmlns:a16="http://schemas.microsoft.com/office/drawing/2014/main" id="{A09107A7-0A85-4A8B-A034-78AE351FCD91}"/>
            </a:ext>
          </a:extLst>
        </xdr:cNvPr>
        <xdr:cNvSpPr txBox="1"/>
      </xdr:nvSpPr>
      <xdr:spPr>
        <a:xfrm>
          <a:off x="3874770" y="75057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385</xdr:row>
      <xdr:rowOff>0</xdr:rowOff>
    </xdr:from>
    <xdr:ext cx="65" cy="172227"/>
    <xdr:sp macro="" textlink="">
      <xdr:nvSpPr>
        <xdr:cNvPr id="156" name="TextBox 155">
          <a:extLst>
            <a:ext uri="{FF2B5EF4-FFF2-40B4-BE49-F238E27FC236}">
              <a16:creationId xmlns:a16="http://schemas.microsoft.com/office/drawing/2014/main" id="{9C1D3BF7-9B15-45E0-BA59-169449963124}"/>
            </a:ext>
          </a:extLst>
        </xdr:cNvPr>
        <xdr:cNvSpPr txBox="1"/>
      </xdr:nvSpPr>
      <xdr:spPr>
        <a:xfrm>
          <a:off x="3509010" y="7521702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385</xdr:row>
      <xdr:rowOff>0</xdr:rowOff>
    </xdr:from>
    <xdr:ext cx="65" cy="172227"/>
    <xdr:sp macro="" textlink="">
      <xdr:nvSpPr>
        <xdr:cNvPr id="157" name="TextBox 156">
          <a:extLst>
            <a:ext uri="{FF2B5EF4-FFF2-40B4-BE49-F238E27FC236}">
              <a16:creationId xmlns:a16="http://schemas.microsoft.com/office/drawing/2014/main" id="{0F532B0B-3F0C-4E40-AF53-A58C8D777A92}"/>
            </a:ext>
          </a:extLst>
        </xdr:cNvPr>
        <xdr:cNvSpPr txBox="1"/>
      </xdr:nvSpPr>
      <xdr:spPr>
        <a:xfrm>
          <a:off x="3509010" y="7521702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385</xdr:row>
      <xdr:rowOff>0</xdr:rowOff>
    </xdr:from>
    <xdr:ext cx="65" cy="172227"/>
    <xdr:sp macro="" textlink="">
      <xdr:nvSpPr>
        <xdr:cNvPr id="158" name="TextBox 157">
          <a:extLst>
            <a:ext uri="{FF2B5EF4-FFF2-40B4-BE49-F238E27FC236}">
              <a16:creationId xmlns:a16="http://schemas.microsoft.com/office/drawing/2014/main" id="{0BD98E35-51B1-44BC-AEB0-1BA0F4423751}"/>
            </a:ext>
          </a:extLst>
        </xdr:cNvPr>
        <xdr:cNvSpPr txBox="1"/>
      </xdr:nvSpPr>
      <xdr:spPr>
        <a:xfrm>
          <a:off x="3509010" y="7521702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386</xdr:row>
      <xdr:rowOff>0</xdr:rowOff>
    </xdr:from>
    <xdr:ext cx="65" cy="172227"/>
    <xdr:sp macro="" textlink="">
      <xdr:nvSpPr>
        <xdr:cNvPr id="159" name="TextBox 158">
          <a:extLst>
            <a:ext uri="{FF2B5EF4-FFF2-40B4-BE49-F238E27FC236}">
              <a16:creationId xmlns:a16="http://schemas.microsoft.com/office/drawing/2014/main" id="{88F5E9F2-A905-4BE3-83B2-128AFD2D6AC7}"/>
            </a:ext>
          </a:extLst>
        </xdr:cNvPr>
        <xdr:cNvSpPr txBox="1"/>
      </xdr:nvSpPr>
      <xdr:spPr>
        <a:xfrm>
          <a:off x="3509010" y="75377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112834</xdr:colOff>
      <xdr:row>386</xdr:row>
      <xdr:rowOff>0</xdr:rowOff>
    </xdr:from>
    <xdr:ext cx="65" cy="172227"/>
    <xdr:sp macro="" textlink="">
      <xdr:nvSpPr>
        <xdr:cNvPr id="160" name="TextBox 159">
          <a:extLst>
            <a:ext uri="{FF2B5EF4-FFF2-40B4-BE49-F238E27FC236}">
              <a16:creationId xmlns:a16="http://schemas.microsoft.com/office/drawing/2014/main" id="{CB6A8918-91A5-4F4E-83E3-A1926C3589B3}"/>
            </a:ext>
          </a:extLst>
        </xdr:cNvPr>
        <xdr:cNvSpPr txBox="1"/>
      </xdr:nvSpPr>
      <xdr:spPr>
        <a:xfrm>
          <a:off x="3526594" y="75377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31</xdr:col>
      <xdr:colOff>95250</xdr:colOff>
      <xdr:row>386</xdr:row>
      <xdr:rowOff>0</xdr:rowOff>
    </xdr:from>
    <xdr:ext cx="65" cy="172227"/>
    <xdr:sp macro="" textlink="">
      <xdr:nvSpPr>
        <xdr:cNvPr id="161" name="TextBox 160">
          <a:extLst>
            <a:ext uri="{FF2B5EF4-FFF2-40B4-BE49-F238E27FC236}">
              <a16:creationId xmlns:a16="http://schemas.microsoft.com/office/drawing/2014/main" id="{B7B0B1C3-8DC9-4D4F-9594-6E9CBCDCD62F}"/>
            </a:ext>
          </a:extLst>
        </xdr:cNvPr>
        <xdr:cNvSpPr txBox="1"/>
      </xdr:nvSpPr>
      <xdr:spPr>
        <a:xfrm>
          <a:off x="3752850" y="75377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31</xdr:col>
      <xdr:colOff>95250</xdr:colOff>
      <xdr:row>386</xdr:row>
      <xdr:rowOff>0</xdr:rowOff>
    </xdr:from>
    <xdr:ext cx="65" cy="172227"/>
    <xdr:sp macro="" textlink="">
      <xdr:nvSpPr>
        <xdr:cNvPr id="162" name="TextBox 161">
          <a:extLst>
            <a:ext uri="{FF2B5EF4-FFF2-40B4-BE49-F238E27FC236}">
              <a16:creationId xmlns:a16="http://schemas.microsoft.com/office/drawing/2014/main" id="{2A93DA42-D491-4AD1-8BFD-D32DD31A861D}"/>
            </a:ext>
          </a:extLst>
        </xdr:cNvPr>
        <xdr:cNvSpPr txBox="1"/>
      </xdr:nvSpPr>
      <xdr:spPr>
        <a:xfrm>
          <a:off x="3752850" y="75377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457</xdr:row>
      <xdr:rowOff>0</xdr:rowOff>
    </xdr:from>
    <xdr:ext cx="65" cy="172227"/>
    <xdr:sp macro="" textlink="">
      <xdr:nvSpPr>
        <xdr:cNvPr id="131" name="TextBox 130">
          <a:extLst>
            <a:ext uri="{FF2B5EF4-FFF2-40B4-BE49-F238E27FC236}">
              <a16:creationId xmlns:a16="http://schemas.microsoft.com/office/drawing/2014/main" id="{9329F7DC-42F1-40AB-B682-AAF5B1EBF8C9}"/>
            </a:ext>
          </a:extLst>
        </xdr:cNvPr>
        <xdr:cNvSpPr txBox="1"/>
      </xdr:nvSpPr>
      <xdr:spPr>
        <a:xfrm>
          <a:off x="4104542" y="5983458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457</xdr:row>
      <xdr:rowOff>0</xdr:rowOff>
    </xdr:from>
    <xdr:ext cx="65" cy="172227"/>
    <xdr:sp macro="" textlink="">
      <xdr:nvSpPr>
        <xdr:cNvPr id="133" name="TextBox 132">
          <a:extLst>
            <a:ext uri="{FF2B5EF4-FFF2-40B4-BE49-F238E27FC236}">
              <a16:creationId xmlns:a16="http://schemas.microsoft.com/office/drawing/2014/main" id="{A63A3B3C-4EB1-4E67-B73E-C7A328B3CC4F}"/>
            </a:ext>
          </a:extLst>
        </xdr:cNvPr>
        <xdr:cNvSpPr txBox="1"/>
      </xdr:nvSpPr>
      <xdr:spPr>
        <a:xfrm>
          <a:off x="4104542" y="5983458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458</xdr:row>
      <xdr:rowOff>0</xdr:rowOff>
    </xdr:from>
    <xdr:ext cx="65" cy="172227"/>
    <xdr:sp macro="" textlink="">
      <xdr:nvSpPr>
        <xdr:cNvPr id="134" name="TextBox 133">
          <a:extLst>
            <a:ext uri="{FF2B5EF4-FFF2-40B4-BE49-F238E27FC236}">
              <a16:creationId xmlns:a16="http://schemas.microsoft.com/office/drawing/2014/main" id="{4F480B6E-59D9-4C67-B5AC-2CE32678A515}"/>
            </a:ext>
          </a:extLst>
        </xdr:cNvPr>
        <xdr:cNvSpPr txBox="1"/>
      </xdr:nvSpPr>
      <xdr:spPr>
        <a:xfrm>
          <a:off x="4104542" y="60467631"/>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459</xdr:row>
      <xdr:rowOff>0</xdr:rowOff>
    </xdr:from>
    <xdr:ext cx="65" cy="172227"/>
    <xdr:sp macro="" textlink="">
      <xdr:nvSpPr>
        <xdr:cNvPr id="135" name="TextBox 134">
          <a:extLst>
            <a:ext uri="{FF2B5EF4-FFF2-40B4-BE49-F238E27FC236}">
              <a16:creationId xmlns:a16="http://schemas.microsoft.com/office/drawing/2014/main" id="{BC3B7E28-E2AB-4803-998B-78775ED80229}"/>
            </a:ext>
          </a:extLst>
        </xdr:cNvPr>
        <xdr:cNvSpPr txBox="1"/>
      </xdr:nvSpPr>
      <xdr:spPr>
        <a:xfrm>
          <a:off x="4104542" y="606258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458</xdr:row>
      <xdr:rowOff>0</xdr:rowOff>
    </xdr:from>
    <xdr:ext cx="65" cy="172227"/>
    <xdr:sp macro="" textlink="">
      <xdr:nvSpPr>
        <xdr:cNvPr id="136" name="TextBox 135">
          <a:extLst>
            <a:ext uri="{FF2B5EF4-FFF2-40B4-BE49-F238E27FC236}">
              <a16:creationId xmlns:a16="http://schemas.microsoft.com/office/drawing/2014/main" id="{402EE685-0959-44EE-ADF3-0CA46B859332}"/>
            </a:ext>
          </a:extLst>
        </xdr:cNvPr>
        <xdr:cNvSpPr txBox="1"/>
      </xdr:nvSpPr>
      <xdr:spPr>
        <a:xfrm>
          <a:off x="4104542" y="60467631"/>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459</xdr:row>
      <xdr:rowOff>0</xdr:rowOff>
    </xdr:from>
    <xdr:ext cx="65" cy="172227"/>
    <xdr:sp macro="" textlink="">
      <xdr:nvSpPr>
        <xdr:cNvPr id="137" name="TextBox 136">
          <a:extLst>
            <a:ext uri="{FF2B5EF4-FFF2-40B4-BE49-F238E27FC236}">
              <a16:creationId xmlns:a16="http://schemas.microsoft.com/office/drawing/2014/main" id="{E54DA6C0-BACF-4A9C-9320-7D3238CF194A}"/>
            </a:ext>
          </a:extLst>
        </xdr:cNvPr>
        <xdr:cNvSpPr txBox="1"/>
      </xdr:nvSpPr>
      <xdr:spPr>
        <a:xfrm>
          <a:off x="4104542" y="606258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459</xdr:row>
      <xdr:rowOff>0</xdr:rowOff>
    </xdr:from>
    <xdr:ext cx="65" cy="172227"/>
    <xdr:sp macro="" textlink="">
      <xdr:nvSpPr>
        <xdr:cNvPr id="138" name="TextBox 137">
          <a:extLst>
            <a:ext uri="{FF2B5EF4-FFF2-40B4-BE49-F238E27FC236}">
              <a16:creationId xmlns:a16="http://schemas.microsoft.com/office/drawing/2014/main" id="{ABA25A08-3D9E-461C-BD1C-44FE6096DA55}"/>
            </a:ext>
          </a:extLst>
        </xdr:cNvPr>
        <xdr:cNvSpPr txBox="1"/>
      </xdr:nvSpPr>
      <xdr:spPr>
        <a:xfrm>
          <a:off x="4104542" y="606258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460</xdr:row>
      <xdr:rowOff>0</xdr:rowOff>
    </xdr:from>
    <xdr:ext cx="65" cy="172227"/>
    <xdr:sp macro="" textlink="">
      <xdr:nvSpPr>
        <xdr:cNvPr id="139" name="TextBox 138">
          <a:extLst>
            <a:ext uri="{FF2B5EF4-FFF2-40B4-BE49-F238E27FC236}">
              <a16:creationId xmlns:a16="http://schemas.microsoft.com/office/drawing/2014/main" id="{86CC3CD2-F0B2-43B0-96E1-103A8223D52E}"/>
            </a:ext>
          </a:extLst>
        </xdr:cNvPr>
        <xdr:cNvSpPr txBox="1"/>
      </xdr:nvSpPr>
      <xdr:spPr>
        <a:xfrm>
          <a:off x="4104542" y="6078415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460</xdr:row>
      <xdr:rowOff>0</xdr:rowOff>
    </xdr:from>
    <xdr:ext cx="65" cy="172227"/>
    <xdr:sp macro="" textlink="">
      <xdr:nvSpPr>
        <xdr:cNvPr id="140" name="TextBox 139">
          <a:extLst>
            <a:ext uri="{FF2B5EF4-FFF2-40B4-BE49-F238E27FC236}">
              <a16:creationId xmlns:a16="http://schemas.microsoft.com/office/drawing/2014/main" id="{994EC581-467A-41E1-A4F0-E2BD33D7C8FF}"/>
            </a:ext>
          </a:extLst>
        </xdr:cNvPr>
        <xdr:cNvSpPr txBox="1"/>
      </xdr:nvSpPr>
      <xdr:spPr>
        <a:xfrm>
          <a:off x="4104542" y="6078415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460</xdr:row>
      <xdr:rowOff>0</xdr:rowOff>
    </xdr:from>
    <xdr:ext cx="65" cy="172227"/>
    <xdr:sp macro="" textlink="">
      <xdr:nvSpPr>
        <xdr:cNvPr id="142" name="TextBox 141">
          <a:extLst>
            <a:ext uri="{FF2B5EF4-FFF2-40B4-BE49-F238E27FC236}">
              <a16:creationId xmlns:a16="http://schemas.microsoft.com/office/drawing/2014/main" id="{9980EFB0-8E8F-4C3B-839A-A2FFE711F295}"/>
            </a:ext>
          </a:extLst>
        </xdr:cNvPr>
        <xdr:cNvSpPr txBox="1"/>
      </xdr:nvSpPr>
      <xdr:spPr>
        <a:xfrm>
          <a:off x="4104542" y="6078415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460</xdr:row>
      <xdr:rowOff>0</xdr:rowOff>
    </xdr:from>
    <xdr:ext cx="65" cy="172227"/>
    <xdr:sp macro="" textlink="">
      <xdr:nvSpPr>
        <xdr:cNvPr id="151" name="TextBox 150">
          <a:extLst>
            <a:ext uri="{FF2B5EF4-FFF2-40B4-BE49-F238E27FC236}">
              <a16:creationId xmlns:a16="http://schemas.microsoft.com/office/drawing/2014/main" id="{D6C6C5A5-3874-452D-9847-C12380BA6B8B}"/>
            </a:ext>
          </a:extLst>
        </xdr:cNvPr>
        <xdr:cNvSpPr txBox="1"/>
      </xdr:nvSpPr>
      <xdr:spPr>
        <a:xfrm>
          <a:off x="4104542" y="6078415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461</xdr:row>
      <xdr:rowOff>0</xdr:rowOff>
    </xdr:from>
    <xdr:ext cx="65" cy="172227"/>
    <xdr:sp macro="" textlink="">
      <xdr:nvSpPr>
        <xdr:cNvPr id="163" name="TextBox 162">
          <a:extLst>
            <a:ext uri="{FF2B5EF4-FFF2-40B4-BE49-F238E27FC236}">
              <a16:creationId xmlns:a16="http://schemas.microsoft.com/office/drawing/2014/main" id="{8C57EC76-3EB0-4CF9-A736-2CB833556423}"/>
            </a:ext>
          </a:extLst>
        </xdr:cNvPr>
        <xdr:cNvSpPr txBox="1"/>
      </xdr:nvSpPr>
      <xdr:spPr>
        <a:xfrm>
          <a:off x="3735265" y="6094241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460</xdr:row>
      <xdr:rowOff>0</xdr:rowOff>
    </xdr:from>
    <xdr:ext cx="65" cy="172227"/>
    <xdr:sp macro="" textlink="">
      <xdr:nvSpPr>
        <xdr:cNvPr id="164" name="TextBox 163">
          <a:extLst>
            <a:ext uri="{FF2B5EF4-FFF2-40B4-BE49-F238E27FC236}">
              <a16:creationId xmlns:a16="http://schemas.microsoft.com/office/drawing/2014/main" id="{2F91818D-28DC-42AB-BAB4-39CE518867E7}"/>
            </a:ext>
          </a:extLst>
        </xdr:cNvPr>
        <xdr:cNvSpPr txBox="1"/>
      </xdr:nvSpPr>
      <xdr:spPr>
        <a:xfrm>
          <a:off x="4104542" y="6078415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32</xdr:col>
      <xdr:colOff>95250</xdr:colOff>
      <xdr:row>460</xdr:row>
      <xdr:rowOff>0</xdr:rowOff>
    </xdr:from>
    <xdr:ext cx="65" cy="172227"/>
    <xdr:sp macro="" textlink="">
      <xdr:nvSpPr>
        <xdr:cNvPr id="165" name="TextBox 164">
          <a:extLst>
            <a:ext uri="{FF2B5EF4-FFF2-40B4-BE49-F238E27FC236}">
              <a16:creationId xmlns:a16="http://schemas.microsoft.com/office/drawing/2014/main" id="{0FCBE74A-E685-4A21-B5D2-AFD22353E9F0}"/>
            </a:ext>
          </a:extLst>
        </xdr:cNvPr>
        <xdr:cNvSpPr txBox="1"/>
      </xdr:nvSpPr>
      <xdr:spPr>
        <a:xfrm>
          <a:off x="4104542" y="6078415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461</xdr:row>
      <xdr:rowOff>0</xdr:rowOff>
    </xdr:from>
    <xdr:ext cx="65" cy="172227"/>
    <xdr:sp macro="" textlink="">
      <xdr:nvSpPr>
        <xdr:cNvPr id="166" name="TextBox 165">
          <a:extLst>
            <a:ext uri="{FF2B5EF4-FFF2-40B4-BE49-F238E27FC236}">
              <a16:creationId xmlns:a16="http://schemas.microsoft.com/office/drawing/2014/main" id="{369CFE1C-FB0D-466A-9276-A09FC4A5B2F2}"/>
            </a:ext>
          </a:extLst>
        </xdr:cNvPr>
        <xdr:cNvSpPr txBox="1"/>
      </xdr:nvSpPr>
      <xdr:spPr>
        <a:xfrm>
          <a:off x="3735265" y="6094241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461</xdr:row>
      <xdr:rowOff>0</xdr:rowOff>
    </xdr:from>
    <xdr:ext cx="65" cy="172227"/>
    <xdr:sp macro="" textlink="">
      <xdr:nvSpPr>
        <xdr:cNvPr id="167" name="TextBox 166">
          <a:extLst>
            <a:ext uri="{FF2B5EF4-FFF2-40B4-BE49-F238E27FC236}">
              <a16:creationId xmlns:a16="http://schemas.microsoft.com/office/drawing/2014/main" id="{0FB6D773-BBF9-4A64-987A-C8A83DEA80DC}"/>
            </a:ext>
          </a:extLst>
        </xdr:cNvPr>
        <xdr:cNvSpPr txBox="1"/>
      </xdr:nvSpPr>
      <xdr:spPr>
        <a:xfrm>
          <a:off x="3735265" y="6094241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461</xdr:row>
      <xdr:rowOff>0</xdr:rowOff>
    </xdr:from>
    <xdr:ext cx="65" cy="172227"/>
    <xdr:sp macro="" textlink="">
      <xdr:nvSpPr>
        <xdr:cNvPr id="169" name="TextBox 168">
          <a:extLst>
            <a:ext uri="{FF2B5EF4-FFF2-40B4-BE49-F238E27FC236}">
              <a16:creationId xmlns:a16="http://schemas.microsoft.com/office/drawing/2014/main" id="{838B8F78-3841-4D9B-BB6B-D79C70583612}"/>
            </a:ext>
          </a:extLst>
        </xdr:cNvPr>
        <xdr:cNvSpPr txBox="1"/>
      </xdr:nvSpPr>
      <xdr:spPr>
        <a:xfrm>
          <a:off x="3735265" y="6094241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95250</xdr:colOff>
      <xdr:row>462</xdr:row>
      <xdr:rowOff>0</xdr:rowOff>
    </xdr:from>
    <xdr:ext cx="65" cy="172227"/>
    <xdr:sp macro="" textlink="">
      <xdr:nvSpPr>
        <xdr:cNvPr id="170" name="TextBox 169">
          <a:extLst>
            <a:ext uri="{FF2B5EF4-FFF2-40B4-BE49-F238E27FC236}">
              <a16:creationId xmlns:a16="http://schemas.microsoft.com/office/drawing/2014/main" id="{0641EA41-23E8-4B1C-914C-B0EBC74D99C1}"/>
            </a:ext>
          </a:extLst>
        </xdr:cNvPr>
        <xdr:cNvSpPr txBox="1"/>
      </xdr:nvSpPr>
      <xdr:spPr>
        <a:xfrm>
          <a:off x="3735265" y="611006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29</xdr:col>
      <xdr:colOff>112834</xdr:colOff>
      <xdr:row>462</xdr:row>
      <xdr:rowOff>0</xdr:rowOff>
    </xdr:from>
    <xdr:ext cx="65" cy="172227"/>
    <xdr:sp macro="" textlink="">
      <xdr:nvSpPr>
        <xdr:cNvPr id="172" name="TextBox 171">
          <a:extLst>
            <a:ext uri="{FF2B5EF4-FFF2-40B4-BE49-F238E27FC236}">
              <a16:creationId xmlns:a16="http://schemas.microsoft.com/office/drawing/2014/main" id="{3F281863-8BDE-48DA-A184-639CC2E40B92}"/>
            </a:ext>
          </a:extLst>
        </xdr:cNvPr>
        <xdr:cNvSpPr txBox="1"/>
      </xdr:nvSpPr>
      <xdr:spPr>
        <a:xfrm>
          <a:off x="3752849" y="611006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31</xdr:col>
      <xdr:colOff>95250</xdr:colOff>
      <xdr:row>462</xdr:row>
      <xdr:rowOff>0</xdr:rowOff>
    </xdr:from>
    <xdr:ext cx="65" cy="172227"/>
    <xdr:sp macro="" textlink="">
      <xdr:nvSpPr>
        <xdr:cNvPr id="174" name="TextBox 173">
          <a:extLst>
            <a:ext uri="{FF2B5EF4-FFF2-40B4-BE49-F238E27FC236}">
              <a16:creationId xmlns:a16="http://schemas.microsoft.com/office/drawing/2014/main" id="{903F7273-DDB3-43E9-BD6D-D055B3E21AE1}"/>
            </a:ext>
          </a:extLst>
        </xdr:cNvPr>
        <xdr:cNvSpPr txBox="1"/>
      </xdr:nvSpPr>
      <xdr:spPr>
        <a:xfrm>
          <a:off x="3981450" y="611006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oneCellAnchor>
    <xdr:from>
      <xdr:col>31</xdr:col>
      <xdr:colOff>95250</xdr:colOff>
      <xdr:row>462</xdr:row>
      <xdr:rowOff>0</xdr:rowOff>
    </xdr:from>
    <xdr:ext cx="65" cy="172227"/>
    <xdr:sp macro="" textlink="">
      <xdr:nvSpPr>
        <xdr:cNvPr id="176" name="TextBox 175">
          <a:extLst>
            <a:ext uri="{FF2B5EF4-FFF2-40B4-BE49-F238E27FC236}">
              <a16:creationId xmlns:a16="http://schemas.microsoft.com/office/drawing/2014/main" id="{F153DFDF-A4E0-481C-B2CD-771F85FC9AC8}"/>
            </a:ext>
          </a:extLst>
        </xdr:cNvPr>
        <xdr:cNvSpPr txBox="1"/>
      </xdr:nvSpPr>
      <xdr:spPr>
        <a:xfrm>
          <a:off x="3981450" y="611006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30481</xdr:colOff>
      <xdr:row>70</xdr:row>
      <xdr:rowOff>91440</xdr:rowOff>
    </xdr:from>
    <xdr:ext cx="2755265" cy="223387"/>
    <xdr:pic>
      <xdr:nvPicPr>
        <xdr:cNvPr id="2" name="Picture 1">
          <a:extLst>
            <a:ext uri="{FF2B5EF4-FFF2-40B4-BE49-F238E27FC236}">
              <a16:creationId xmlns:a16="http://schemas.microsoft.com/office/drawing/2014/main" id="{8C3D9C88-8D19-4424-8912-A66E1E28E99F}"/>
            </a:ext>
          </a:extLst>
        </xdr:cNvPr>
        <xdr:cNvPicPr>
          <a:picLocks noChangeAspect="1"/>
        </xdr:cNvPicPr>
      </xdr:nvPicPr>
      <xdr:blipFill>
        <a:blip xmlns:r="http://schemas.openxmlformats.org/officeDocument/2006/relationships" r:embed="rId1"/>
        <a:stretch>
          <a:fillRect/>
        </a:stretch>
      </xdr:blipFill>
      <xdr:spPr>
        <a:xfrm>
          <a:off x="2362201" y="14268450"/>
          <a:ext cx="2755265" cy="223387"/>
        </a:xfrm>
        <a:prstGeom prst="rect">
          <a:avLst/>
        </a:prstGeom>
      </xdr:spPr>
    </xdr:pic>
    <xdr:clientData/>
  </xdr:oneCellAnchor>
  <xdr:oneCellAnchor>
    <xdr:from>
      <xdr:col>0</xdr:col>
      <xdr:colOff>603250</xdr:colOff>
      <xdr:row>10</xdr:row>
      <xdr:rowOff>44450</xdr:rowOff>
    </xdr:from>
    <xdr:ext cx="3967886" cy="236552"/>
    <xdr:pic>
      <xdr:nvPicPr>
        <xdr:cNvPr id="3" name="Picture 2">
          <a:extLst>
            <a:ext uri="{FF2B5EF4-FFF2-40B4-BE49-F238E27FC236}">
              <a16:creationId xmlns:a16="http://schemas.microsoft.com/office/drawing/2014/main" id="{291D44D6-F88C-43B5-B817-522D075E11CC}"/>
            </a:ext>
          </a:extLst>
        </xdr:cNvPr>
        <xdr:cNvPicPr>
          <a:picLocks noChangeAspect="1"/>
        </xdr:cNvPicPr>
      </xdr:nvPicPr>
      <xdr:blipFill>
        <a:blip xmlns:r="http://schemas.openxmlformats.org/officeDocument/2006/relationships" r:embed="rId2"/>
        <a:stretch>
          <a:fillRect/>
        </a:stretch>
      </xdr:blipFill>
      <xdr:spPr>
        <a:xfrm>
          <a:off x="601345" y="2846705"/>
          <a:ext cx="3967886" cy="236552"/>
        </a:xfrm>
        <a:prstGeom prst="rect">
          <a:avLst/>
        </a:prstGeom>
      </xdr:spPr>
    </xdr:pic>
    <xdr:clientData/>
  </xdr:oneCellAnchor>
  <xdr:twoCellAnchor editAs="oneCell">
    <xdr:from>
      <xdr:col>14</xdr:col>
      <xdr:colOff>274047</xdr:colOff>
      <xdr:row>8</xdr:row>
      <xdr:rowOff>0</xdr:rowOff>
    </xdr:from>
    <xdr:to>
      <xdr:col>26</xdr:col>
      <xdr:colOff>19058</xdr:colOff>
      <xdr:row>32</xdr:row>
      <xdr:rowOff>21499</xdr:rowOff>
    </xdr:to>
    <xdr:pic>
      <xdr:nvPicPr>
        <xdr:cNvPr id="4" name="Picture 3">
          <a:extLst>
            <a:ext uri="{FF2B5EF4-FFF2-40B4-BE49-F238E27FC236}">
              <a16:creationId xmlns:a16="http://schemas.microsoft.com/office/drawing/2014/main" id="{014F52AD-AF50-41FA-9489-1E107F6A5C87}"/>
            </a:ext>
          </a:extLst>
        </xdr:cNvPr>
        <xdr:cNvPicPr>
          <a:picLocks noChangeAspect="1"/>
        </xdr:cNvPicPr>
      </xdr:nvPicPr>
      <xdr:blipFill>
        <a:blip xmlns:r="http://schemas.openxmlformats.org/officeDocument/2006/relationships" r:embed="rId3"/>
        <a:stretch>
          <a:fillRect/>
        </a:stretch>
      </xdr:blipFill>
      <xdr:spPr>
        <a:xfrm>
          <a:off x="15058752" y="2438400"/>
          <a:ext cx="10065699" cy="4879249"/>
        </a:xfrm>
        <a:prstGeom prst="rect">
          <a:avLst/>
        </a:prstGeom>
      </xdr:spPr>
    </xdr:pic>
    <xdr:clientData/>
  </xdr:twoCellAnchor>
  <xdr:twoCellAnchor editAs="oneCell">
    <xdr:from>
      <xdr:col>13</xdr:col>
      <xdr:colOff>571498</xdr:colOff>
      <xdr:row>32</xdr:row>
      <xdr:rowOff>121227</xdr:rowOff>
    </xdr:from>
    <xdr:to>
      <xdr:col>34</xdr:col>
      <xdr:colOff>345968</xdr:colOff>
      <xdr:row>75</xdr:row>
      <xdr:rowOff>92848</xdr:rowOff>
    </xdr:to>
    <xdr:pic>
      <xdr:nvPicPr>
        <xdr:cNvPr id="5" name="Picture 4">
          <a:extLst>
            <a:ext uri="{FF2B5EF4-FFF2-40B4-BE49-F238E27FC236}">
              <a16:creationId xmlns:a16="http://schemas.microsoft.com/office/drawing/2014/main" id="{035A1503-184F-4C20-8339-4C8FE1AB78D9}"/>
            </a:ext>
          </a:extLst>
        </xdr:cNvPr>
        <xdr:cNvPicPr>
          <a:picLocks noChangeAspect="1"/>
        </xdr:cNvPicPr>
      </xdr:nvPicPr>
      <xdr:blipFill>
        <a:blip xmlns:r="http://schemas.openxmlformats.org/officeDocument/2006/relationships" r:embed="rId4"/>
        <a:stretch>
          <a:fillRect/>
        </a:stretch>
      </xdr:blipFill>
      <xdr:spPr>
        <a:xfrm>
          <a:off x="14744698" y="7419282"/>
          <a:ext cx="15564889" cy="775164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GF/FSpec/fspec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yseeng.sharepoint.com/sites/Projects/2021/L/LM21077/2%20Engineering/2a%20Analysis%20and%20Design/2a2%20Calculations/CA-S-0002%20Detailed%20Design/A.%20Superstructure/Main%20Girders%20E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Other%20computers\My%20Laptop\LM21279\2%20Engineering\2a%20Analysis%20and%20Design\2a2%20Calculations\LM21279-DYSE-CA-0001_Murtholm%20Design%20Calculations.xlsx" TargetMode="External"/><Relationship Id="rId1" Type="http://schemas.openxmlformats.org/officeDocument/2006/relationships/externalLinkPath" Target="file:///G:\Other%20computers\My%20Laptop\LM21279\2%20Engineering\2a%20Analysis%20and%20Design\2a2%20Calculations\LM21279-DYSE-CA-0001_Murtholm%20Design%20Calculation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yseeng.sharepoint.com/sites/Projects/2021/L/LM21077/2%20Engineering/2a%20Analysis%20and%20Design/2a2%20Calculations/CA-S-0002%20Detailed%20Design/A.%20Superstructure/LM21077%20Weld%20Stres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ign Summary"/>
      <sheetName val="blank_details"/>
      <sheetName val="Installation Sequence"/>
      <sheetName val="job_details"/>
      <sheetName val="walers"/>
      <sheetName val="mhbrace"/>
      <sheetName val="tankbrace"/>
      <sheetName val="manholebrace_data"/>
      <sheetName val="tankbrace_data"/>
      <sheetName val="walers_data"/>
      <sheetName val="sheets_data"/>
      <sheetName val="APIMNU"/>
      <sheetName val="lists"/>
      <sheetName val="programsettings"/>
      <sheetName val="drawingtemplate"/>
      <sheetName val="Sheet1"/>
      <sheetName val="SCIA - MGF Final"/>
    </sheetNames>
    <sheetDataSet>
      <sheetData sheetId="0" refreshError="1"/>
      <sheetData sheetId="1" refreshError="1"/>
      <sheetData sheetId="2" refreshError="1"/>
      <sheetData sheetId="3">
        <row r="9">
          <cell r="B9" t="str">
            <v>m</v>
          </cell>
        </row>
        <row r="10">
          <cell r="B10" t="str">
            <v>NO</v>
          </cell>
        </row>
        <row r="11">
          <cell r="B11" t="str">
            <v>Safe Working Load (SLS)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5">
          <cell r="B5">
            <v>150</v>
          </cell>
        </row>
        <row r="6">
          <cell r="B6">
            <v>120</v>
          </cell>
        </row>
      </sheetData>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TOC"/>
      <sheetName val="Start"/>
      <sheetName val="Steel Prop"/>
      <sheetName val="Section Prop"/>
      <sheetName val="Thermal"/>
      <sheetName val="Shrinkage"/>
      <sheetName val="Load Effects"/>
      <sheetName val="Bending"/>
      <sheetName val="Shear"/>
      <sheetName val="Deflection"/>
      <sheetName val="Intermediate web stiff"/>
      <sheetName val="Bearing Stiffener"/>
      <sheetName val="Weld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A.Cover "/>
      <sheetName val="I.A.Cover  (2)"/>
      <sheetName val="100 Intro"/>
      <sheetName val="200 Geometry"/>
      <sheetName val="300 Idealisation"/>
      <sheetName val="400 Parameters &amp; Properties"/>
      <sheetName val="500 Loads"/>
      <sheetName val="502 Wind Load SS"/>
      <sheetName val="503 Footway Live Load"/>
      <sheetName val="501 Wind Load"/>
      <sheetName val="502 Thermal Load"/>
      <sheetName val="502 Thermal Load Ramp"/>
      <sheetName val="504 Hydraulic"/>
      <sheetName val="600 Stress Check"/>
      <sheetName val="611 Jacking Location"/>
      <sheetName val="601 PPT Loads"/>
      <sheetName val="605 Cross Beams"/>
      <sheetName val="605 Deck and Stiffeners"/>
      <sheetName val="605 Deck Plate"/>
      <sheetName val="701 Welds"/>
      <sheetName val="wELD"/>
      <sheetName val="702 Ramp Bearing"/>
      <sheetName val="Splice Top Chord bolts"/>
      <sheetName val="Splice Bottom Chord2"/>
      <sheetName val="903 Substructure check"/>
      <sheetName val="904 Base forces and Pile Loads"/>
      <sheetName val="Start"/>
      <sheetName val="Bottom Chord Splice"/>
      <sheetName val="Top Chord Splice"/>
      <sheetName val="TCB Resistance"/>
      <sheetName val="Loads"/>
      <sheetName val="Actions"/>
      <sheetName val="Geometry"/>
      <sheetName val="Sheet8"/>
      <sheetName val="Time History"/>
      <sheetName val="BS EN 1991-2003"/>
      <sheetName val="BS 5400-2"/>
      <sheetName val="BS EN 1991-2003 (ramp)"/>
      <sheetName val="Crowd"/>
      <sheetName val="Crowd (ramp)"/>
      <sheetName val="ss Walking"/>
      <sheetName val="ss Jogg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1"/>
      <sheetName val="Long Stress"/>
      <sheetName val="Not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9A216-5288-4E4B-99CE-CC4FC31C8DEA}">
  <sheetPr codeName="Sheet1">
    <pageSetUpPr fitToPage="1"/>
  </sheetPr>
  <dimension ref="B2:DB683"/>
  <sheetViews>
    <sheetView tabSelected="1" topLeftCell="A461" zoomScale="130" zoomScaleNormal="130" zoomScaleSheetLayoutView="130" workbookViewId="0">
      <selection activeCell="B478" sqref="B478:AJ485"/>
    </sheetView>
  </sheetViews>
  <sheetFormatPr defaultColWidth="2.77734375" defaultRowHeight="12.75" customHeight="1"/>
  <cols>
    <col min="1" max="1" width="2.77734375" style="1"/>
    <col min="2" max="35" width="1.77734375" style="1" customWidth="1"/>
    <col min="36" max="36" width="1.77734375" style="19" customWidth="1"/>
    <col min="37" max="55" width="1.77734375" style="1" customWidth="1"/>
    <col min="56" max="16384" width="2.77734375" style="1"/>
  </cols>
  <sheetData>
    <row r="2" spans="2:106" ht="12.75" customHeight="1">
      <c r="B2" s="495"/>
      <c r="C2" s="454"/>
      <c r="D2" s="454"/>
      <c r="E2" s="454"/>
      <c r="F2" s="454"/>
      <c r="G2" s="454"/>
      <c r="H2" s="454"/>
      <c r="I2" s="454"/>
      <c r="J2" s="454"/>
      <c r="K2" s="454"/>
      <c r="L2" s="454"/>
      <c r="M2" s="454"/>
      <c r="N2" s="454"/>
      <c r="O2" s="454"/>
      <c r="P2" s="454"/>
      <c r="Q2" s="454"/>
      <c r="R2" s="454"/>
      <c r="S2" s="454"/>
      <c r="T2" s="454"/>
      <c r="U2" s="455"/>
      <c r="V2" s="478" t="s">
        <v>0</v>
      </c>
      <c r="W2" s="479"/>
      <c r="X2" s="479"/>
      <c r="Y2" s="479"/>
      <c r="Z2" s="479"/>
      <c r="AA2" s="479"/>
      <c r="AB2" s="479"/>
      <c r="AC2" s="479"/>
      <c r="AD2" s="479"/>
      <c r="AE2" s="479"/>
      <c r="AF2" s="479"/>
      <c r="AG2" s="479"/>
      <c r="AH2" s="479"/>
      <c r="AI2" s="479"/>
      <c r="AJ2" s="480"/>
      <c r="AK2" s="496" t="s">
        <v>1</v>
      </c>
      <c r="AL2" s="497"/>
      <c r="AM2" s="497"/>
      <c r="AN2" s="497"/>
      <c r="AO2" s="497"/>
      <c r="AP2" s="379" t="s">
        <v>10</v>
      </c>
      <c r="AQ2" s="379"/>
      <c r="AR2" s="379"/>
      <c r="AS2" s="379"/>
      <c r="AT2" s="379"/>
      <c r="AU2" s="379"/>
      <c r="AV2" s="379"/>
      <c r="AW2" s="379"/>
      <c r="AX2" s="379"/>
      <c r="AY2" s="379"/>
      <c r="AZ2" s="379"/>
      <c r="BA2" s="379"/>
      <c r="BB2" s="379"/>
      <c r="BC2" s="380"/>
    </row>
    <row r="3" spans="2:106" ht="12.75" customHeight="1">
      <c r="B3" s="452"/>
      <c r="C3" s="453"/>
      <c r="D3" s="453"/>
      <c r="E3" s="453"/>
      <c r="F3" s="453"/>
      <c r="G3" s="453"/>
      <c r="H3" s="453"/>
      <c r="I3" s="453"/>
      <c r="J3" s="453"/>
      <c r="K3" s="453"/>
      <c r="L3" s="453"/>
      <c r="M3" s="453"/>
      <c r="N3" s="453"/>
      <c r="O3" s="453"/>
      <c r="P3" s="453"/>
      <c r="Q3" s="453"/>
      <c r="R3" s="453"/>
      <c r="S3" s="453"/>
      <c r="T3" s="453"/>
      <c r="U3" s="456"/>
      <c r="V3" s="481"/>
      <c r="W3" s="482"/>
      <c r="X3" s="482"/>
      <c r="Y3" s="482"/>
      <c r="Z3" s="482"/>
      <c r="AA3" s="482"/>
      <c r="AB3" s="482"/>
      <c r="AC3" s="482"/>
      <c r="AD3" s="482"/>
      <c r="AE3" s="482"/>
      <c r="AF3" s="482"/>
      <c r="AG3" s="482"/>
      <c r="AH3" s="482"/>
      <c r="AI3" s="482"/>
      <c r="AJ3" s="483"/>
      <c r="AK3" s="358"/>
      <c r="AL3" s="359"/>
      <c r="AM3" s="359"/>
      <c r="AN3" s="359"/>
      <c r="AO3" s="359"/>
      <c r="AP3" s="381"/>
      <c r="AQ3" s="381"/>
      <c r="AR3" s="381"/>
      <c r="AS3" s="381"/>
      <c r="AT3" s="381"/>
      <c r="AU3" s="381"/>
      <c r="AV3" s="381"/>
      <c r="AW3" s="381"/>
      <c r="AX3" s="381"/>
      <c r="AY3" s="381"/>
      <c r="AZ3" s="381"/>
      <c r="BA3" s="381"/>
      <c r="BB3" s="381"/>
      <c r="BC3" s="382"/>
    </row>
    <row r="4" spans="2:106" ht="12.75" customHeight="1">
      <c r="B4" s="452"/>
      <c r="C4" s="453"/>
      <c r="D4" s="453"/>
      <c r="E4" s="453"/>
      <c r="F4" s="453"/>
      <c r="G4" s="453"/>
      <c r="H4" s="453"/>
      <c r="I4" s="453"/>
      <c r="J4" s="453"/>
      <c r="K4" s="453"/>
      <c r="L4" s="453"/>
      <c r="M4" s="453"/>
      <c r="N4" s="453"/>
      <c r="O4" s="453"/>
      <c r="P4" s="453"/>
      <c r="Q4" s="453"/>
      <c r="R4" s="453"/>
      <c r="S4" s="453"/>
      <c r="T4" s="453"/>
      <c r="U4" s="456"/>
      <c r="V4" s="481"/>
      <c r="W4" s="482"/>
      <c r="X4" s="482"/>
      <c r="Y4" s="482"/>
      <c r="Z4" s="482"/>
      <c r="AA4" s="482"/>
      <c r="AB4" s="482"/>
      <c r="AC4" s="482"/>
      <c r="AD4" s="482"/>
      <c r="AE4" s="482"/>
      <c r="AF4" s="482"/>
      <c r="AG4" s="482"/>
      <c r="AH4" s="482"/>
      <c r="AI4" s="482"/>
      <c r="AJ4" s="483"/>
      <c r="AK4" s="358" t="s">
        <v>2</v>
      </c>
      <c r="AL4" s="359"/>
      <c r="AM4" s="359"/>
      <c r="AN4" s="359"/>
      <c r="AO4" s="359"/>
      <c r="AP4" s="381" t="s">
        <v>11</v>
      </c>
      <c r="AQ4" s="381"/>
      <c r="AR4" s="381"/>
      <c r="AS4" s="381"/>
      <c r="AT4" s="381"/>
      <c r="AU4" s="381"/>
      <c r="AV4" s="381"/>
      <c r="AW4" s="381"/>
      <c r="AX4" s="381"/>
      <c r="AY4" s="381"/>
      <c r="AZ4" s="381"/>
      <c r="BA4" s="381"/>
      <c r="BB4" s="381"/>
      <c r="BC4" s="382"/>
    </row>
    <row r="5" spans="2:106" ht="12.75" customHeight="1">
      <c r="B5" s="452"/>
      <c r="C5" s="453"/>
      <c r="D5" s="453"/>
      <c r="E5" s="453"/>
      <c r="F5" s="453"/>
      <c r="G5" s="453"/>
      <c r="H5" s="453"/>
      <c r="I5" s="453"/>
      <c r="J5" s="453"/>
      <c r="K5" s="453"/>
      <c r="L5" s="453"/>
      <c r="M5" s="453"/>
      <c r="N5" s="453"/>
      <c r="O5" s="453"/>
      <c r="P5" s="453"/>
      <c r="Q5" s="453"/>
      <c r="R5" s="453"/>
      <c r="S5" s="453"/>
      <c r="T5" s="453"/>
      <c r="U5" s="456"/>
      <c r="V5" s="481"/>
      <c r="W5" s="482"/>
      <c r="X5" s="482"/>
      <c r="Y5" s="482"/>
      <c r="Z5" s="482"/>
      <c r="AA5" s="482"/>
      <c r="AB5" s="482"/>
      <c r="AC5" s="482"/>
      <c r="AD5" s="482"/>
      <c r="AE5" s="482"/>
      <c r="AF5" s="482"/>
      <c r="AG5" s="482"/>
      <c r="AH5" s="482"/>
      <c r="AI5" s="482"/>
      <c r="AJ5" s="483"/>
      <c r="AK5" s="358"/>
      <c r="AL5" s="359"/>
      <c r="AM5" s="359"/>
      <c r="AN5" s="359"/>
      <c r="AO5" s="359"/>
      <c r="AP5" s="381"/>
      <c r="AQ5" s="381"/>
      <c r="AR5" s="381"/>
      <c r="AS5" s="381"/>
      <c r="AT5" s="381"/>
      <c r="AU5" s="381"/>
      <c r="AV5" s="381"/>
      <c r="AW5" s="381"/>
      <c r="AX5" s="381"/>
      <c r="AY5" s="381"/>
      <c r="AZ5" s="381"/>
      <c r="BA5" s="381"/>
      <c r="BB5" s="381"/>
      <c r="BC5" s="382"/>
    </row>
    <row r="6" spans="2:106" ht="12.75" customHeight="1">
      <c r="B6" s="452"/>
      <c r="C6" s="453"/>
      <c r="D6" s="453"/>
      <c r="E6" s="453"/>
      <c r="F6" s="453"/>
      <c r="G6" s="453"/>
      <c r="H6" s="453"/>
      <c r="I6" s="453"/>
      <c r="J6" s="453"/>
      <c r="K6" s="453"/>
      <c r="L6" s="453"/>
      <c r="M6" s="453"/>
      <c r="N6" s="453"/>
      <c r="O6" s="453"/>
      <c r="P6" s="453"/>
      <c r="Q6" s="453"/>
      <c r="R6" s="453"/>
      <c r="S6" s="453"/>
      <c r="T6" s="453"/>
      <c r="U6" s="456"/>
      <c r="V6" s="481"/>
      <c r="W6" s="482"/>
      <c r="X6" s="482"/>
      <c r="Y6" s="482"/>
      <c r="Z6" s="482"/>
      <c r="AA6" s="482"/>
      <c r="AB6" s="482"/>
      <c r="AC6" s="482"/>
      <c r="AD6" s="482"/>
      <c r="AE6" s="482"/>
      <c r="AF6" s="482"/>
      <c r="AG6" s="482"/>
      <c r="AH6" s="482"/>
      <c r="AI6" s="482"/>
      <c r="AJ6" s="483"/>
      <c r="AK6" s="401" t="s">
        <v>3</v>
      </c>
      <c r="AL6" s="401"/>
      <c r="AM6" s="401"/>
      <c r="AN6" s="401"/>
      <c r="AO6" s="401"/>
      <c r="AP6" s="381">
        <v>1</v>
      </c>
      <c r="AQ6" s="381"/>
      <c r="AR6" s="381"/>
      <c r="AS6" s="381"/>
      <c r="AT6" s="381"/>
      <c r="AU6" s="381"/>
      <c r="AV6" s="381"/>
      <c r="AW6" s="381"/>
      <c r="AX6" s="381"/>
      <c r="AY6" s="381"/>
      <c r="AZ6" s="381"/>
      <c r="BA6" s="381"/>
      <c r="BB6" s="381"/>
      <c r="BC6" s="382"/>
    </row>
    <row r="7" spans="2:106" ht="12.75" customHeight="1">
      <c r="B7" s="452"/>
      <c r="C7" s="453"/>
      <c r="D7" s="453"/>
      <c r="E7" s="453"/>
      <c r="F7" s="453"/>
      <c r="G7" s="453"/>
      <c r="H7" s="453"/>
      <c r="I7" s="453"/>
      <c r="J7" s="453"/>
      <c r="K7" s="453"/>
      <c r="L7" s="453"/>
      <c r="M7" s="453"/>
      <c r="N7" s="453"/>
      <c r="O7" s="453"/>
      <c r="P7" s="453"/>
      <c r="Q7" s="453"/>
      <c r="R7" s="453"/>
      <c r="S7" s="453"/>
      <c r="T7" s="453"/>
      <c r="U7" s="456"/>
      <c r="V7" s="481"/>
      <c r="W7" s="482"/>
      <c r="X7" s="482"/>
      <c r="Y7" s="482"/>
      <c r="Z7" s="482"/>
      <c r="AA7" s="482"/>
      <c r="AB7" s="482"/>
      <c r="AC7" s="482"/>
      <c r="AD7" s="482"/>
      <c r="AE7" s="482"/>
      <c r="AF7" s="482"/>
      <c r="AG7" s="482"/>
      <c r="AH7" s="482"/>
      <c r="AI7" s="482"/>
      <c r="AJ7" s="483"/>
      <c r="AK7" s="401" t="s">
        <v>4</v>
      </c>
      <c r="AL7" s="401"/>
      <c r="AM7" s="401"/>
      <c r="AN7" s="401"/>
      <c r="AO7" s="401"/>
      <c r="AP7" s="383">
        <f ca="1">TODAY()</f>
        <v>45928</v>
      </c>
      <c r="AQ7" s="383"/>
      <c r="AR7" s="383"/>
      <c r="AS7" s="383"/>
      <c r="AT7" s="383"/>
      <c r="AU7" s="383"/>
      <c r="AV7" s="383"/>
      <c r="AW7" s="383"/>
      <c r="AX7" s="383"/>
      <c r="AY7" s="383"/>
      <c r="AZ7" s="383"/>
      <c r="BA7" s="383"/>
      <c r="BB7" s="383"/>
      <c r="BC7" s="384"/>
    </row>
    <row r="8" spans="2:106" ht="12.75" customHeight="1">
      <c r="B8" s="452"/>
      <c r="C8" s="453"/>
      <c r="D8" s="453"/>
      <c r="E8" s="453"/>
      <c r="F8" s="453"/>
      <c r="G8" s="453"/>
      <c r="H8" s="453"/>
      <c r="I8" s="453"/>
      <c r="J8" s="453"/>
      <c r="K8" s="453"/>
      <c r="L8" s="453"/>
      <c r="M8" s="453"/>
      <c r="N8" s="453"/>
      <c r="O8" s="453"/>
      <c r="P8" s="453"/>
      <c r="Q8" s="453"/>
      <c r="R8" s="453"/>
      <c r="S8" s="453"/>
      <c r="T8" s="453"/>
      <c r="U8" s="456"/>
      <c r="V8" s="481"/>
      <c r="W8" s="482"/>
      <c r="X8" s="482"/>
      <c r="Y8" s="482"/>
      <c r="Z8" s="482"/>
      <c r="AA8" s="482"/>
      <c r="AB8" s="482"/>
      <c r="AC8" s="482"/>
      <c r="AD8" s="482"/>
      <c r="AE8" s="482"/>
      <c r="AF8" s="482"/>
      <c r="AG8" s="482"/>
      <c r="AH8" s="482"/>
      <c r="AI8" s="482"/>
      <c r="AJ8" s="483"/>
      <c r="AK8" s="401" t="s">
        <v>5</v>
      </c>
      <c r="AL8" s="401"/>
      <c r="AM8" s="401"/>
      <c r="AN8" s="401"/>
      <c r="AO8" s="401"/>
      <c r="AP8" s="381" t="s">
        <v>12</v>
      </c>
      <c r="AQ8" s="381"/>
      <c r="AR8" s="381"/>
      <c r="AS8" s="381"/>
      <c r="AT8" s="381"/>
      <c r="AU8" s="381"/>
      <c r="AV8" s="381"/>
      <c r="AW8" s="381"/>
      <c r="AX8" s="381"/>
      <c r="AY8" s="381"/>
      <c r="AZ8" s="381"/>
      <c r="BA8" s="381"/>
      <c r="BB8" s="381"/>
      <c r="BC8" s="38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row>
    <row r="9" spans="2:106" ht="12.75" customHeight="1">
      <c r="B9" s="457"/>
      <c r="C9" s="458"/>
      <c r="D9" s="458"/>
      <c r="E9" s="458"/>
      <c r="F9" s="458"/>
      <c r="G9" s="458"/>
      <c r="H9" s="458"/>
      <c r="I9" s="458"/>
      <c r="J9" s="458"/>
      <c r="K9" s="458"/>
      <c r="L9" s="458"/>
      <c r="M9" s="458"/>
      <c r="N9" s="458"/>
      <c r="O9" s="458"/>
      <c r="P9" s="458"/>
      <c r="Q9" s="458"/>
      <c r="R9" s="458"/>
      <c r="S9" s="458"/>
      <c r="T9" s="458"/>
      <c r="U9" s="459"/>
      <c r="V9" s="484"/>
      <c r="W9" s="485"/>
      <c r="X9" s="485"/>
      <c r="Y9" s="485"/>
      <c r="Z9" s="485"/>
      <c r="AA9" s="485"/>
      <c r="AB9" s="485"/>
      <c r="AC9" s="485"/>
      <c r="AD9" s="485"/>
      <c r="AE9" s="485"/>
      <c r="AF9" s="485"/>
      <c r="AG9" s="485"/>
      <c r="AH9" s="485"/>
      <c r="AI9" s="485"/>
      <c r="AJ9" s="486"/>
      <c r="AK9" s="460" t="s">
        <v>6</v>
      </c>
      <c r="AL9" s="460"/>
      <c r="AM9" s="460"/>
      <c r="AN9" s="460"/>
      <c r="AO9" s="460"/>
      <c r="AP9" s="386" t="s">
        <v>252</v>
      </c>
      <c r="AQ9" s="386"/>
      <c r="AR9" s="386"/>
      <c r="AS9" s="386"/>
      <c r="AT9" s="386"/>
      <c r="AU9" s="386"/>
      <c r="AV9" s="386"/>
      <c r="AW9" s="386"/>
      <c r="AX9" s="386"/>
      <c r="AY9" s="386"/>
      <c r="AZ9" s="386"/>
      <c r="BA9" s="386"/>
      <c r="BB9" s="386"/>
      <c r="BC9" s="387"/>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row>
    <row r="10" spans="2:106" ht="12.75" customHeight="1">
      <c r="B10" s="360" t="s">
        <v>7</v>
      </c>
      <c r="C10" s="361"/>
      <c r="D10" s="361"/>
      <c r="E10" s="361"/>
      <c r="F10" s="361"/>
      <c r="G10" s="361"/>
      <c r="H10" s="361"/>
      <c r="I10" s="361"/>
      <c r="J10" s="361"/>
      <c r="K10" s="361"/>
      <c r="L10" s="361"/>
      <c r="M10" s="361"/>
      <c r="N10" s="361"/>
      <c r="O10" s="361"/>
      <c r="P10" s="361"/>
      <c r="Q10" s="361"/>
      <c r="R10" s="361"/>
      <c r="S10" s="361"/>
      <c r="T10" s="361"/>
      <c r="U10" s="361"/>
      <c r="V10" s="361"/>
      <c r="W10" s="361"/>
      <c r="X10" s="361"/>
      <c r="Y10" s="361"/>
      <c r="Z10" s="361"/>
      <c r="AA10" s="361"/>
      <c r="AB10" s="361"/>
      <c r="AC10" s="361"/>
      <c r="AD10" s="361"/>
      <c r="AE10" s="361"/>
      <c r="AF10" s="361"/>
      <c r="AG10" s="361"/>
      <c r="AH10" s="361"/>
      <c r="AI10" s="361"/>
      <c r="AJ10" s="361"/>
      <c r="AK10" s="361"/>
      <c r="AL10" s="361"/>
      <c r="AM10" s="361"/>
      <c r="AN10" s="361"/>
      <c r="AO10" s="361"/>
      <c r="AP10" s="361"/>
      <c r="AQ10" s="361"/>
      <c r="AR10" s="361"/>
      <c r="AS10" s="361"/>
      <c r="AT10" s="361"/>
      <c r="AU10" s="361"/>
      <c r="AV10" s="361"/>
      <c r="AW10" s="361"/>
      <c r="AX10" s="361"/>
      <c r="AY10" s="361"/>
      <c r="AZ10" s="361"/>
      <c r="BA10" s="361"/>
      <c r="BB10" s="361"/>
      <c r="BC10" s="36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row>
    <row r="11" spans="2:106" ht="12.75" customHeight="1">
      <c r="B11" s="363"/>
      <c r="C11" s="364"/>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64"/>
      <c r="AI11" s="364"/>
      <c r="AJ11" s="364"/>
      <c r="AK11" s="364"/>
      <c r="AL11" s="364"/>
      <c r="AM11" s="364"/>
      <c r="AN11" s="364"/>
      <c r="AO11" s="364"/>
      <c r="AP11" s="364"/>
      <c r="AQ11" s="364"/>
      <c r="AR11" s="364"/>
      <c r="AS11" s="364"/>
      <c r="AT11" s="364"/>
      <c r="AU11" s="364"/>
      <c r="AV11" s="364"/>
      <c r="AW11" s="364"/>
      <c r="AX11" s="364"/>
      <c r="AY11" s="364"/>
      <c r="AZ11" s="364"/>
      <c r="BA11" s="364"/>
      <c r="BB11" s="364"/>
      <c r="BC11" s="365"/>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row>
    <row r="12" spans="2:106" ht="12.75" customHeight="1">
      <c r="B12" s="376"/>
      <c r="C12" s="377"/>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7"/>
      <c r="AI12" s="377"/>
      <c r="AJ12" s="377"/>
      <c r="AK12" s="377"/>
      <c r="AL12" s="377"/>
      <c r="AM12" s="377"/>
      <c r="AN12" s="377"/>
      <c r="AO12" s="377"/>
      <c r="AP12" s="377"/>
      <c r="AQ12" s="377"/>
      <c r="AR12" s="377"/>
      <c r="AS12" s="377"/>
      <c r="AT12" s="377"/>
      <c r="AU12" s="377"/>
      <c r="AV12" s="377"/>
      <c r="AW12" s="377"/>
      <c r="AX12" s="377"/>
      <c r="AY12" s="377"/>
      <c r="AZ12" s="377"/>
      <c r="BA12" s="377"/>
      <c r="BB12" s="377"/>
      <c r="BC12" s="378"/>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row>
    <row r="13" spans="2:106" ht="12.75" customHeight="1">
      <c r="B13" s="461" t="s">
        <v>8</v>
      </c>
      <c r="C13" s="462"/>
      <c r="D13" s="462"/>
      <c r="E13" s="462"/>
      <c r="F13" s="462"/>
      <c r="G13" s="462"/>
      <c r="H13" s="463"/>
      <c r="I13" s="313"/>
      <c r="J13" s="314"/>
      <c r="K13" s="314"/>
      <c r="L13" s="314"/>
      <c r="M13" s="314"/>
      <c r="N13" s="314"/>
      <c r="O13" s="314"/>
      <c r="P13" s="314"/>
      <c r="Q13" s="314"/>
      <c r="R13" s="314"/>
      <c r="S13" s="314"/>
      <c r="T13" s="314"/>
      <c r="U13" s="314"/>
      <c r="V13" s="314"/>
      <c r="W13" s="314"/>
      <c r="X13" s="314"/>
      <c r="Y13" s="314"/>
      <c r="Z13" s="314"/>
      <c r="AA13" s="314"/>
      <c r="AB13" s="314"/>
      <c r="AC13" s="314"/>
      <c r="AD13" s="314"/>
      <c r="AE13" s="314"/>
      <c r="AF13" s="314"/>
      <c r="AG13" s="314"/>
      <c r="AH13" s="314"/>
      <c r="AI13" s="314"/>
      <c r="AJ13" s="314"/>
      <c r="AK13" s="314"/>
      <c r="AL13" s="314"/>
      <c r="AM13" s="314"/>
      <c r="AN13" s="314"/>
      <c r="AO13" s="78"/>
      <c r="AP13" s="78"/>
      <c r="AQ13" s="78"/>
      <c r="AR13" s="78"/>
      <c r="AS13" s="78"/>
      <c r="AT13" s="78"/>
      <c r="AU13" s="78"/>
      <c r="AV13" s="315"/>
      <c r="AW13" s="403" t="s">
        <v>9</v>
      </c>
      <c r="AX13" s="404"/>
      <c r="AY13" s="404"/>
      <c r="AZ13" s="404"/>
      <c r="BA13" s="404"/>
      <c r="BB13" s="404"/>
      <c r="BC13" s="405"/>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row>
    <row r="14" spans="2:106" ht="12.75" customHeight="1">
      <c r="B14" s="66"/>
      <c r="C14" s="110"/>
      <c r="D14" s="109"/>
      <c r="E14" s="109"/>
      <c r="F14" s="109"/>
      <c r="G14" s="109"/>
      <c r="H14" s="67"/>
      <c r="I14" s="140"/>
      <c r="J14" s="175" t="s">
        <v>92</v>
      </c>
      <c r="K14" s="176"/>
      <c r="L14" s="175"/>
      <c r="M14" s="176"/>
      <c r="N14" s="175"/>
      <c r="O14" s="176"/>
      <c r="P14" s="177"/>
      <c r="Q14" s="177"/>
      <c r="R14" s="177"/>
      <c r="S14" s="177"/>
      <c r="T14" s="177"/>
      <c r="U14" s="177"/>
      <c r="V14" s="177"/>
      <c r="W14" s="177"/>
      <c r="X14" s="177"/>
      <c r="Y14" s="177"/>
      <c r="Z14" s="177"/>
      <c r="AA14" s="177"/>
      <c r="AB14" s="177"/>
      <c r="AC14" s="177"/>
      <c r="AD14" s="177"/>
      <c r="AE14" s="177"/>
      <c r="AF14" s="177"/>
      <c r="AG14" s="177"/>
      <c r="AH14" s="177"/>
      <c r="AI14" s="177"/>
      <c r="AJ14" s="177"/>
      <c r="AK14" s="177"/>
      <c r="AL14" s="177"/>
      <c r="AM14" s="177"/>
      <c r="AN14" s="178"/>
      <c r="AO14" s="178"/>
      <c r="AP14" s="178"/>
      <c r="AQ14" s="178"/>
      <c r="AR14" s="178"/>
      <c r="AS14" s="178"/>
      <c r="AT14" s="179"/>
      <c r="AU14" s="180"/>
      <c r="AV14" s="143"/>
      <c r="AW14" s="68"/>
      <c r="AX14" s="69"/>
      <c r="AY14" s="69"/>
      <c r="AZ14" s="69"/>
      <c r="BA14" s="69"/>
      <c r="BB14" s="69"/>
      <c r="BC14" s="5"/>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row>
    <row r="15" spans="2:106" ht="12.75" customHeight="1">
      <c r="B15" s="66"/>
      <c r="C15" s="110"/>
      <c r="D15" s="109"/>
      <c r="E15" s="109"/>
      <c r="F15" s="109"/>
      <c r="G15" s="109"/>
      <c r="H15" s="67"/>
      <c r="I15" s="140"/>
      <c r="J15" s="181" t="s">
        <v>93</v>
      </c>
      <c r="K15" s="176"/>
      <c r="L15" s="181"/>
      <c r="M15" s="176"/>
      <c r="N15" s="181"/>
      <c r="O15" s="176"/>
      <c r="P15" s="177"/>
      <c r="Q15" s="177"/>
      <c r="R15" s="177"/>
      <c r="S15" s="177"/>
      <c r="T15" s="177"/>
      <c r="U15" s="177"/>
      <c r="V15" s="177"/>
      <c r="W15" s="177"/>
      <c r="X15" s="177"/>
      <c r="Y15" s="177"/>
      <c r="Z15" s="177"/>
      <c r="AA15" s="177"/>
      <c r="AB15" s="177"/>
      <c r="AC15" s="177"/>
      <c r="AD15" s="177"/>
      <c r="AE15" s="177"/>
      <c r="AF15" s="177"/>
      <c r="AG15" s="177"/>
      <c r="AH15" s="177"/>
      <c r="AI15" s="177"/>
      <c r="AJ15" s="177"/>
      <c r="AK15" s="177"/>
      <c r="AL15" s="177"/>
      <c r="AM15" s="177"/>
      <c r="AN15" s="182"/>
      <c r="AO15" s="178"/>
      <c r="AP15" s="178"/>
      <c r="AQ15" s="178"/>
      <c r="AR15" s="178"/>
      <c r="AS15" s="178"/>
      <c r="AT15" s="177"/>
      <c r="AU15" s="177"/>
      <c r="AV15" s="143"/>
      <c r="AW15" s="68"/>
      <c r="AX15" s="69"/>
      <c r="AY15" s="69"/>
      <c r="AZ15" s="69"/>
      <c r="BA15" s="69"/>
      <c r="BB15" s="69"/>
      <c r="BC15" s="5"/>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row>
    <row r="16" spans="2:106" ht="12.75" customHeight="1">
      <c r="B16" s="66"/>
      <c r="C16" s="110"/>
      <c r="D16" s="109"/>
      <c r="E16" s="109"/>
      <c r="F16" s="109"/>
      <c r="G16" s="109"/>
      <c r="H16" s="67"/>
      <c r="I16" s="145"/>
      <c r="J16" s="181" t="s">
        <v>190</v>
      </c>
      <c r="K16" s="176"/>
      <c r="L16" s="181"/>
      <c r="M16" s="176"/>
      <c r="N16" s="181"/>
      <c r="O16" s="176"/>
      <c r="P16" s="177"/>
      <c r="Q16" s="177"/>
      <c r="R16" s="177"/>
      <c r="S16" s="177"/>
      <c r="T16" s="177"/>
      <c r="U16" s="177"/>
      <c r="V16" s="177"/>
      <c r="W16" s="177"/>
      <c r="X16" s="177"/>
      <c r="Y16" s="177"/>
      <c r="Z16" s="177"/>
      <c r="AA16" s="177"/>
      <c r="AB16" s="177"/>
      <c r="AC16" s="177"/>
      <c r="AD16" s="177"/>
      <c r="AE16" s="177"/>
      <c r="AF16" s="177"/>
      <c r="AG16" s="177"/>
      <c r="AH16" s="177"/>
      <c r="AI16" s="177"/>
      <c r="AJ16" s="177"/>
      <c r="AK16" s="177"/>
      <c r="AL16" s="177"/>
      <c r="AM16" s="177"/>
      <c r="AN16" s="182"/>
      <c r="AO16" s="178"/>
      <c r="AP16" s="178"/>
      <c r="AQ16" s="178"/>
      <c r="AR16" s="178"/>
      <c r="AS16" s="178"/>
      <c r="AT16" s="177"/>
      <c r="AU16" s="177"/>
      <c r="AV16" s="143"/>
      <c r="AW16" s="68"/>
      <c r="AX16" s="69"/>
      <c r="AY16" s="69"/>
      <c r="AZ16" s="69"/>
      <c r="BA16" s="69"/>
      <c r="BB16" s="69"/>
      <c r="BC16" s="5"/>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row>
    <row r="17" spans="2:106" ht="12.75" customHeight="1">
      <c r="B17" s="66"/>
      <c r="C17" s="110"/>
      <c r="D17" s="109"/>
      <c r="E17" s="109"/>
      <c r="F17" s="109"/>
      <c r="G17" s="109"/>
      <c r="H17" s="67"/>
      <c r="I17" s="140"/>
      <c r="J17" s="181" t="s">
        <v>256</v>
      </c>
      <c r="K17" s="176"/>
      <c r="L17" s="181"/>
      <c r="M17" s="176"/>
      <c r="N17" s="181"/>
      <c r="O17" s="176"/>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77"/>
      <c r="AM17" s="177"/>
      <c r="AN17" s="182"/>
      <c r="AO17" s="178"/>
      <c r="AP17" s="178"/>
      <c r="AQ17" s="178"/>
      <c r="AR17" s="178"/>
      <c r="AS17" s="178"/>
      <c r="AT17" s="177"/>
      <c r="AU17" s="177"/>
      <c r="AV17" s="143"/>
      <c r="AW17" s="68"/>
      <c r="AX17" s="69"/>
      <c r="AY17" s="69"/>
      <c r="AZ17" s="69"/>
      <c r="BA17" s="69"/>
      <c r="BB17" s="69"/>
      <c r="BC17" s="5"/>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row>
    <row r="18" spans="2:106" ht="12.75" customHeight="1">
      <c r="B18" s="66"/>
      <c r="C18" s="110"/>
      <c r="D18" s="109"/>
      <c r="E18" s="109"/>
      <c r="F18" s="109"/>
      <c r="G18" s="109"/>
      <c r="H18" s="67"/>
      <c r="I18" s="145"/>
      <c r="J18" s="181" t="s">
        <v>259</v>
      </c>
      <c r="K18" s="176"/>
      <c r="L18" s="181"/>
      <c r="M18" s="176"/>
      <c r="N18" s="181"/>
      <c r="O18" s="176"/>
      <c r="P18" s="177"/>
      <c r="Q18" s="177"/>
      <c r="R18" s="177"/>
      <c r="S18" s="177"/>
      <c r="T18" s="177"/>
      <c r="U18" s="177"/>
      <c r="V18" s="177"/>
      <c r="W18" s="177"/>
      <c r="X18" s="177"/>
      <c r="Y18" s="177"/>
      <c r="Z18" s="183"/>
      <c r="AA18" s="183"/>
      <c r="AB18" s="183"/>
      <c r="AC18" s="183"/>
      <c r="AD18" s="183"/>
      <c r="AE18" s="183"/>
      <c r="AF18" s="183"/>
      <c r="AG18" s="183"/>
      <c r="AH18" s="183"/>
      <c r="AI18" s="183"/>
      <c r="AJ18" s="183"/>
      <c r="AK18" s="183"/>
      <c r="AL18" s="177"/>
      <c r="AM18" s="177"/>
      <c r="AN18" s="182"/>
      <c r="AO18" s="178"/>
      <c r="AP18" s="178"/>
      <c r="AQ18" s="178"/>
      <c r="AR18" s="178"/>
      <c r="AS18" s="178"/>
      <c r="AT18" s="179"/>
      <c r="AU18" s="180"/>
      <c r="AV18" s="143"/>
      <c r="AW18" s="68"/>
      <c r="AX18" s="69"/>
      <c r="AY18" s="69"/>
      <c r="AZ18" s="69"/>
      <c r="BA18" s="69"/>
      <c r="BB18" s="69"/>
      <c r="BC18" s="5"/>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row>
    <row r="19" spans="2:106" ht="12.75" customHeight="1">
      <c r="B19" s="66"/>
      <c r="C19" s="110"/>
      <c r="D19" s="109"/>
      <c r="E19" s="109"/>
      <c r="F19" s="109"/>
      <c r="G19" s="109"/>
      <c r="H19" s="67"/>
      <c r="I19" s="145"/>
      <c r="J19" s="184" t="s">
        <v>180</v>
      </c>
      <c r="K19" s="176"/>
      <c r="L19" s="181"/>
      <c r="M19" s="176"/>
      <c r="N19" s="181"/>
      <c r="O19" s="176"/>
      <c r="P19" s="177"/>
      <c r="Q19" s="177"/>
      <c r="R19" s="177"/>
      <c r="S19" s="177"/>
      <c r="T19" s="177"/>
      <c r="U19" s="177"/>
      <c r="V19" s="177"/>
      <c r="W19" s="177"/>
      <c r="X19" s="177"/>
      <c r="Y19" s="177"/>
      <c r="Z19" s="183"/>
      <c r="AA19" s="183"/>
      <c r="AB19" s="183"/>
      <c r="AC19" s="183"/>
      <c r="AD19" s="183"/>
      <c r="AE19" s="183"/>
      <c r="AF19" s="183"/>
      <c r="AG19" s="183"/>
      <c r="AH19" s="183"/>
      <c r="AI19" s="183"/>
      <c r="AJ19" s="183"/>
      <c r="AK19" s="183"/>
      <c r="AL19" s="177"/>
      <c r="AM19" s="177"/>
      <c r="AN19" s="182"/>
      <c r="AO19" s="178"/>
      <c r="AP19" s="178"/>
      <c r="AQ19" s="178"/>
      <c r="AR19" s="178"/>
      <c r="AS19" s="178"/>
      <c r="AT19" s="179"/>
      <c r="AU19" s="180"/>
      <c r="AV19" s="143"/>
      <c r="AW19" s="68"/>
      <c r="AX19" s="69"/>
      <c r="AY19" s="69"/>
      <c r="AZ19" s="69"/>
      <c r="BA19" s="69"/>
      <c r="BB19" s="69"/>
      <c r="BC19" s="5"/>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row>
    <row r="20" spans="2:106" ht="12.75" customHeight="1">
      <c r="B20" s="66"/>
      <c r="C20" s="110"/>
      <c r="D20" s="109"/>
      <c r="E20" s="109"/>
      <c r="F20" s="109"/>
      <c r="G20" s="109"/>
      <c r="H20" s="67"/>
      <c r="I20" s="145"/>
      <c r="J20" s="181" t="s">
        <v>181</v>
      </c>
      <c r="K20" s="176"/>
      <c r="L20" s="181"/>
      <c r="M20" s="176"/>
      <c r="N20" s="181"/>
      <c r="O20" s="176"/>
      <c r="P20" s="177"/>
      <c r="Q20" s="177"/>
      <c r="R20" s="177"/>
      <c r="S20" s="177"/>
      <c r="T20" s="177"/>
      <c r="U20" s="185"/>
      <c r="V20" s="185"/>
      <c r="W20" s="177"/>
      <c r="X20" s="185"/>
      <c r="Y20" s="185"/>
      <c r="Z20" s="185"/>
      <c r="AA20" s="186" t="str">
        <f>AI365</f>
        <v>Combination 2 - BS EN 1997-1:2004</v>
      </c>
      <c r="AB20" s="183"/>
      <c r="AC20" s="183"/>
      <c r="AD20" s="183"/>
      <c r="AE20" s="183"/>
      <c r="AF20" s="183"/>
      <c r="AG20" s="183"/>
      <c r="AH20" s="183"/>
      <c r="AI20" s="183"/>
      <c r="AJ20" s="183"/>
      <c r="AK20" s="183"/>
      <c r="AL20" s="177"/>
      <c r="AM20" s="177"/>
      <c r="AN20" s="182"/>
      <c r="AO20" s="178"/>
      <c r="AP20" s="178"/>
      <c r="AQ20" s="178"/>
      <c r="AR20" s="178"/>
      <c r="AS20" s="178"/>
      <c r="AT20" s="179"/>
      <c r="AU20" s="180"/>
      <c r="AV20" s="143"/>
      <c r="AW20" s="68"/>
      <c r="AX20" s="69"/>
      <c r="AY20" s="69"/>
      <c r="AZ20" s="69"/>
      <c r="BA20" s="69"/>
      <c r="BB20" s="69"/>
      <c r="BC20" s="5"/>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row>
    <row r="21" spans="2:106" ht="12.75" customHeight="1">
      <c r="B21" s="66"/>
      <c r="C21" s="110"/>
      <c r="D21" s="109"/>
      <c r="E21" s="109"/>
      <c r="F21" s="109"/>
      <c r="G21" s="109"/>
      <c r="H21" s="67"/>
      <c r="I21" s="140"/>
      <c r="J21" s="181" t="s">
        <v>183</v>
      </c>
      <c r="K21" s="176"/>
      <c r="L21" s="181"/>
      <c r="M21" s="176"/>
      <c r="N21" s="181"/>
      <c r="O21" s="176"/>
      <c r="P21" s="177"/>
      <c r="Q21" s="177"/>
      <c r="R21" s="177"/>
      <c r="S21" s="177"/>
      <c r="T21" s="177"/>
      <c r="U21" s="177"/>
      <c r="V21" s="177"/>
      <c r="W21" s="177"/>
      <c r="X21" s="177"/>
      <c r="Y21" s="177"/>
      <c r="Z21" s="177"/>
      <c r="AA21" s="177"/>
      <c r="AB21" s="177"/>
      <c r="AC21" s="177"/>
      <c r="AD21" s="177"/>
      <c r="AE21" s="177"/>
      <c r="AF21" s="177"/>
      <c r="AG21" s="177"/>
      <c r="AH21" s="177"/>
      <c r="AI21" s="177"/>
      <c r="AJ21" s="177"/>
      <c r="AK21" s="177"/>
      <c r="AL21" s="177"/>
      <c r="AM21" s="177"/>
      <c r="AN21" s="182"/>
      <c r="AO21" s="178"/>
      <c r="AP21" s="178"/>
      <c r="AQ21" s="178"/>
      <c r="AR21" s="178"/>
      <c r="AS21" s="178"/>
      <c r="AT21" s="177"/>
      <c r="AU21" s="177"/>
      <c r="AV21" s="143"/>
      <c r="AW21" s="68"/>
      <c r="AX21" s="69"/>
      <c r="AY21" s="69"/>
      <c r="AZ21" s="69"/>
      <c r="BA21" s="69"/>
      <c r="BB21" s="69"/>
      <c r="BC21" s="5"/>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row>
    <row r="22" spans="2:106" ht="12.75" customHeight="1">
      <c r="B22" s="66"/>
      <c r="C22" s="110"/>
      <c r="D22" s="109"/>
      <c r="E22" s="109"/>
      <c r="F22" s="109"/>
      <c r="G22" s="109"/>
      <c r="H22" s="67"/>
      <c r="I22" s="145"/>
      <c r="J22" s="181" t="s">
        <v>184</v>
      </c>
      <c r="K22" s="176"/>
      <c r="L22" s="181"/>
      <c r="M22" s="176"/>
      <c r="N22" s="181"/>
      <c r="O22" s="176"/>
      <c r="P22" s="177"/>
      <c r="Q22" s="177"/>
      <c r="R22" s="177"/>
      <c r="S22" s="177"/>
      <c r="T22" s="177"/>
      <c r="U22" s="185"/>
      <c r="V22" s="187" t="str">
        <f>V432</f>
        <v>Combination 2 - BS EN 1997-1:2004</v>
      </c>
      <c r="W22" s="177"/>
      <c r="X22" s="177"/>
      <c r="Y22" s="177"/>
      <c r="Z22" s="177"/>
      <c r="AA22" s="177"/>
      <c r="AB22" s="177"/>
      <c r="AC22" s="177"/>
      <c r="AD22" s="177"/>
      <c r="AE22" s="177"/>
      <c r="AF22" s="177"/>
      <c r="AG22" s="177"/>
      <c r="AH22" s="177"/>
      <c r="AI22" s="177"/>
      <c r="AJ22" s="177"/>
      <c r="AK22" s="177"/>
      <c r="AL22" s="177"/>
      <c r="AM22" s="177"/>
      <c r="AN22" s="182"/>
      <c r="AO22" s="178"/>
      <c r="AP22" s="178"/>
      <c r="AQ22" s="178"/>
      <c r="AR22" s="178"/>
      <c r="AS22" s="178"/>
      <c r="AT22" s="177"/>
      <c r="AU22" s="177"/>
      <c r="AV22" s="143"/>
      <c r="AW22" s="68"/>
      <c r="AX22" s="69"/>
      <c r="AY22" s="69"/>
      <c r="AZ22" s="69"/>
      <c r="BA22" s="69"/>
      <c r="BB22" s="69"/>
      <c r="BC22" s="5"/>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row>
    <row r="23" spans="2:106" ht="12.75" customHeight="1">
      <c r="B23" s="66"/>
      <c r="C23" s="110"/>
      <c r="D23" s="109"/>
      <c r="E23" s="109"/>
      <c r="F23" s="109"/>
      <c r="G23" s="109"/>
      <c r="H23" s="67"/>
      <c r="I23" s="140"/>
      <c r="J23" s="181" t="s">
        <v>185</v>
      </c>
      <c r="K23" s="176"/>
      <c r="L23" s="181"/>
      <c r="M23" s="176"/>
      <c r="N23" s="181"/>
      <c r="O23" s="176"/>
      <c r="P23" s="177"/>
      <c r="Q23" s="177"/>
      <c r="R23" s="177"/>
      <c r="S23" s="177"/>
      <c r="T23" s="177"/>
      <c r="U23" s="177"/>
      <c r="V23" s="177"/>
      <c r="W23" s="177"/>
      <c r="X23" s="177"/>
      <c r="Y23" s="177"/>
      <c r="Z23" s="177"/>
      <c r="AA23" s="177"/>
      <c r="AB23" s="177"/>
      <c r="AC23" s="177"/>
      <c r="AD23" s="177"/>
      <c r="AE23" s="177"/>
      <c r="AF23" s="177"/>
      <c r="AG23" s="177"/>
      <c r="AH23" s="177"/>
      <c r="AI23" s="177"/>
      <c r="AJ23" s="177"/>
      <c r="AK23" s="177"/>
      <c r="AL23" s="177"/>
      <c r="AM23" s="177"/>
      <c r="AN23" s="182"/>
      <c r="AO23" s="178"/>
      <c r="AP23" s="178"/>
      <c r="AQ23" s="178"/>
      <c r="AR23" s="178"/>
      <c r="AS23" s="178"/>
      <c r="AT23" s="177"/>
      <c r="AU23" s="177"/>
      <c r="AV23" s="143"/>
      <c r="AW23" s="68"/>
      <c r="AX23" s="69"/>
      <c r="AY23" s="69"/>
      <c r="AZ23" s="69"/>
      <c r="BA23" s="69"/>
      <c r="BB23" s="69"/>
      <c r="BC23" s="5"/>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row>
    <row r="24" spans="2:106" ht="12.75" customHeight="1">
      <c r="B24" s="66"/>
      <c r="C24" s="110"/>
      <c r="D24" s="109"/>
      <c r="E24" s="109"/>
      <c r="F24" s="109"/>
      <c r="G24" s="109"/>
      <c r="H24" s="67"/>
      <c r="I24" s="145"/>
      <c r="J24" s="181" t="s">
        <v>187</v>
      </c>
      <c r="K24" s="176"/>
      <c r="L24" s="181"/>
      <c r="M24" s="176"/>
      <c r="N24" s="181"/>
      <c r="O24" s="176"/>
      <c r="P24" s="177"/>
      <c r="Q24" s="177"/>
      <c r="R24" s="177"/>
      <c r="S24" s="177"/>
      <c r="T24" s="177"/>
      <c r="U24" s="177"/>
      <c r="V24" s="177"/>
      <c r="W24" s="177"/>
      <c r="X24" s="177"/>
      <c r="Y24" s="177"/>
      <c r="Z24" s="177"/>
      <c r="AA24" s="177"/>
      <c r="AB24" s="177"/>
      <c r="AC24" s="177"/>
      <c r="AD24" s="177"/>
      <c r="AE24" s="177"/>
      <c r="AF24" s="177"/>
      <c r="AG24" s="177"/>
      <c r="AH24" s="177"/>
      <c r="AI24" s="177"/>
      <c r="AJ24" s="177"/>
      <c r="AK24" s="177"/>
      <c r="AL24" s="177"/>
      <c r="AM24" s="177"/>
      <c r="AN24" s="182"/>
      <c r="AO24" s="178"/>
      <c r="AP24" s="178"/>
      <c r="AQ24" s="178"/>
      <c r="AR24" s="178"/>
      <c r="AS24" s="178"/>
      <c r="AT24" s="177"/>
      <c r="AU24" s="177"/>
      <c r="AV24" s="143"/>
      <c r="AW24" s="68"/>
      <c r="AX24" s="69"/>
      <c r="AY24" s="69"/>
      <c r="AZ24" s="69"/>
      <c r="BA24" s="69"/>
      <c r="BB24" s="69"/>
      <c r="BC24" s="5"/>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row>
    <row r="25" spans="2:106" ht="12.75" customHeight="1">
      <c r="B25" s="66"/>
      <c r="C25" s="110"/>
      <c r="D25" s="109"/>
      <c r="E25" s="109"/>
      <c r="F25" s="109"/>
      <c r="G25" s="109"/>
      <c r="H25" s="67"/>
      <c r="I25" s="140"/>
      <c r="J25" s="181" t="s">
        <v>188</v>
      </c>
      <c r="K25" s="176"/>
      <c r="L25" s="181"/>
      <c r="M25" s="176"/>
      <c r="N25" s="181"/>
      <c r="O25" s="176"/>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82"/>
      <c r="AO25" s="178"/>
      <c r="AP25" s="178"/>
      <c r="AQ25" s="178"/>
      <c r="AR25" s="178"/>
      <c r="AS25" s="178"/>
      <c r="AT25" s="177"/>
      <c r="AU25" s="177"/>
      <c r="AV25" s="143"/>
      <c r="AW25" s="68"/>
      <c r="AX25" s="69"/>
      <c r="AY25" s="69"/>
      <c r="AZ25" s="69"/>
      <c r="BA25" s="69"/>
      <c r="BB25" s="69"/>
      <c r="BC25" s="5"/>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row>
    <row r="26" spans="2:106" ht="13.5" customHeight="1">
      <c r="B26" s="66"/>
      <c r="C26" s="110"/>
      <c r="D26" s="109"/>
      <c r="E26" s="109"/>
      <c r="F26" s="109"/>
      <c r="G26" s="109"/>
      <c r="H26" s="67"/>
      <c r="I26" s="145"/>
      <c r="K26" s="141"/>
      <c r="L26" s="144"/>
      <c r="M26" s="141"/>
      <c r="N26" s="144"/>
      <c r="O26" s="141"/>
      <c r="P26" s="111"/>
      <c r="Q26" s="111"/>
      <c r="R26" s="111"/>
      <c r="S26" s="111"/>
      <c r="T26" s="111"/>
      <c r="U26" s="111"/>
      <c r="V26" s="111"/>
      <c r="W26" s="111"/>
      <c r="X26" s="111"/>
      <c r="Y26" s="111"/>
      <c r="Z26" s="112"/>
      <c r="AA26" s="112"/>
      <c r="AB26" s="112"/>
      <c r="AC26" s="112"/>
      <c r="AD26" s="112"/>
      <c r="AE26" s="112"/>
      <c r="AF26" s="112"/>
      <c r="AG26" s="112"/>
      <c r="AH26" s="112"/>
      <c r="AI26" s="113"/>
      <c r="AJ26" s="113"/>
      <c r="AK26" s="113"/>
      <c r="AL26" s="113"/>
      <c r="AM26" s="113"/>
      <c r="AN26" s="114"/>
      <c r="AO26" s="112"/>
      <c r="AP26" s="112"/>
      <c r="AQ26" s="112"/>
      <c r="AR26" s="112"/>
      <c r="AS26" s="112"/>
      <c r="AT26" s="113"/>
      <c r="AU26" s="142"/>
      <c r="AV26" s="143"/>
      <c r="AW26" s="68"/>
      <c r="AX26" s="69"/>
      <c r="AY26" s="69"/>
      <c r="AZ26" s="69"/>
      <c r="BA26" s="69"/>
      <c r="BB26" s="69"/>
      <c r="BC26" s="5"/>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row>
    <row r="27" spans="2:106" ht="12.75" customHeight="1">
      <c r="B27" s="66"/>
      <c r="C27" s="110"/>
      <c r="D27" s="109"/>
      <c r="E27" s="109"/>
      <c r="F27" s="109"/>
      <c r="G27" s="109"/>
      <c r="H27" s="67"/>
      <c r="I27" s="140"/>
      <c r="J27" s="443" t="s">
        <v>254</v>
      </c>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5"/>
      <c r="AV27" s="143"/>
      <c r="AW27" s="68"/>
      <c r="AX27" s="69"/>
      <c r="AY27" s="69"/>
      <c r="AZ27" s="69"/>
      <c r="BA27" s="69"/>
      <c r="BB27" s="69"/>
      <c r="BC27" s="5"/>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row>
    <row r="28" spans="2:106" ht="12.75" customHeight="1">
      <c r="B28" s="66"/>
      <c r="C28" s="110"/>
      <c r="D28" s="109"/>
      <c r="E28" s="109"/>
      <c r="F28" s="109"/>
      <c r="G28" s="109"/>
      <c r="H28" s="67"/>
      <c r="I28" s="140"/>
      <c r="J28" s="446"/>
      <c r="K28" s="447"/>
      <c r="L28" s="447"/>
      <c r="M28" s="447"/>
      <c r="N28" s="447"/>
      <c r="O28" s="447"/>
      <c r="P28" s="447"/>
      <c r="Q28" s="447"/>
      <c r="R28" s="447"/>
      <c r="S28" s="447"/>
      <c r="T28" s="447"/>
      <c r="U28" s="447"/>
      <c r="V28" s="447"/>
      <c r="W28" s="447"/>
      <c r="X28" s="447"/>
      <c r="Y28" s="447"/>
      <c r="Z28" s="447"/>
      <c r="AA28" s="447"/>
      <c r="AB28" s="447"/>
      <c r="AC28" s="447"/>
      <c r="AD28" s="447"/>
      <c r="AE28" s="447"/>
      <c r="AF28" s="447"/>
      <c r="AG28" s="447"/>
      <c r="AH28" s="447"/>
      <c r="AI28" s="447"/>
      <c r="AJ28" s="447"/>
      <c r="AK28" s="447"/>
      <c r="AL28" s="447"/>
      <c r="AM28" s="447"/>
      <c r="AN28" s="447"/>
      <c r="AO28" s="447"/>
      <c r="AP28" s="447"/>
      <c r="AQ28" s="447"/>
      <c r="AR28" s="447"/>
      <c r="AS28" s="447"/>
      <c r="AT28" s="447"/>
      <c r="AU28" s="448"/>
      <c r="AV28" s="143"/>
      <c r="AW28" s="68"/>
      <c r="AX28" s="69"/>
      <c r="AY28" s="69"/>
      <c r="AZ28" s="69"/>
      <c r="BA28" s="69"/>
      <c r="BB28" s="69"/>
      <c r="BC28" s="5"/>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row>
    <row r="29" spans="2:106" ht="12.75" customHeight="1">
      <c r="B29" s="66"/>
      <c r="C29" s="110"/>
      <c r="D29" s="109"/>
      <c r="E29" s="109"/>
      <c r="F29" s="109"/>
      <c r="G29" s="109"/>
      <c r="H29" s="67"/>
      <c r="I29" s="140"/>
      <c r="J29" s="446"/>
      <c r="K29" s="447"/>
      <c r="L29" s="447"/>
      <c r="M29" s="447"/>
      <c r="N29" s="447"/>
      <c r="O29" s="447"/>
      <c r="P29" s="447"/>
      <c r="Q29" s="447"/>
      <c r="R29" s="447"/>
      <c r="S29" s="447"/>
      <c r="T29" s="447"/>
      <c r="U29" s="447"/>
      <c r="V29" s="447"/>
      <c r="W29" s="447"/>
      <c r="X29" s="447"/>
      <c r="Y29" s="447"/>
      <c r="Z29" s="447"/>
      <c r="AA29" s="447"/>
      <c r="AB29" s="447"/>
      <c r="AC29" s="447"/>
      <c r="AD29" s="447"/>
      <c r="AE29" s="447"/>
      <c r="AF29" s="447"/>
      <c r="AG29" s="447"/>
      <c r="AH29" s="447"/>
      <c r="AI29" s="447"/>
      <c r="AJ29" s="447"/>
      <c r="AK29" s="447"/>
      <c r="AL29" s="447"/>
      <c r="AM29" s="447"/>
      <c r="AN29" s="447"/>
      <c r="AO29" s="447"/>
      <c r="AP29" s="447"/>
      <c r="AQ29" s="447"/>
      <c r="AR29" s="447"/>
      <c r="AS29" s="447"/>
      <c r="AT29" s="447"/>
      <c r="AU29" s="448"/>
      <c r="AV29" s="143"/>
      <c r="AW29" s="68"/>
      <c r="AX29" s="69"/>
      <c r="AY29" s="69"/>
      <c r="AZ29" s="69"/>
      <c r="BA29" s="69"/>
      <c r="BB29" s="69"/>
      <c r="BC29" s="5"/>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row>
    <row r="30" spans="2:106" ht="12.75" customHeight="1">
      <c r="B30" s="66"/>
      <c r="C30" s="110"/>
      <c r="D30" s="109"/>
      <c r="E30" s="109"/>
      <c r="F30" s="109"/>
      <c r="G30" s="109"/>
      <c r="H30" s="67"/>
      <c r="I30" s="140"/>
      <c r="J30" s="449"/>
      <c r="K30" s="450"/>
      <c r="L30" s="450"/>
      <c r="M30" s="450"/>
      <c r="N30" s="450"/>
      <c r="O30" s="450"/>
      <c r="P30" s="450"/>
      <c r="Q30" s="450"/>
      <c r="R30" s="450"/>
      <c r="S30" s="450"/>
      <c r="T30" s="450"/>
      <c r="U30" s="450"/>
      <c r="V30" s="450"/>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1"/>
      <c r="AV30" s="143"/>
      <c r="AW30" s="68"/>
      <c r="AX30" s="69"/>
      <c r="AY30" s="69"/>
      <c r="AZ30" s="69"/>
      <c r="BA30" s="69"/>
      <c r="BB30" s="69"/>
      <c r="BC30" s="5"/>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row>
    <row r="31" spans="2:106" ht="12.75" customHeight="1">
      <c r="B31" s="66"/>
      <c r="C31" s="110"/>
      <c r="D31" s="109"/>
      <c r="E31" s="109"/>
      <c r="F31" s="109"/>
      <c r="G31" s="109"/>
      <c r="H31" s="67"/>
      <c r="I31" s="140"/>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3"/>
      <c r="AW31" s="68"/>
      <c r="AX31" s="69"/>
      <c r="AY31" s="69"/>
      <c r="AZ31" s="69"/>
      <c r="BA31" s="69"/>
      <c r="BB31" s="69"/>
      <c r="BC31" s="5"/>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row>
    <row r="32" spans="2:106" ht="12.75" customHeight="1">
      <c r="B32" s="66"/>
      <c r="C32" s="110"/>
      <c r="D32" s="109"/>
      <c r="E32" s="109"/>
      <c r="F32" s="109"/>
      <c r="G32" s="109"/>
      <c r="H32" s="67"/>
      <c r="I32" s="140"/>
      <c r="J32" s="181" t="s">
        <v>93</v>
      </c>
      <c r="K32" s="176"/>
      <c r="L32" s="176"/>
      <c r="M32" s="176"/>
      <c r="N32" s="176"/>
      <c r="O32" s="176"/>
      <c r="P32" s="176"/>
      <c r="Q32" s="176"/>
      <c r="R32" s="176"/>
      <c r="S32" s="176"/>
      <c r="T32" s="176"/>
      <c r="U32" s="176"/>
      <c r="V32" s="176"/>
      <c r="W32" s="176"/>
      <c r="X32" s="176"/>
      <c r="Y32" s="176"/>
      <c r="Z32" s="176"/>
      <c r="AA32" s="176"/>
      <c r="AB32" s="176"/>
      <c r="AC32" s="176"/>
      <c r="AD32" s="176"/>
      <c r="AE32" s="176"/>
      <c r="AF32" s="176"/>
      <c r="AG32" s="176"/>
      <c r="AH32" s="176"/>
      <c r="AI32" s="176"/>
      <c r="AJ32" s="176"/>
      <c r="AK32" s="176"/>
      <c r="AL32" s="176"/>
      <c r="AM32" s="176"/>
      <c r="AN32" s="176"/>
      <c r="AO32" s="176"/>
      <c r="AP32" s="178"/>
      <c r="AQ32" s="178"/>
      <c r="AR32" s="178"/>
      <c r="AS32" s="178"/>
      <c r="AT32" s="179"/>
      <c r="AU32" s="180"/>
      <c r="AV32" s="143"/>
      <c r="AW32" s="68"/>
      <c r="AX32" s="69"/>
      <c r="AY32" s="69"/>
      <c r="AZ32" s="69"/>
      <c r="BA32" s="69"/>
      <c r="BB32" s="69"/>
      <c r="BC32" s="5"/>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row>
    <row r="33" spans="2:106" ht="12.75" customHeight="1">
      <c r="B33" s="66"/>
      <c r="C33" s="110"/>
      <c r="D33" s="109"/>
      <c r="E33" s="109"/>
      <c r="F33" s="109"/>
      <c r="G33" s="109"/>
      <c r="H33" s="67"/>
      <c r="I33" s="71"/>
      <c r="J33" s="521" t="s">
        <v>324</v>
      </c>
      <c r="K33" s="521"/>
      <c r="L33" s="521"/>
      <c r="M33" s="521"/>
      <c r="N33" s="521"/>
      <c r="O33" s="521"/>
      <c r="P33" s="521"/>
      <c r="Q33" s="521"/>
      <c r="R33" s="521"/>
      <c r="S33" s="521"/>
      <c r="T33" s="521"/>
      <c r="U33" s="521"/>
      <c r="V33" s="521"/>
      <c r="W33" s="521"/>
      <c r="X33" s="521"/>
      <c r="Y33" s="521"/>
      <c r="Z33" s="521"/>
      <c r="AA33" s="521"/>
      <c r="AB33" s="521"/>
      <c r="AC33" s="521"/>
      <c r="AD33" s="521"/>
      <c r="AE33" s="521"/>
      <c r="AF33" s="521"/>
      <c r="AG33" s="521"/>
      <c r="AH33" s="521"/>
      <c r="AI33" s="521"/>
      <c r="AJ33" s="521"/>
      <c r="AK33" s="521"/>
      <c r="AL33" s="521"/>
      <c r="AM33" s="521"/>
      <c r="AN33" s="521"/>
      <c r="AO33" s="521"/>
      <c r="AP33" s="521"/>
      <c r="AQ33" s="521"/>
      <c r="AR33" s="521"/>
      <c r="AS33" s="521"/>
      <c r="AT33" s="521"/>
      <c r="AU33" s="521"/>
      <c r="AV33" s="143"/>
      <c r="AW33" s="68"/>
      <c r="BC33" s="5"/>
      <c r="CJ33" s="2"/>
      <c r="CK33" s="2"/>
      <c r="CL33" s="2"/>
      <c r="CM33" s="2"/>
      <c r="CN33" s="2"/>
      <c r="CO33" s="2"/>
      <c r="CP33" s="2"/>
      <c r="CQ33" s="2"/>
      <c r="CR33" s="2"/>
      <c r="CS33" s="2"/>
      <c r="CT33" s="2"/>
      <c r="CU33" s="2"/>
      <c r="CV33" s="2"/>
      <c r="CW33" s="2"/>
      <c r="CX33" s="2"/>
      <c r="CY33" s="2"/>
      <c r="CZ33" s="2"/>
      <c r="DA33" s="2"/>
      <c r="DB33" s="2"/>
    </row>
    <row r="34" spans="2:106" ht="12.75" customHeight="1">
      <c r="B34" s="66"/>
      <c r="C34" s="110"/>
      <c r="D34" s="109"/>
      <c r="E34" s="109"/>
      <c r="F34" s="109"/>
      <c r="G34" s="109"/>
      <c r="H34" s="67"/>
      <c r="I34" s="140"/>
      <c r="J34" s="521"/>
      <c r="K34" s="521"/>
      <c r="L34" s="521"/>
      <c r="M34" s="521"/>
      <c r="N34" s="521"/>
      <c r="O34" s="521"/>
      <c r="P34" s="521"/>
      <c r="Q34" s="521"/>
      <c r="R34" s="521"/>
      <c r="S34" s="521"/>
      <c r="T34" s="521"/>
      <c r="U34" s="521"/>
      <c r="V34" s="521"/>
      <c r="W34" s="521"/>
      <c r="X34" s="521"/>
      <c r="Y34" s="521"/>
      <c r="Z34" s="521"/>
      <c r="AA34" s="521"/>
      <c r="AB34" s="521"/>
      <c r="AC34" s="521"/>
      <c r="AD34" s="521"/>
      <c r="AE34" s="521"/>
      <c r="AF34" s="521"/>
      <c r="AG34" s="521"/>
      <c r="AH34" s="521"/>
      <c r="AI34" s="521"/>
      <c r="AJ34" s="521"/>
      <c r="AK34" s="521"/>
      <c r="AL34" s="521"/>
      <c r="AM34" s="521"/>
      <c r="AN34" s="521"/>
      <c r="AO34" s="521"/>
      <c r="AP34" s="521"/>
      <c r="AQ34" s="521"/>
      <c r="AR34" s="521"/>
      <c r="AS34" s="521"/>
      <c r="AT34" s="521"/>
      <c r="AU34" s="521"/>
      <c r="AV34" s="143"/>
      <c r="AW34" s="68"/>
      <c r="BC34" s="5"/>
      <c r="CJ34" s="2"/>
      <c r="CK34" s="2"/>
      <c r="CL34" s="2"/>
      <c r="CM34" s="2"/>
      <c r="CN34" s="2"/>
      <c r="CO34" s="2"/>
      <c r="CP34" s="2"/>
      <c r="CQ34" s="2"/>
      <c r="CR34" s="2"/>
      <c r="CS34" s="2"/>
      <c r="CT34" s="2"/>
      <c r="CU34" s="2"/>
      <c r="CV34" s="2"/>
      <c r="CW34" s="2"/>
      <c r="CX34" s="2"/>
      <c r="CY34" s="2"/>
      <c r="CZ34" s="2"/>
      <c r="DA34" s="2"/>
      <c r="DB34" s="2"/>
    </row>
    <row r="35" spans="2:106" ht="12.75" customHeight="1">
      <c r="B35" s="66"/>
      <c r="C35" s="110"/>
      <c r="D35" s="109"/>
      <c r="E35" s="109"/>
      <c r="F35" s="109"/>
      <c r="G35" s="109"/>
      <c r="H35" s="67"/>
      <c r="I35" s="146"/>
      <c r="J35" s="521"/>
      <c r="K35" s="521"/>
      <c r="L35" s="521"/>
      <c r="M35" s="521"/>
      <c r="N35" s="521"/>
      <c r="O35" s="521"/>
      <c r="P35" s="521"/>
      <c r="Q35" s="521"/>
      <c r="R35" s="521"/>
      <c r="S35" s="521"/>
      <c r="T35" s="521"/>
      <c r="U35" s="521"/>
      <c r="V35" s="521"/>
      <c r="W35" s="521"/>
      <c r="X35" s="521"/>
      <c r="Y35" s="521"/>
      <c r="Z35" s="521"/>
      <c r="AA35" s="521"/>
      <c r="AB35" s="521"/>
      <c r="AC35" s="521"/>
      <c r="AD35" s="521"/>
      <c r="AE35" s="521"/>
      <c r="AF35" s="521"/>
      <c r="AG35" s="521"/>
      <c r="AH35" s="521"/>
      <c r="AI35" s="521"/>
      <c r="AJ35" s="521"/>
      <c r="AK35" s="521"/>
      <c r="AL35" s="521"/>
      <c r="AM35" s="521"/>
      <c r="AN35" s="521"/>
      <c r="AO35" s="521"/>
      <c r="AP35" s="521"/>
      <c r="AQ35" s="521"/>
      <c r="AR35" s="521"/>
      <c r="AS35" s="521"/>
      <c r="AT35" s="521"/>
      <c r="AU35" s="521"/>
      <c r="AV35" s="143"/>
      <c r="AW35" s="68"/>
      <c r="BC35" s="5"/>
      <c r="CJ35" s="2"/>
      <c r="CK35" s="2"/>
      <c r="CL35" s="2"/>
      <c r="CM35" s="2"/>
      <c r="CN35" s="2"/>
      <c r="CO35" s="2"/>
      <c r="CP35" s="2"/>
      <c r="CQ35" s="2"/>
      <c r="CR35" s="2"/>
      <c r="CS35" s="2"/>
      <c r="CT35" s="2"/>
      <c r="CU35" s="2"/>
      <c r="CV35" s="2"/>
      <c r="CW35" s="2"/>
      <c r="CX35" s="2"/>
      <c r="CY35" s="2"/>
      <c r="CZ35" s="2"/>
      <c r="DA35" s="2"/>
      <c r="DB35" s="2"/>
    </row>
    <row r="36" spans="2:106" ht="12.75" customHeight="1">
      <c r="B36" s="66"/>
      <c r="C36" s="110"/>
      <c r="D36" s="109"/>
      <c r="E36" s="109"/>
      <c r="F36" s="109"/>
      <c r="G36" s="109"/>
      <c r="H36" s="67"/>
      <c r="I36" s="70"/>
      <c r="J36" s="521"/>
      <c r="K36" s="521"/>
      <c r="L36" s="521"/>
      <c r="M36" s="521"/>
      <c r="N36" s="521"/>
      <c r="O36" s="521"/>
      <c r="P36" s="521"/>
      <c r="Q36" s="521"/>
      <c r="R36" s="521"/>
      <c r="S36" s="521"/>
      <c r="T36" s="521"/>
      <c r="U36" s="521"/>
      <c r="V36" s="521"/>
      <c r="W36" s="521"/>
      <c r="X36" s="521"/>
      <c r="Y36" s="521"/>
      <c r="Z36" s="521"/>
      <c r="AA36" s="521"/>
      <c r="AB36" s="521"/>
      <c r="AC36" s="521"/>
      <c r="AD36" s="521"/>
      <c r="AE36" s="521"/>
      <c r="AF36" s="521"/>
      <c r="AG36" s="521"/>
      <c r="AH36" s="521"/>
      <c r="AI36" s="521"/>
      <c r="AJ36" s="521"/>
      <c r="AK36" s="521"/>
      <c r="AL36" s="521"/>
      <c r="AM36" s="521"/>
      <c r="AN36" s="521"/>
      <c r="AO36" s="521"/>
      <c r="AP36" s="521"/>
      <c r="AQ36" s="521"/>
      <c r="AR36" s="521"/>
      <c r="AS36" s="521"/>
      <c r="AT36" s="521"/>
      <c r="AU36" s="521"/>
      <c r="AV36" s="143"/>
      <c r="AW36" s="68"/>
      <c r="BC36" s="5"/>
      <c r="CJ36" s="2"/>
      <c r="CK36" s="2"/>
      <c r="CL36" s="2"/>
      <c r="CM36" s="2"/>
      <c r="CN36" s="2"/>
      <c r="CO36" s="2"/>
      <c r="CP36" s="2"/>
      <c r="CQ36" s="2"/>
      <c r="CR36" s="2"/>
      <c r="CS36" s="2"/>
      <c r="CT36" s="2"/>
      <c r="CU36" s="2"/>
      <c r="CV36" s="2"/>
      <c r="CW36" s="2"/>
      <c r="CX36" s="2"/>
      <c r="CY36" s="2"/>
      <c r="CZ36" s="2"/>
      <c r="DA36" s="2"/>
      <c r="DB36" s="2"/>
    </row>
    <row r="37" spans="2:106" ht="12.75" customHeight="1">
      <c r="B37" s="66"/>
      <c r="C37" s="110"/>
      <c r="D37" s="109"/>
      <c r="E37" s="109"/>
      <c r="F37" s="109"/>
      <c r="G37" s="109"/>
      <c r="H37" s="67"/>
      <c r="I37" s="70"/>
      <c r="J37" s="521"/>
      <c r="K37" s="521"/>
      <c r="L37" s="521"/>
      <c r="M37" s="521"/>
      <c r="N37" s="521"/>
      <c r="O37" s="521"/>
      <c r="P37" s="521"/>
      <c r="Q37" s="521"/>
      <c r="R37" s="521"/>
      <c r="S37" s="521"/>
      <c r="T37" s="521"/>
      <c r="U37" s="521"/>
      <c r="V37" s="521"/>
      <c r="W37" s="521"/>
      <c r="X37" s="521"/>
      <c r="Y37" s="521"/>
      <c r="Z37" s="521"/>
      <c r="AA37" s="521"/>
      <c r="AB37" s="521"/>
      <c r="AC37" s="521"/>
      <c r="AD37" s="521"/>
      <c r="AE37" s="521"/>
      <c r="AF37" s="521"/>
      <c r="AG37" s="521"/>
      <c r="AH37" s="521"/>
      <c r="AI37" s="521"/>
      <c r="AJ37" s="521"/>
      <c r="AK37" s="521"/>
      <c r="AL37" s="521"/>
      <c r="AM37" s="521"/>
      <c r="AN37" s="521"/>
      <c r="AO37" s="521"/>
      <c r="AP37" s="521"/>
      <c r="AQ37" s="521"/>
      <c r="AR37" s="521"/>
      <c r="AS37" s="521"/>
      <c r="AT37" s="521"/>
      <c r="AU37" s="521"/>
      <c r="AV37" s="143"/>
      <c r="AW37" s="68"/>
      <c r="BC37" s="5"/>
      <c r="CJ37" s="2"/>
      <c r="CK37" s="2"/>
      <c r="CL37" s="2"/>
      <c r="CM37" s="2"/>
      <c r="CN37" s="2"/>
      <c r="CO37" s="2"/>
      <c r="CP37" s="2"/>
      <c r="CQ37" s="2"/>
      <c r="CR37" s="2"/>
      <c r="CS37" s="2"/>
      <c r="CT37" s="2"/>
      <c r="CU37" s="2"/>
      <c r="CV37" s="2"/>
      <c r="CW37" s="2"/>
      <c r="CX37" s="2"/>
      <c r="CY37" s="2"/>
      <c r="CZ37" s="2"/>
      <c r="DA37" s="2"/>
      <c r="DB37" s="2"/>
    </row>
    <row r="38" spans="2:106" ht="12.75" customHeight="1">
      <c r="B38" s="66"/>
      <c r="C38" s="110"/>
      <c r="D38" s="109"/>
      <c r="E38" s="109"/>
      <c r="F38" s="109"/>
      <c r="G38" s="109"/>
      <c r="H38" s="67"/>
      <c r="I38" s="70"/>
      <c r="J38" s="521"/>
      <c r="K38" s="521"/>
      <c r="L38" s="521"/>
      <c r="M38" s="521"/>
      <c r="N38" s="521"/>
      <c r="O38" s="521"/>
      <c r="P38" s="521"/>
      <c r="Q38" s="521"/>
      <c r="R38" s="521"/>
      <c r="S38" s="521"/>
      <c r="T38" s="521"/>
      <c r="U38" s="521"/>
      <c r="V38" s="521"/>
      <c r="W38" s="521"/>
      <c r="X38" s="521"/>
      <c r="Y38" s="521"/>
      <c r="Z38" s="521"/>
      <c r="AA38" s="521"/>
      <c r="AB38" s="521"/>
      <c r="AC38" s="521"/>
      <c r="AD38" s="521"/>
      <c r="AE38" s="521"/>
      <c r="AF38" s="521"/>
      <c r="AG38" s="521"/>
      <c r="AH38" s="521"/>
      <c r="AI38" s="521"/>
      <c r="AJ38" s="521"/>
      <c r="AK38" s="521"/>
      <c r="AL38" s="521"/>
      <c r="AM38" s="521"/>
      <c r="AN38" s="521"/>
      <c r="AO38" s="521"/>
      <c r="AP38" s="521"/>
      <c r="AQ38" s="521"/>
      <c r="AR38" s="521"/>
      <c r="AS38" s="521"/>
      <c r="AT38" s="521"/>
      <c r="AU38" s="521"/>
      <c r="AV38" s="143"/>
      <c r="AW38" s="68"/>
      <c r="BC38" s="5"/>
      <c r="CJ38" s="2"/>
      <c r="CK38" s="2"/>
      <c r="CL38" s="2"/>
      <c r="CM38" s="2"/>
      <c r="CN38" s="2"/>
      <c r="CO38" s="2"/>
      <c r="CP38" s="2"/>
      <c r="CQ38" s="2"/>
      <c r="CR38" s="2"/>
      <c r="CS38" s="2"/>
      <c r="CT38" s="2"/>
      <c r="CU38" s="2"/>
      <c r="CV38" s="2"/>
      <c r="CW38" s="2"/>
      <c r="CX38" s="2"/>
      <c r="CY38" s="2"/>
      <c r="CZ38" s="2"/>
      <c r="DA38" s="2"/>
      <c r="DB38" s="2"/>
    </row>
    <row r="39" spans="2:106" ht="12.75" customHeight="1">
      <c r="B39" s="66"/>
      <c r="C39" s="110"/>
      <c r="D39" s="109"/>
      <c r="E39" s="109"/>
      <c r="F39" s="109"/>
      <c r="G39" s="109"/>
      <c r="H39" s="67"/>
      <c r="I39" s="70"/>
      <c r="J39" s="521"/>
      <c r="K39" s="521"/>
      <c r="L39" s="521"/>
      <c r="M39" s="521"/>
      <c r="N39" s="521"/>
      <c r="O39" s="521"/>
      <c r="P39" s="521"/>
      <c r="Q39" s="521"/>
      <c r="R39" s="521"/>
      <c r="S39" s="521"/>
      <c r="T39" s="521"/>
      <c r="U39" s="521"/>
      <c r="V39" s="521"/>
      <c r="W39" s="521"/>
      <c r="X39" s="521"/>
      <c r="Y39" s="521"/>
      <c r="Z39" s="521"/>
      <c r="AA39" s="521"/>
      <c r="AB39" s="521"/>
      <c r="AC39" s="521"/>
      <c r="AD39" s="521"/>
      <c r="AE39" s="521"/>
      <c r="AF39" s="521"/>
      <c r="AG39" s="521"/>
      <c r="AH39" s="521"/>
      <c r="AI39" s="521"/>
      <c r="AJ39" s="521"/>
      <c r="AK39" s="521"/>
      <c r="AL39" s="521"/>
      <c r="AM39" s="521"/>
      <c r="AN39" s="521"/>
      <c r="AO39" s="521"/>
      <c r="AP39" s="521"/>
      <c r="AQ39" s="521"/>
      <c r="AR39" s="521"/>
      <c r="AS39" s="521"/>
      <c r="AT39" s="521"/>
      <c r="AU39" s="521"/>
      <c r="AV39" s="143"/>
      <c r="AW39" s="68"/>
      <c r="BC39" s="5"/>
      <c r="CJ39" s="2"/>
      <c r="CK39" s="2"/>
      <c r="CL39" s="2"/>
      <c r="CM39" s="2"/>
      <c r="CN39" s="2"/>
      <c r="CO39" s="2"/>
      <c r="CP39" s="2"/>
      <c r="CQ39" s="2"/>
      <c r="CR39" s="2"/>
      <c r="CS39" s="2"/>
      <c r="CT39" s="2"/>
      <c r="CU39" s="2"/>
      <c r="CV39" s="2"/>
      <c r="CW39" s="2"/>
      <c r="CX39" s="2"/>
      <c r="CY39" s="2"/>
      <c r="CZ39" s="2"/>
      <c r="DA39" s="2"/>
      <c r="DB39" s="2"/>
    </row>
    <row r="40" spans="2:106" ht="12.75" customHeight="1">
      <c r="B40" s="66"/>
      <c r="C40" s="110"/>
      <c r="D40" s="109"/>
      <c r="E40" s="109"/>
      <c r="F40" s="109"/>
      <c r="G40" s="109"/>
      <c r="H40" s="67"/>
      <c r="I40" s="145"/>
      <c r="J40" s="113"/>
      <c r="K40" s="113"/>
      <c r="L40" s="113"/>
      <c r="M40" s="115"/>
      <c r="N40" s="113"/>
      <c r="O40" s="113"/>
      <c r="P40" s="113"/>
      <c r="Q40" s="113"/>
      <c r="R40" s="113"/>
      <c r="S40" s="113"/>
      <c r="T40" s="113"/>
      <c r="U40" s="113"/>
      <c r="V40" s="113"/>
      <c r="W40" s="113"/>
      <c r="X40" s="113"/>
      <c r="Y40" s="113"/>
      <c r="Z40" s="113"/>
      <c r="AA40" s="113"/>
      <c r="AB40" s="113"/>
      <c r="AC40" s="113"/>
      <c r="AD40" s="113"/>
      <c r="AE40" s="113"/>
      <c r="AF40" s="111"/>
      <c r="AG40" s="111"/>
      <c r="AH40" s="111"/>
      <c r="AI40" s="111"/>
      <c r="AJ40" s="111"/>
      <c r="AK40" s="111"/>
      <c r="AL40" s="111"/>
      <c r="AM40" s="111"/>
      <c r="AN40" s="114"/>
      <c r="AO40" s="112"/>
      <c r="AP40" s="112"/>
      <c r="AQ40" s="112"/>
      <c r="AR40" s="112"/>
      <c r="AS40" s="112"/>
      <c r="AT40" s="113"/>
      <c r="AU40" s="142"/>
      <c r="AV40" s="143"/>
      <c r="AW40" s="68"/>
      <c r="BC40" s="5"/>
      <c r="CJ40" s="2"/>
      <c r="CK40" s="2"/>
      <c r="CL40" s="2"/>
      <c r="CM40" s="2"/>
      <c r="CN40" s="2"/>
      <c r="CO40" s="2"/>
      <c r="CP40" s="2"/>
      <c r="CQ40" s="2"/>
      <c r="CR40" s="2"/>
      <c r="CS40" s="2"/>
      <c r="CT40" s="2"/>
      <c r="CU40" s="2"/>
      <c r="CV40" s="2"/>
      <c r="CW40" s="2"/>
      <c r="CX40" s="2"/>
      <c r="CY40" s="2"/>
      <c r="CZ40" s="2"/>
      <c r="DA40" s="2"/>
      <c r="DB40" s="2"/>
    </row>
    <row r="41" spans="2:106" ht="12.75" customHeight="1">
      <c r="B41" s="66"/>
      <c r="C41" s="110"/>
      <c r="D41" s="109"/>
      <c r="E41" s="109"/>
      <c r="F41" s="109"/>
      <c r="G41" s="109"/>
      <c r="H41" s="67"/>
      <c r="I41" s="71"/>
      <c r="J41" s="525" t="s">
        <v>255</v>
      </c>
      <c r="K41" s="525"/>
      <c r="L41" s="525"/>
      <c r="M41" s="525"/>
      <c r="N41" s="525"/>
      <c r="O41" s="525"/>
      <c r="P41" s="525"/>
      <c r="Q41" s="525"/>
      <c r="R41" s="525"/>
      <c r="S41" s="525"/>
      <c r="T41" s="525"/>
      <c r="U41" s="525"/>
      <c r="V41" s="525"/>
      <c r="W41" s="525"/>
      <c r="X41" s="525"/>
      <c r="Y41" s="525"/>
      <c r="Z41" s="525"/>
      <c r="AA41" s="525"/>
      <c r="AB41" s="525"/>
      <c r="AC41" s="525"/>
      <c r="AD41" s="525"/>
      <c r="AE41" s="525"/>
      <c r="AF41" s="525"/>
      <c r="AG41" s="525"/>
      <c r="AH41" s="525"/>
      <c r="AI41" s="525"/>
      <c r="AJ41" s="525"/>
      <c r="AK41" s="525"/>
      <c r="AL41" s="525"/>
      <c r="AM41" s="525"/>
      <c r="AN41" s="525"/>
      <c r="AO41" s="525"/>
      <c r="AP41" s="525"/>
      <c r="AQ41" s="525"/>
      <c r="AR41" s="525"/>
      <c r="AS41" s="525"/>
      <c r="AT41" s="525"/>
      <c r="AU41" s="525"/>
      <c r="AV41" s="143"/>
      <c r="AW41" s="68"/>
      <c r="AX41" s="69"/>
      <c r="AY41" s="69"/>
      <c r="AZ41" s="69"/>
      <c r="BA41" s="69"/>
      <c r="BB41" s="69"/>
      <c r="BC41" s="5"/>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row>
    <row r="42" spans="2:106" ht="12.75" customHeight="1">
      <c r="B42" s="66"/>
      <c r="C42" s="110"/>
      <c r="D42" s="109"/>
      <c r="E42" s="109"/>
      <c r="F42" s="109"/>
      <c r="G42" s="109"/>
      <c r="H42" s="67"/>
      <c r="I42" s="71"/>
      <c r="J42" s="525"/>
      <c r="K42" s="525"/>
      <c r="L42" s="525"/>
      <c r="M42" s="525"/>
      <c r="N42" s="525"/>
      <c r="O42" s="525"/>
      <c r="P42" s="525"/>
      <c r="Q42" s="525"/>
      <c r="R42" s="525"/>
      <c r="S42" s="525"/>
      <c r="T42" s="525"/>
      <c r="U42" s="525"/>
      <c r="V42" s="525"/>
      <c r="W42" s="525"/>
      <c r="X42" s="525"/>
      <c r="Y42" s="525"/>
      <c r="Z42" s="525"/>
      <c r="AA42" s="525"/>
      <c r="AB42" s="525"/>
      <c r="AC42" s="525"/>
      <c r="AD42" s="525"/>
      <c r="AE42" s="525"/>
      <c r="AF42" s="525"/>
      <c r="AG42" s="525"/>
      <c r="AH42" s="525"/>
      <c r="AI42" s="525"/>
      <c r="AJ42" s="525"/>
      <c r="AK42" s="525"/>
      <c r="AL42" s="525"/>
      <c r="AM42" s="525"/>
      <c r="AN42" s="525"/>
      <c r="AO42" s="525"/>
      <c r="AP42" s="525"/>
      <c r="AQ42" s="525"/>
      <c r="AR42" s="525"/>
      <c r="AS42" s="525"/>
      <c r="AT42" s="525"/>
      <c r="AU42" s="525"/>
      <c r="AV42" s="143"/>
      <c r="AW42" s="68"/>
      <c r="AX42" s="69"/>
      <c r="AY42" s="69"/>
      <c r="AZ42" s="69"/>
      <c r="BA42" s="69"/>
      <c r="BB42" s="69"/>
      <c r="BC42" s="5"/>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row>
    <row r="43" spans="2:106" ht="12.75" customHeight="1">
      <c r="B43" s="66"/>
      <c r="C43" s="110"/>
      <c r="D43" s="109"/>
      <c r="E43" s="109"/>
      <c r="F43" s="109"/>
      <c r="G43" s="109"/>
      <c r="H43" s="67"/>
      <c r="I43" s="147"/>
      <c r="J43" s="525"/>
      <c r="K43" s="525"/>
      <c r="L43" s="525"/>
      <c r="M43" s="525"/>
      <c r="N43" s="525"/>
      <c r="O43" s="525"/>
      <c r="P43" s="525"/>
      <c r="Q43" s="525"/>
      <c r="R43" s="525"/>
      <c r="S43" s="525"/>
      <c r="T43" s="525"/>
      <c r="U43" s="525"/>
      <c r="V43" s="525"/>
      <c r="W43" s="525"/>
      <c r="X43" s="525"/>
      <c r="Y43" s="525"/>
      <c r="Z43" s="525"/>
      <c r="AA43" s="525"/>
      <c r="AB43" s="525"/>
      <c r="AC43" s="525"/>
      <c r="AD43" s="525"/>
      <c r="AE43" s="525"/>
      <c r="AF43" s="525"/>
      <c r="AG43" s="525"/>
      <c r="AH43" s="525"/>
      <c r="AI43" s="525"/>
      <c r="AJ43" s="525"/>
      <c r="AK43" s="525"/>
      <c r="AL43" s="525"/>
      <c r="AM43" s="525"/>
      <c r="AN43" s="525"/>
      <c r="AO43" s="525"/>
      <c r="AP43" s="525"/>
      <c r="AQ43" s="525"/>
      <c r="AR43" s="525"/>
      <c r="AS43" s="525"/>
      <c r="AT43" s="525"/>
      <c r="AU43" s="525"/>
      <c r="AV43" s="143"/>
      <c r="AW43" s="68"/>
      <c r="AX43" s="69"/>
      <c r="AY43" s="69"/>
      <c r="AZ43" s="69"/>
      <c r="BA43" s="69"/>
      <c r="BB43" s="69"/>
      <c r="BC43" s="5"/>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row>
    <row r="44" spans="2:106" ht="12.75" customHeight="1">
      <c r="B44" s="66"/>
      <c r="C44" s="110"/>
      <c r="D44" s="109"/>
      <c r="E44" s="109"/>
      <c r="F44" s="109"/>
      <c r="G44" s="109"/>
      <c r="H44" s="67"/>
      <c r="I44" s="147"/>
      <c r="J44" s="525"/>
      <c r="K44" s="525"/>
      <c r="L44" s="525"/>
      <c r="M44" s="525"/>
      <c r="N44" s="525"/>
      <c r="O44" s="525"/>
      <c r="P44" s="525"/>
      <c r="Q44" s="525"/>
      <c r="R44" s="525"/>
      <c r="S44" s="525"/>
      <c r="T44" s="525"/>
      <c r="U44" s="525"/>
      <c r="V44" s="525"/>
      <c r="W44" s="525"/>
      <c r="X44" s="525"/>
      <c r="Y44" s="525"/>
      <c r="Z44" s="525"/>
      <c r="AA44" s="525"/>
      <c r="AB44" s="525"/>
      <c r="AC44" s="525"/>
      <c r="AD44" s="525"/>
      <c r="AE44" s="525"/>
      <c r="AF44" s="525"/>
      <c r="AG44" s="525"/>
      <c r="AH44" s="525"/>
      <c r="AI44" s="525"/>
      <c r="AJ44" s="525"/>
      <c r="AK44" s="525"/>
      <c r="AL44" s="525"/>
      <c r="AM44" s="525"/>
      <c r="AN44" s="525"/>
      <c r="AO44" s="525"/>
      <c r="AP44" s="525"/>
      <c r="AQ44" s="525"/>
      <c r="AR44" s="525"/>
      <c r="AS44" s="525"/>
      <c r="AT44" s="525"/>
      <c r="AU44" s="525"/>
      <c r="AV44" s="143"/>
      <c r="AW44" s="68"/>
      <c r="AX44" s="69"/>
      <c r="AY44" s="69"/>
      <c r="AZ44" s="69"/>
      <c r="BA44" s="69"/>
      <c r="BB44" s="69"/>
      <c r="BC44" s="5"/>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row>
    <row r="45" spans="2:106" ht="12.75" customHeight="1">
      <c r="B45" s="66"/>
      <c r="C45" s="110"/>
      <c r="D45" s="109"/>
      <c r="E45" s="109"/>
      <c r="F45" s="109"/>
      <c r="G45" s="109"/>
      <c r="H45" s="67"/>
      <c r="I45" s="147"/>
      <c r="J45" s="525"/>
      <c r="K45" s="525"/>
      <c r="L45" s="525"/>
      <c r="M45" s="525"/>
      <c r="N45" s="525"/>
      <c r="O45" s="525"/>
      <c r="P45" s="525"/>
      <c r="Q45" s="525"/>
      <c r="R45" s="525"/>
      <c r="S45" s="525"/>
      <c r="T45" s="525"/>
      <c r="U45" s="525"/>
      <c r="V45" s="525"/>
      <c r="W45" s="525"/>
      <c r="X45" s="525"/>
      <c r="Y45" s="525"/>
      <c r="Z45" s="525"/>
      <c r="AA45" s="525"/>
      <c r="AB45" s="525"/>
      <c r="AC45" s="525"/>
      <c r="AD45" s="525"/>
      <c r="AE45" s="525"/>
      <c r="AF45" s="525"/>
      <c r="AG45" s="525"/>
      <c r="AH45" s="525"/>
      <c r="AI45" s="525"/>
      <c r="AJ45" s="525"/>
      <c r="AK45" s="525"/>
      <c r="AL45" s="525"/>
      <c r="AM45" s="525"/>
      <c r="AN45" s="525"/>
      <c r="AO45" s="525"/>
      <c r="AP45" s="525"/>
      <c r="AQ45" s="525"/>
      <c r="AR45" s="525"/>
      <c r="AS45" s="525"/>
      <c r="AT45" s="525"/>
      <c r="AU45" s="525"/>
      <c r="AV45" s="143"/>
      <c r="AW45" s="68"/>
      <c r="AX45" s="69"/>
      <c r="AY45" s="69"/>
      <c r="AZ45" s="69"/>
      <c r="BA45" s="69"/>
      <c r="BB45" s="69"/>
      <c r="BC45" s="5"/>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row>
    <row r="46" spans="2:106" ht="12.75" customHeight="1">
      <c r="B46" s="66"/>
      <c r="C46" s="110"/>
      <c r="D46" s="109"/>
      <c r="E46" s="109"/>
      <c r="F46" s="109"/>
      <c r="G46" s="109"/>
      <c r="H46" s="67"/>
      <c r="I46" s="147"/>
      <c r="J46" s="525"/>
      <c r="K46" s="525"/>
      <c r="L46" s="525"/>
      <c r="M46" s="525"/>
      <c r="N46" s="525"/>
      <c r="O46" s="525"/>
      <c r="P46" s="525"/>
      <c r="Q46" s="525"/>
      <c r="R46" s="525"/>
      <c r="S46" s="525"/>
      <c r="T46" s="525"/>
      <c r="U46" s="525"/>
      <c r="V46" s="525"/>
      <c r="W46" s="525"/>
      <c r="X46" s="525"/>
      <c r="Y46" s="525"/>
      <c r="Z46" s="525"/>
      <c r="AA46" s="525"/>
      <c r="AB46" s="525"/>
      <c r="AC46" s="525"/>
      <c r="AD46" s="525"/>
      <c r="AE46" s="525"/>
      <c r="AF46" s="525"/>
      <c r="AG46" s="525"/>
      <c r="AH46" s="525"/>
      <c r="AI46" s="525"/>
      <c r="AJ46" s="525"/>
      <c r="AK46" s="525"/>
      <c r="AL46" s="525"/>
      <c r="AM46" s="525"/>
      <c r="AN46" s="525"/>
      <c r="AO46" s="525"/>
      <c r="AP46" s="525"/>
      <c r="AQ46" s="525"/>
      <c r="AR46" s="525"/>
      <c r="AS46" s="525"/>
      <c r="AT46" s="525"/>
      <c r="AU46" s="525"/>
      <c r="AV46" s="143"/>
      <c r="AW46" s="68"/>
      <c r="AX46" s="69"/>
      <c r="AY46" s="69"/>
      <c r="AZ46" s="69"/>
      <c r="BA46" s="69"/>
      <c r="BB46" s="69"/>
      <c r="BC46" s="5"/>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row>
    <row r="47" spans="2:106" ht="12.75" customHeight="1">
      <c r="B47" s="520" t="s">
        <v>94</v>
      </c>
      <c r="C47" s="520"/>
      <c r="D47" s="520"/>
      <c r="E47" s="520"/>
      <c r="F47" s="520"/>
      <c r="G47" s="520"/>
      <c r="H47" s="520"/>
      <c r="I47" s="147"/>
      <c r="J47" s="525"/>
      <c r="K47" s="525"/>
      <c r="L47" s="525"/>
      <c r="M47" s="525"/>
      <c r="N47" s="525"/>
      <c r="O47" s="525"/>
      <c r="P47" s="525"/>
      <c r="Q47" s="525"/>
      <c r="R47" s="525"/>
      <c r="S47" s="525"/>
      <c r="T47" s="525"/>
      <c r="U47" s="525"/>
      <c r="V47" s="525"/>
      <c r="W47" s="525"/>
      <c r="X47" s="525"/>
      <c r="Y47" s="525"/>
      <c r="Z47" s="525"/>
      <c r="AA47" s="525"/>
      <c r="AB47" s="525"/>
      <c r="AC47" s="525"/>
      <c r="AD47" s="525"/>
      <c r="AE47" s="525"/>
      <c r="AF47" s="525"/>
      <c r="AG47" s="525"/>
      <c r="AH47" s="525"/>
      <c r="AI47" s="525"/>
      <c r="AJ47" s="525"/>
      <c r="AK47" s="525"/>
      <c r="AL47" s="525"/>
      <c r="AM47" s="525"/>
      <c r="AN47" s="525"/>
      <c r="AO47" s="525"/>
      <c r="AP47" s="525"/>
      <c r="AQ47" s="525"/>
      <c r="AR47" s="525"/>
      <c r="AS47" s="525"/>
      <c r="AT47" s="525"/>
      <c r="AU47" s="525"/>
      <c r="AV47" s="143"/>
      <c r="AW47" s="68"/>
      <c r="AX47" s="69"/>
      <c r="AY47" s="69"/>
      <c r="AZ47" s="69"/>
      <c r="BA47" s="69"/>
      <c r="BB47" s="69"/>
      <c r="BC47" s="5"/>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row>
    <row r="48" spans="2:106" ht="12.75" customHeight="1">
      <c r="B48" s="520"/>
      <c r="C48" s="520"/>
      <c r="D48" s="520"/>
      <c r="E48" s="520"/>
      <c r="F48" s="520"/>
      <c r="G48" s="520"/>
      <c r="H48" s="520"/>
      <c r="I48" s="147"/>
      <c r="J48" s="525"/>
      <c r="K48" s="525"/>
      <c r="L48" s="525"/>
      <c r="M48" s="525"/>
      <c r="N48" s="525"/>
      <c r="O48" s="525"/>
      <c r="P48" s="525"/>
      <c r="Q48" s="525"/>
      <c r="R48" s="525"/>
      <c r="S48" s="525"/>
      <c r="T48" s="525"/>
      <c r="U48" s="525"/>
      <c r="V48" s="525"/>
      <c r="W48" s="525"/>
      <c r="X48" s="525"/>
      <c r="Y48" s="525"/>
      <c r="Z48" s="525"/>
      <c r="AA48" s="525"/>
      <c r="AB48" s="525"/>
      <c r="AC48" s="525"/>
      <c r="AD48" s="525"/>
      <c r="AE48" s="525"/>
      <c r="AF48" s="525"/>
      <c r="AG48" s="525"/>
      <c r="AH48" s="525"/>
      <c r="AI48" s="525"/>
      <c r="AJ48" s="525"/>
      <c r="AK48" s="525"/>
      <c r="AL48" s="525"/>
      <c r="AM48" s="525"/>
      <c r="AN48" s="525"/>
      <c r="AO48" s="525"/>
      <c r="AP48" s="525"/>
      <c r="AQ48" s="525"/>
      <c r="AR48" s="525"/>
      <c r="AS48" s="525"/>
      <c r="AT48" s="525"/>
      <c r="AU48" s="525"/>
      <c r="AV48" s="143"/>
      <c r="AW48" s="68"/>
      <c r="AX48" s="69"/>
      <c r="AY48" s="69"/>
      <c r="AZ48" s="69"/>
      <c r="BA48" s="69"/>
      <c r="BB48" s="69"/>
      <c r="BC48" s="5"/>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row>
    <row r="49" spans="2:106" ht="12.75" customHeight="1">
      <c r="B49" s="520"/>
      <c r="C49" s="520"/>
      <c r="D49" s="520"/>
      <c r="E49" s="520"/>
      <c r="F49" s="520"/>
      <c r="G49" s="520"/>
      <c r="H49" s="520"/>
      <c r="I49" s="147"/>
      <c r="J49" s="525"/>
      <c r="K49" s="525"/>
      <c r="L49" s="525"/>
      <c r="M49" s="525"/>
      <c r="N49" s="525"/>
      <c r="O49" s="525"/>
      <c r="P49" s="525"/>
      <c r="Q49" s="525"/>
      <c r="R49" s="525"/>
      <c r="S49" s="525"/>
      <c r="T49" s="525"/>
      <c r="U49" s="525"/>
      <c r="V49" s="525"/>
      <c r="W49" s="525"/>
      <c r="X49" s="525"/>
      <c r="Y49" s="525"/>
      <c r="Z49" s="525"/>
      <c r="AA49" s="525"/>
      <c r="AB49" s="525"/>
      <c r="AC49" s="525"/>
      <c r="AD49" s="525"/>
      <c r="AE49" s="525"/>
      <c r="AF49" s="525"/>
      <c r="AG49" s="525"/>
      <c r="AH49" s="525"/>
      <c r="AI49" s="525"/>
      <c r="AJ49" s="525"/>
      <c r="AK49" s="525"/>
      <c r="AL49" s="525"/>
      <c r="AM49" s="525"/>
      <c r="AN49" s="525"/>
      <c r="AO49" s="525"/>
      <c r="AP49" s="525"/>
      <c r="AQ49" s="525"/>
      <c r="AR49" s="525"/>
      <c r="AS49" s="525"/>
      <c r="AT49" s="525"/>
      <c r="AU49" s="525"/>
      <c r="AV49" s="143"/>
      <c r="AW49" s="68"/>
      <c r="AX49" s="69"/>
      <c r="AY49" s="69"/>
      <c r="AZ49" s="69"/>
      <c r="BA49" s="69"/>
      <c r="BB49" s="69"/>
      <c r="BC49" s="5"/>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row>
    <row r="50" spans="2:106" ht="12.75" customHeight="1">
      <c r="B50" s="520"/>
      <c r="C50" s="520"/>
      <c r="D50" s="520"/>
      <c r="E50" s="520"/>
      <c r="F50" s="520"/>
      <c r="G50" s="520"/>
      <c r="H50" s="520"/>
      <c r="I50" s="147"/>
      <c r="J50" s="525"/>
      <c r="K50" s="525"/>
      <c r="L50" s="525"/>
      <c r="M50" s="525"/>
      <c r="N50" s="525"/>
      <c r="O50" s="525"/>
      <c r="P50" s="525"/>
      <c r="Q50" s="525"/>
      <c r="R50" s="525"/>
      <c r="S50" s="525"/>
      <c r="T50" s="525"/>
      <c r="U50" s="525"/>
      <c r="V50" s="525"/>
      <c r="W50" s="525"/>
      <c r="X50" s="525"/>
      <c r="Y50" s="525"/>
      <c r="Z50" s="525"/>
      <c r="AA50" s="525"/>
      <c r="AB50" s="525"/>
      <c r="AC50" s="525"/>
      <c r="AD50" s="525"/>
      <c r="AE50" s="525"/>
      <c r="AF50" s="525"/>
      <c r="AG50" s="525"/>
      <c r="AH50" s="525"/>
      <c r="AI50" s="525"/>
      <c r="AJ50" s="525"/>
      <c r="AK50" s="525"/>
      <c r="AL50" s="525"/>
      <c r="AM50" s="525"/>
      <c r="AN50" s="525"/>
      <c r="AO50" s="525"/>
      <c r="AP50" s="525"/>
      <c r="AQ50" s="525"/>
      <c r="AR50" s="525"/>
      <c r="AS50" s="525"/>
      <c r="AT50" s="525"/>
      <c r="AU50" s="525"/>
      <c r="AV50" s="143"/>
      <c r="AW50" s="68"/>
      <c r="AX50" s="69"/>
      <c r="AY50" s="69"/>
      <c r="AZ50" s="69"/>
      <c r="BA50" s="69"/>
      <c r="BB50" s="69"/>
      <c r="BC50" s="5"/>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row>
    <row r="51" spans="2:106" ht="12.75" customHeight="1">
      <c r="B51" s="66"/>
      <c r="C51" s="110"/>
      <c r="D51" s="109"/>
      <c r="E51" s="109"/>
      <c r="F51" s="109"/>
      <c r="G51" s="109"/>
      <c r="H51" s="67"/>
      <c r="I51" s="147"/>
      <c r="J51" s="525"/>
      <c r="K51" s="525"/>
      <c r="L51" s="525"/>
      <c r="M51" s="525"/>
      <c r="N51" s="525"/>
      <c r="O51" s="525"/>
      <c r="P51" s="525"/>
      <c r="Q51" s="525"/>
      <c r="R51" s="525"/>
      <c r="S51" s="525"/>
      <c r="T51" s="525"/>
      <c r="U51" s="525"/>
      <c r="V51" s="525"/>
      <c r="W51" s="525"/>
      <c r="X51" s="525"/>
      <c r="Y51" s="525"/>
      <c r="Z51" s="525"/>
      <c r="AA51" s="525"/>
      <c r="AB51" s="525"/>
      <c r="AC51" s="525"/>
      <c r="AD51" s="525"/>
      <c r="AE51" s="525"/>
      <c r="AF51" s="525"/>
      <c r="AG51" s="525"/>
      <c r="AH51" s="525"/>
      <c r="AI51" s="525"/>
      <c r="AJ51" s="525"/>
      <c r="AK51" s="525"/>
      <c r="AL51" s="525"/>
      <c r="AM51" s="525"/>
      <c r="AN51" s="525"/>
      <c r="AO51" s="525"/>
      <c r="AP51" s="525"/>
      <c r="AQ51" s="525"/>
      <c r="AR51" s="525"/>
      <c r="AS51" s="525"/>
      <c r="AT51" s="525"/>
      <c r="AU51" s="525"/>
      <c r="AV51" s="143"/>
      <c r="AW51" s="68"/>
      <c r="AX51" s="69"/>
      <c r="AY51" s="69"/>
      <c r="AZ51" s="69"/>
      <c r="BA51" s="69"/>
      <c r="BB51" s="69"/>
      <c r="BC51" s="5"/>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row>
    <row r="52" spans="2:106" ht="12.75" customHeight="1">
      <c r="B52" s="66"/>
      <c r="C52" s="110"/>
      <c r="D52" s="109"/>
      <c r="E52" s="109"/>
      <c r="F52" s="109"/>
      <c r="G52" s="109"/>
      <c r="H52" s="67"/>
      <c r="I52" s="147"/>
      <c r="J52" s="525"/>
      <c r="K52" s="525"/>
      <c r="L52" s="525"/>
      <c r="M52" s="525"/>
      <c r="N52" s="525"/>
      <c r="O52" s="525"/>
      <c r="P52" s="525"/>
      <c r="Q52" s="525"/>
      <c r="R52" s="525"/>
      <c r="S52" s="525"/>
      <c r="T52" s="525"/>
      <c r="U52" s="525"/>
      <c r="V52" s="525"/>
      <c r="W52" s="525"/>
      <c r="X52" s="525"/>
      <c r="Y52" s="525"/>
      <c r="Z52" s="525"/>
      <c r="AA52" s="525"/>
      <c r="AB52" s="525"/>
      <c r="AC52" s="525"/>
      <c r="AD52" s="525"/>
      <c r="AE52" s="525"/>
      <c r="AF52" s="525"/>
      <c r="AG52" s="525"/>
      <c r="AH52" s="525"/>
      <c r="AI52" s="525"/>
      <c r="AJ52" s="525"/>
      <c r="AK52" s="525"/>
      <c r="AL52" s="525"/>
      <c r="AM52" s="525"/>
      <c r="AN52" s="525"/>
      <c r="AO52" s="525"/>
      <c r="AP52" s="525"/>
      <c r="AQ52" s="525"/>
      <c r="AR52" s="525"/>
      <c r="AS52" s="525"/>
      <c r="AT52" s="525"/>
      <c r="AU52" s="525"/>
      <c r="AV52" s="143"/>
      <c r="AW52" s="68"/>
      <c r="AX52" s="69"/>
      <c r="AY52" s="69"/>
      <c r="AZ52" s="69"/>
      <c r="BA52" s="69"/>
      <c r="BB52" s="69"/>
      <c r="BC52" s="5"/>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row>
    <row r="53" spans="2:106" ht="12.75" customHeight="1">
      <c r="B53" s="66"/>
      <c r="C53" s="110"/>
      <c r="D53" s="109"/>
      <c r="E53" s="109"/>
      <c r="F53" s="109"/>
      <c r="G53" s="109"/>
      <c r="H53" s="67"/>
      <c r="I53" s="147"/>
      <c r="J53" s="525"/>
      <c r="K53" s="525"/>
      <c r="L53" s="525"/>
      <c r="M53" s="525"/>
      <c r="N53" s="525"/>
      <c r="O53" s="525"/>
      <c r="P53" s="525"/>
      <c r="Q53" s="525"/>
      <c r="R53" s="525"/>
      <c r="S53" s="525"/>
      <c r="T53" s="525"/>
      <c r="U53" s="525"/>
      <c r="V53" s="525"/>
      <c r="W53" s="525"/>
      <c r="X53" s="525"/>
      <c r="Y53" s="525"/>
      <c r="Z53" s="525"/>
      <c r="AA53" s="525"/>
      <c r="AB53" s="525"/>
      <c r="AC53" s="525"/>
      <c r="AD53" s="525"/>
      <c r="AE53" s="525"/>
      <c r="AF53" s="525"/>
      <c r="AG53" s="525"/>
      <c r="AH53" s="525"/>
      <c r="AI53" s="525"/>
      <c r="AJ53" s="525"/>
      <c r="AK53" s="525"/>
      <c r="AL53" s="525"/>
      <c r="AM53" s="525"/>
      <c r="AN53" s="525"/>
      <c r="AO53" s="525"/>
      <c r="AP53" s="525"/>
      <c r="AQ53" s="525"/>
      <c r="AR53" s="525"/>
      <c r="AS53" s="525"/>
      <c r="AT53" s="525"/>
      <c r="AU53" s="525"/>
      <c r="AV53" s="143"/>
      <c r="AW53" s="68"/>
      <c r="AX53" s="69"/>
      <c r="AY53" s="69"/>
      <c r="AZ53" s="69"/>
      <c r="BA53" s="69"/>
      <c r="BB53" s="69"/>
      <c r="BC53" s="5"/>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row>
    <row r="54" spans="2:106" ht="12.75" customHeight="1">
      <c r="B54" s="66"/>
      <c r="C54" s="110"/>
      <c r="D54" s="109"/>
      <c r="E54" s="109"/>
      <c r="F54" s="109"/>
      <c r="G54" s="109"/>
      <c r="H54" s="67"/>
      <c r="I54" s="147"/>
      <c r="J54" s="525"/>
      <c r="K54" s="525"/>
      <c r="L54" s="525"/>
      <c r="M54" s="525"/>
      <c r="N54" s="525"/>
      <c r="O54" s="525"/>
      <c r="P54" s="525"/>
      <c r="Q54" s="525"/>
      <c r="R54" s="525"/>
      <c r="S54" s="525"/>
      <c r="T54" s="525"/>
      <c r="U54" s="525"/>
      <c r="V54" s="525"/>
      <c r="W54" s="525"/>
      <c r="X54" s="525"/>
      <c r="Y54" s="525"/>
      <c r="Z54" s="525"/>
      <c r="AA54" s="525"/>
      <c r="AB54" s="525"/>
      <c r="AC54" s="525"/>
      <c r="AD54" s="525"/>
      <c r="AE54" s="525"/>
      <c r="AF54" s="525"/>
      <c r="AG54" s="525"/>
      <c r="AH54" s="525"/>
      <c r="AI54" s="525"/>
      <c r="AJ54" s="525"/>
      <c r="AK54" s="525"/>
      <c r="AL54" s="525"/>
      <c r="AM54" s="525"/>
      <c r="AN54" s="525"/>
      <c r="AO54" s="525"/>
      <c r="AP54" s="525"/>
      <c r="AQ54" s="525"/>
      <c r="AR54" s="525"/>
      <c r="AS54" s="525"/>
      <c r="AT54" s="525"/>
      <c r="AU54" s="525"/>
      <c r="AV54" s="143"/>
      <c r="AW54" s="68"/>
      <c r="AX54" s="69"/>
      <c r="AY54" s="69"/>
      <c r="AZ54" s="69"/>
      <c r="BA54" s="69"/>
      <c r="BB54" s="69"/>
      <c r="BC54" s="5"/>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row>
    <row r="55" spans="2:106" ht="12.75" customHeight="1">
      <c r="B55" s="66"/>
      <c r="C55" s="110"/>
      <c r="D55" s="109"/>
      <c r="E55" s="109"/>
      <c r="F55" s="109"/>
      <c r="G55" s="109"/>
      <c r="H55" s="67"/>
      <c r="I55" s="147"/>
      <c r="J55" s="525"/>
      <c r="K55" s="525"/>
      <c r="L55" s="525"/>
      <c r="M55" s="525"/>
      <c r="N55" s="525"/>
      <c r="O55" s="525"/>
      <c r="P55" s="525"/>
      <c r="Q55" s="525"/>
      <c r="R55" s="525"/>
      <c r="S55" s="525"/>
      <c r="T55" s="525"/>
      <c r="U55" s="525"/>
      <c r="V55" s="525"/>
      <c r="W55" s="525"/>
      <c r="X55" s="525"/>
      <c r="Y55" s="525"/>
      <c r="Z55" s="525"/>
      <c r="AA55" s="525"/>
      <c r="AB55" s="525"/>
      <c r="AC55" s="525"/>
      <c r="AD55" s="525"/>
      <c r="AE55" s="525"/>
      <c r="AF55" s="525"/>
      <c r="AG55" s="525"/>
      <c r="AH55" s="525"/>
      <c r="AI55" s="525"/>
      <c r="AJ55" s="525"/>
      <c r="AK55" s="525"/>
      <c r="AL55" s="525"/>
      <c r="AM55" s="525"/>
      <c r="AN55" s="525"/>
      <c r="AO55" s="525"/>
      <c r="AP55" s="525"/>
      <c r="AQ55" s="525"/>
      <c r="AR55" s="525"/>
      <c r="AS55" s="525"/>
      <c r="AT55" s="525"/>
      <c r="AU55" s="525"/>
      <c r="AV55" s="143"/>
      <c r="AW55" s="68"/>
      <c r="AX55" s="69"/>
      <c r="AY55" s="69"/>
      <c r="AZ55" s="69"/>
      <c r="BA55" s="69"/>
      <c r="BB55" s="69"/>
      <c r="BC55" s="5"/>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row>
    <row r="56" spans="2:106" ht="12.75" customHeight="1">
      <c r="B56" s="66"/>
      <c r="C56" s="110"/>
      <c r="D56" s="109"/>
      <c r="E56" s="109"/>
      <c r="F56" s="109"/>
      <c r="G56" s="109"/>
      <c r="H56" s="67"/>
      <c r="I56" s="147"/>
      <c r="J56" s="525"/>
      <c r="K56" s="525"/>
      <c r="L56" s="525"/>
      <c r="M56" s="525"/>
      <c r="N56" s="525"/>
      <c r="O56" s="525"/>
      <c r="P56" s="525"/>
      <c r="Q56" s="525"/>
      <c r="R56" s="525"/>
      <c r="S56" s="525"/>
      <c r="T56" s="525"/>
      <c r="U56" s="525"/>
      <c r="V56" s="525"/>
      <c r="W56" s="525"/>
      <c r="X56" s="525"/>
      <c r="Y56" s="525"/>
      <c r="Z56" s="525"/>
      <c r="AA56" s="525"/>
      <c r="AB56" s="525"/>
      <c r="AC56" s="525"/>
      <c r="AD56" s="525"/>
      <c r="AE56" s="525"/>
      <c r="AF56" s="525"/>
      <c r="AG56" s="525"/>
      <c r="AH56" s="525"/>
      <c r="AI56" s="525"/>
      <c r="AJ56" s="525"/>
      <c r="AK56" s="525"/>
      <c r="AL56" s="525"/>
      <c r="AM56" s="525"/>
      <c r="AN56" s="525"/>
      <c r="AO56" s="525"/>
      <c r="AP56" s="525"/>
      <c r="AQ56" s="525"/>
      <c r="AR56" s="525"/>
      <c r="AS56" s="525"/>
      <c r="AT56" s="525"/>
      <c r="AU56" s="525"/>
      <c r="AV56" s="143"/>
      <c r="AW56" s="68"/>
      <c r="AX56" s="69"/>
      <c r="AY56" s="69"/>
      <c r="AZ56" s="69"/>
      <c r="BA56" s="69"/>
      <c r="BB56" s="69"/>
      <c r="BC56" s="5"/>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row>
    <row r="57" spans="2:106" ht="12.75" customHeight="1">
      <c r="B57" s="66"/>
      <c r="C57" s="109"/>
      <c r="D57" s="109"/>
      <c r="E57" s="109"/>
      <c r="F57" s="109"/>
      <c r="G57" s="109"/>
      <c r="H57" s="67"/>
      <c r="I57" s="147"/>
      <c r="J57" s="525"/>
      <c r="K57" s="525"/>
      <c r="L57" s="525"/>
      <c r="M57" s="525"/>
      <c r="N57" s="525"/>
      <c r="O57" s="525"/>
      <c r="P57" s="525"/>
      <c r="Q57" s="525"/>
      <c r="R57" s="525"/>
      <c r="S57" s="525"/>
      <c r="T57" s="525"/>
      <c r="U57" s="525"/>
      <c r="V57" s="525"/>
      <c r="W57" s="525"/>
      <c r="X57" s="525"/>
      <c r="Y57" s="525"/>
      <c r="Z57" s="525"/>
      <c r="AA57" s="525"/>
      <c r="AB57" s="525"/>
      <c r="AC57" s="525"/>
      <c r="AD57" s="525"/>
      <c r="AE57" s="525"/>
      <c r="AF57" s="525"/>
      <c r="AG57" s="525"/>
      <c r="AH57" s="525"/>
      <c r="AI57" s="525"/>
      <c r="AJ57" s="525"/>
      <c r="AK57" s="525"/>
      <c r="AL57" s="525"/>
      <c r="AM57" s="525"/>
      <c r="AN57" s="525"/>
      <c r="AO57" s="525"/>
      <c r="AP57" s="525"/>
      <c r="AQ57" s="525"/>
      <c r="AR57" s="525"/>
      <c r="AS57" s="525"/>
      <c r="AT57" s="525"/>
      <c r="AU57" s="525"/>
      <c r="AV57" s="143"/>
      <c r="AW57" s="68"/>
      <c r="AX57" s="69"/>
      <c r="AY57" s="69"/>
      <c r="AZ57" s="69"/>
      <c r="BA57" s="69"/>
      <c r="BB57" s="69"/>
      <c r="BC57" s="5"/>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row>
    <row r="58" spans="2:106" ht="12.75" customHeight="1">
      <c r="B58" s="66"/>
      <c r="C58" s="109"/>
      <c r="D58" s="109"/>
      <c r="E58" s="109"/>
      <c r="F58" s="109"/>
      <c r="G58" s="109"/>
      <c r="H58" s="67"/>
      <c r="I58" s="147"/>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25"/>
      <c r="AK58" s="525"/>
      <c r="AL58" s="525"/>
      <c r="AM58" s="525"/>
      <c r="AN58" s="525"/>
      <c r="AO58" s="525"/>
      <c r="AP58" s="525"/>
      <c r="AQ58" s="525"/>
      <c r="AR58" s="525"/>
      <c r="AS58" s="525"/>
      <c r="AT58" s="525"/>
      <c r="AU58" s="525"/>
      <c r="AV58" s="143"/>
      <c r="AW58" s="68"/>
      <c r="AX58" s="69"/>
      <c r="AY58" s="69"/>
      <c r="AZ58" s="69"/>
      <c r="BA58" s="69"/>
      <c r="BB58" s="69"/>
      <c r="BC58" s="5"/>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row>
    <row r="59" spans="2:106" ht="12.75" customHeight="1">
      <c r="B59" s="66"/>
      <c r="C59" s="109"/>
      <c r="D59" s="109"/>
      <c r="E59" s="109"/>
      <c r="F59" s="109"/>
      <c r="G59" s="109"/>
      <c r="H59" s="67"/>
      <c r="I59" s="147"/>
      <c r="J59" s="525"/>
      <c r="K59" s="525"/>
      <c r="L59" s="525"/>
      <c r="M59" s="525"/>
      <c r="N59" s="525"/>
      <c r="O59" s="525"/>
      <c r="P59" s="525"/>
      <c r="Q59" s="525"/>
      <c r="R59" s="525"/>
      <c r="S59" s="525"/>
      <c r="T59" s="525"/>
      <c r="U59" s="525"/>
      <c r="V59" s="525"/>
      <c r="W59" s="525"/>
      <c r="X59" s="525"/>
      <c r="Y59" s="525"/>
      <c r="Z59" s="525"/>
      <c r="AA59" s="525"/>
      <c r="AB59" s="525"/>
      <c r="AC59" s="525"/>
      <c r="AD59" s="525"/>
      <c r="AE59" s="525"/>
      <c r="AF59" s="525"/>
      <c r="AG59" s="525"/>
      <c r="AH59" s="525"/>
      <c r="AI59" s="525"/>
      <c r="AJ59" s="525"/>
      <c r="AK59" s="525"/>
      <c r="AL59" s="525"/>
      <c r="AM59" s="525"/>
      <c r="AN59" s="525"/>
      <c r="AO59" s="525"/>
      <c r="AP59" s="525"/>
      <c r="AQ59" s="525"/>
      <c r="AR59" s="525"/>
      <c r="AS59" s="525"/>
      <c r="AT59" s="525"/>
      <c r="AU59" s="525"/>
      <c r="AV59" s="143"/>
      <c r="AW59" s="68"/>
      <c r="AX59" s="69"/>
      <c r="AY59" s="69"/>
      <c r="AZ59" s="69"/>
      <c r="BA59" s="69"/>
      <c r="BB59" s="69"/>
      <c r="BC59" s="5"/>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row>
    <row r="60" spans="2:106" ht="12.75" customHeight="1">
      <c r="B60" s="66"/>
      <c r="C60" s="109"/>
      <c r="D60" s="109"/>
      <c r="E60" s="109"/>
      <c r="F60" s="109"/>
      <c r="G60" s="109"/>
      <c r="H60" s="67"/>
      <c r="I60" s="147"/>
      <c r="J60" s="525"/>
      <c r="K60" s="525"/>
      <c r="L60" s="525"/>
      <c r="M60" s="525"/>
      <c r="N60" s="525"/>
      <c r="O60" s="525"/>
      <c r="P60" s="525"/>
      <c r="Q60" s="525"/>
      <c r="R60" s="525"/>
      <c r="S60" s="525"/>
      <c r="T60" s="525"/>
      <c r="U60" s="525"/>
      <c r="V60" s="525"/>
      <c r="W60" s="525"/>
      <c r="X60" s="525"/>
      <c r="Y60" s="525"/>
      <c r="Z60" s="525"/>
      <c r="AA60" s="525"/>
      <c r="AB60" s="525"/>
      <c r="AC60" s="525"/>
      <c r="AD60" s="525"/>
      <c r="AE60" s="525"/>
      <c r="AF60" s="525"/>
      <c r="AG60" s="525"/>
      <c r="AH60" s="525"/>
      <c r="AI60" s="525"/>
      <c r="AJ60" s="525"/>
      <c r="AK60" s="525"/>
      <c r="AL60" s="525"/>
      <c r="AM60" s="525"/>
      <c r="AN60" s="525"/>
      <c r="AO60" s="525"/>
      <c r="AP60" s="525"/>
      <c r="AQ60" s="525"/>
      <c r="AR60" s="525"/>
      <c r="AS60" s="525"/>
      <c r="AT60" s="525"/>
      <c r="AU60" s="525"/>
      <c r="AV60" s="143"/>
      <c r="AW60" s="68"/>
      <c r="AX60" s="69"/>
      <c r="AY60" s="69"/>
      <c r="AZ60" s="69"/>
      <c r="BA60" s="69"/>
      <c r="BB60" s="69"/>
      <c r="BC60" s="5"/>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row>
    <row r="61" spans="2:106" ht="12.75" customHeight="1">
      <c r="B61" s="66"/>
      <c r="C61" s="109"/>
      <c r="D61" s="109"/>
      <c r="E61" s="109"/>
      <c r="F61" s="109"/>
      <c r="G61" s="109"/>
      <c r="H61" s="67"/>
      <c r="I61" s="147"/>
      <c r="J61" s="525"/>
      <c r="K61" s="525"/>
      <c r="L61" s="525"/>
      <c r="M61" s="525"/>
      <c r="N61" s="525"/>
      <c r="O61" s="525"/>
      <c r="P61" s="525"/>
      <c r="Q61" s="525"/>
      <c r="R61" s="525"/>
      <c r="S61" s="525"/>
      <c r="T61" s="525"/>
      <c r="U61" s="525"/>
      <c r="V61" s="525"/>
      <c r="W61" s="525"/>
      <c r="X61" s="525"/>
      <c r="Y61" s="525"/>
      <c r="Z61" s="525"/>
      <c r="AA61" s="525"/>
      <c r="AB61" s="525"/>
      <c r="AC61" s="525"/>
      <c r="AD61" s="525"/>
      <c r="AE61" s="525"/>
      <c r="AF61" s="525"/>
      <c r="AG61" s="525"/>
      <c r="AH61" s="525"/>
      <c r="AI61" s="525"/>
      <c r="AJ61" s="525"/>
      <c r="AK61" s="525"/>
      <c r="AL61" s="525"/>
      <c r="AM61" s="525"/>
      <c r="AN61" s="525"/>
      <c r="AO61" s="525"/>
      <c r="AP61" s="525"/>
      <c r="AQ61" s="525"/>
      <c r="AR61" s="525"/>
      <c r="AS61" s="525"/>
      <c r="AT61" s="525"/>
      <c r="AU61" s="525"/>
      <c r="AV61" s="143"/>
      <c r="AW61" s="68"/>
      <c r="AX61" s="69"/>
      <c r="AY61" s="69"/>
      <c r="AZ61" s="69"/>
      <c r="BA61" s="69"/>
      <c r="BB61" s="69"/>
      <c r="BC61" s="5"/>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row>
    <row r="62" spans="2:106" ht="12.75" customHeight="1">
      <c r="B62" s="66"/>
      <c r="C62" s="109"/>
      <c r="D62" s="109"/>
      <c r="E62" s="109"/>
      <c r="F62" s="109"/>
      <c r="G62" s="109"/>
      <c r="H62" s="67"/>
      <c r="I62" s="147"/>
      <c r="J62" s="525"/>
      <c r="K62" s="525"/>
      <c r="L62" s="525"/>
      <c r="M62" s="525"/>
      <c r="N62" s="525"/>
      <c r="O62" s="525"/>
      <c r="P62" s="525"/>
      <c r="Q62" s="525"/>
      <c r="R62" s="525"/>
      <c r="S62" s="525"/>
      <c r="T62" s="525"/>
      <c r="U62" s="525"/>
      <c r="V62" s="525"/>
      <c r="W62" s="525"/>
      <c r="X62" s="525"/>
      <c r="Y62" s="525"/>
      <c r="Z62" s="525"/>
      <c r="AA62" s="525"/>
      <c r="AB62" s="525"/>
      <c r="AC62" s="525"/>
      <c r="AD62" s="525"/>
      <c r="AE62" s="525"/>
      <c r="AF62" s="525"/>
      <c r="AG62" s="525"/>
      <c r="AH62" s="525"/>
      <c r="AI62" s="525"/>
      <c r="AJ62" s="525"/>
      <c r="AK62" s="525"/>
      <c r="AL62" s="525"/>
      <c r="AM62" s="525"/>
      <c r="AN62" s="525"/>
      <c r="AO62" s="525"/>
      <c r="AP62" s="525"/>
      <c r="AQ62" s="525"/>
      <c r="AR62" s="525"/>
      <c r="AS62" s="525"/>
      <c r="AT62" s="525"/>
      <c r="AU62" s="525"/>
      <c r="AV62" s="143"/>
      <c r="AW62" s="68"/>
      <c r="AX62" s="69"/>
      <c r="AY62" s="69"/>
      <c r="AZ62" s="69"/>
      <c r="BA62" s="69"/>
      <c r="BB62" s="69"/>
      <c r="BC62" s="5"/>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row>
    <row r="63" spans="2:106" ht="12.75" customHeight="1">
      <c r="B63" s="66"/>
      <c r="C63" s="109"/>
      <c r="D63" s="109"/>
      <c r="E63" s="109"/>
      <c r="F63" s="109"/>
      <c r="G63" s="109"/>
      <c r="H63" s="67"/>
      <c r="I63" s="147"/>
      <c r="J63" s="525"/>
      <c r="K63" s="525"/>
      <c r="L63" s="525"/>
      <c r="M63" s="525"/>
      <c r="N63" s="525"/>
      <c r="O63" s="525"/>
      <c r="P63" s="525"/>
      <c r="Q63" s="525"/>
      <c r="R63" s="525"/>
      <c r="S63" s="525"/>
      <c r="T63" s="525"/>
      <c r="U63" s="525"/>
      <c r="V63" s="525"/>
      <c r="W63" s="525"/>
      <c r="X63" s="525"/>
      <c r="Y63" s="525"/>
      <c r="Z63" s="525"/>
      <c r="AA63" s="525"/>
      <c r="AB63" s="525"/>
      <c r="AC63" s="525"/>
      <c r="AD63" s="525"/>
      <c r="AE63" s="525"/>
      <c r="AF63" s="525"/>
      <c r="AG63" s="525"/>
      <c r="AH63" s="525"/>
      <c r="AI63" s="525"/>
      <c r="AJ63" s="525"/>
      <c r="AK63" s="525"/>
      <c r="AL63" s="525"/>
      <c r="AM63" s="525"/>
      <c r="AN63" s="525"/>
      <c r="AO63" s="525"/>
      <c r="AP63" s="525"/>
      <c r="AQ63" s="525"/>
      <c r="AR63" s="525"/>
      <c r="AS63" s="525"/>
      <c r="AT63" s="525"/>
      <c r="AU63" s="525"/>
      <c r="AV63" s="143"/>
      <c r="AW63" s="68"/>
      <c r="AX63" s="69"/>
      <c r="AY63" s="69"/>
      <c r="AZ63" s="69"/>
      <c r="BA63" s="69"/>
      <c r="BB63" s="69"/>
      <c r="BC63" s="5"/>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row>
    <row r="64" spans="2:106" ht="12.75" customHeight="1">
      <c r="B64" s="66"/>
      <c r="C64" s="109"/>
      <c r="D64" s="109"/>
      <c r="E64" s="109"/>
      <c r="F64" s="109"/>
      <c r="G64" s="109"/>
      <c r="H64" s="67"/>
      <c r="I64" s="147"/>
      <c r="J64" s="525"/>
      <c r="K64" s="525"/>
      <c r="L64" s="525"/>
      <c r="M64" s="525"/>
      <c r="N64" s="525"/>
      <c r="O64" s="525"/>
      <c r="P64" s="525"/>
      <c r="Q64" s="525"/>
      <c r="R64" s="525"/>
      <c r="S64" s="525"/>
      <c r="T64" s="525"/>
      <c r="U64" s="525"/>
      <c r="V64" s="525"/>
      <c r="W64" s="525"/>
      <c r="X64" s="525"/>
      <c r="Y64" s="525"/>
      <c r="Z64" s="525"/>
      <c r="AA64" s="525"/>
      <c r="AB64" s="525"/>
      <c r="AC64" s="525"/>
      <c r="AD64" s="525"/>
      <c r="AE64" s="525"/>
      <c r="AF64" s="525"/>
      <c r="AG64" s="525"/>
      <c r="AH64" s="525"/>
      <c r="AI64" s="525"/>
      <c r="AJ64" s="525"/>
      <c r="AK64" s="525"/>
      <c r="AL64" s="525"/>
      <c r="AM64" s="525"/>
      <c r="AN64" s="525"/>
      <c r="AO64" s="525"/>
      <c r="AP64" s="525"/>
      <c r="AQ64" s="525"/>
      <c r="AR64" s="525"/>
      <c r="AS64" s="525"/>
      <c r="AT64" s="525"/>
      <c r="AU64" s="525"/>
      <c r="AV64" s="143"/>
      <c r="AW64" s="68"/>
      <c r="AX64" s="69"/>
      <c r="AY64" s="69"/>
      <c r="AZ64" s="69"/>
      <c r="BA64" s="69"/>
      <c r="BB64" s="69"/>
      <c r="BC64" s="5"/>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row>
    <row r="65" spans="2:106" ht="12.75" customHeight="1">
      <c r="B65" s="66"/>
      <c r="C65" s="109"/>
      <c r="D65" s="109"/>
      <c r="E65" s="109"/>
      <c r="F65" s="109"/>
      <c r="G65" s="109"/>
      <c r="H65" s="67"/>
      <c r="I65" s="147"/>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143"/>
      <c r="AW65" s="68"/>
      <c r="AX65" s="69"/>
      <c r="AY65" s="69"/>
      <c r="AZ65" s="69"/>
      <c r="BA65" s="69"/>
      <c r="BB65" s="69"/>
      <c r="BC65" s="5"/>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row>
    <row r="66" spans="2:106" ht="12.75" customHeight="1">
      <c r="B66" s="66"/>
      <c r="C66" s="109"/>
      <c r="D66" s="109"/>
      <c r="E66" s="109"/>
      <c r="F66" s="109"/>
      <c r="G66" s="109"/>
      <c r="H66" s="67"/>
      <c r="I66" s="147"/>
      <c r="J66" s="525"/>
      <c r="K66" s="525"/>
      <c r="L66" s="525"/>
      <c r="M66" s="525"/>
      <c r="N66" s="525"/>
      <c r="O66" s="525"/>
      <c r="P66" s="525"/>
      <c r="Q66" s="525"/>
      <c r="R66" s="525"/>
      <c r="S66" s="525"/>
      <c r="T66" s="525"/>
      <c r="U66" s="525"/>
      <c r="V66" s="525"/>
      <c r="W66" s="525"/>
      <c r="X66" s="525"/>
      <c r="Y66" s="525"/>
      <c r="Z66" s="525"/>
      <c r="AA66" s="525"/>
      <c r="AB66" s="525"/>
      <c r="AC66" s="525"/>
      <c r="AD66" s="525"/>
      <c r="AE66" s="525"/>
      <c r="AF66" s="525"/>
      <c r="AG66" s="525"/>
      <c r="AH66" s="525"/>
      <c r="AI66" s="525"/>
      <c r="AJ66" s="525"/>
      <c r="AK66" s="525"/>
      <c r="AL66" s="525"/>
      <c r="AM66" s="525"/>
      <c r="AN66" s="525"/>
      <c r="AO66" s="525"/>
      <c r="AP66" s="525"/>
      <c r="AQ66" s="525"/>
      <c r="AR66" s="525"/>
      <c r="AS66" s="525"/>
      <c r="AT66" s="525"/>
      <c r="AU66" s="525"/>
      <c r="AV66" s="143"/>
      <c r="AW66" s="68"/>
      <c r="AX66" s="69"/>
      <c r="AY66" s="69"/>
      <c r="AZ66" s="69"/>
      <c r="BA66" s="69"/>
      <c r="BB66" s="69"/>
      <c r="BC66" s="5"/>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row>
    <row r="67" spans="2:106" ht="12.75" customHeight="1">
      <c r="B67" s="66"/>
      <c r="C67" s="109"/>
      <c r="D67" s="109"/>
      <c r="E67" s="109"/>
      <c r="F67" s="109"/>
      <c r="G67" s="109"/>
      <c r="H67" s="67"/>
      <c r="I67" s="147"/>
      <c r="J67" s="525"/>
      <c r="K67" s="525"/>
      <c r="L67" s="525"/>
      <c r="M67" s="525"/>
      <c r="N67" s="525"/>
      <c r="O67" s="525"/>
      <c r="P67" s="525"/>
      <c r="Q67" s="525"/>
      <c r="R67" s="525"/>
      <c r="S67" s="525"/>
      <c r="T67" s="525"/>
      <c r="U67" s="525"/>
      <c r="V67" s="525"/>
      <c r="W67" s="525"/>
      <c r="X67" s="525"/>
      <c r="Y67" s="525"/>
      <c r="Z67" s="525"/>
      <c r="AA67" s="525"/>
      <c r="AB67" s="525"/>
      <c r="AC67" s="525"/>
      <c r="AD67" s="525"/>
      <c r="AE67" s="525"/>
      <c r="AF67" s="525"/>
      <c r="AG67" s="525"/>
      <c r="AH67" s="525"/>
      <c r="AI67" s="525"/>
      <c r="AJ67" s="525"/>
      <c r="AK67" s="525"/>
      <c r="AL67" s="525"/>
      <c r="AM67" s="525"/>
      <c r="AN67" s="525"/>
      <c r="AO67" s="525"/>
      <c r="AP67" s="525"/>
      <c r="AQ67" s="525"/>
      <c r="AR67" s="525"/>
      <c r="AS67" s="525"/>
      <c r="AT67" s="525"/>
      <c r="AU67" s="525"/>
      <c r="AV67" s="143"/>
      <c r="AW67" s="68"/>
      <c r="AX67" s="69"/>
      <c r="AY67" s="69"/>
      <c r="AZ67" s="69"/>
      <c r="BA67" s="69"/>
      <c r="BB67" s="69"/>
      <c r="BC67" s="5"/>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row>
    <row r="68" spans="2:106" ht="12.75" customHeight="1">
      <c r="B68" s="66"/>
      <c r="C68" s="109"/>
      <c r="D68" s="109"/>
      <c r="E68" s="109"/>
      <c r="F68" s="109"/>
      <c r="G68" s="109"/>
      <c r="H68" s="67"/>
      <c r="I68" s="147"/>
      <c r="J68" s="525"/>
      <c r="K68" s="525"/>
      <c r="L68" s="525"/>
      <c r="M68" s="525"/>
      <c r="N68" s="525"/>
      <c r="O68" s="525"/>
      <c r="P68" s="525"/>
      <c r="Q68" s="525"/>
      <c r="R68" s="525"/>
      <c r="S68" s="525"/>
      <c r="T68" s="525"/>
      <c r="U68" s="525"/>
      <c r="V68" s="525"/>
      <c r="W68" s="525"/>
      <c r="X68" s="525"/>
      <c r="Y68" s="525"/>
      <c r="Z68" s="525"/>
      <c r="AA68" s="525"/>
      <c r="AB68" s="525"/>
      <c r="AC68" s="525"/>
      <c r="AD68" s="525"/>
      <c r="AE68" s="525"/>
      <c r="AF68" s="525"/>
      <c r="AG68" s="525"/>
      <c r="AH68" s="525"/>
      <c r="AI68" s="525"/>
      <c r="AJ68" s="525"/>
      <c r="AK68" s="525"/>
      <c r="AL68" s="525"/>
      <c r="AM68" s="525"/>
      <c r="AN68" s="525"/>
      <c r="AO68" s="525"/>
      <c r="AP68" s="525"/>
      <c r="AQ68" s="525"/>
      <c r="AR68" s="525"/>
      <c r="AS68" s="525"/>
      <c r="AT68" s="525"/>
      <c r="AU68" s="525"/>
      <c r="AV68" s="143"/>
      <c r="AW68" s="68"/>
      <c r="AX68" s="69"/>
      <c r="AY68" s="69"/>
      <c r="AZ68" s="69"/>
      <c r="BA68" s="69"/>
      <c r="BB68" s="69"/>
      <c r="BC68" s="5"/>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row>
    <row r="69" spans="2:106" ht="12.75" customHeight="1">
      <c r="B69" s="116"/>
      <c r="C69" s="117"/>
      <c r="D69" s="117"/>
      <c r="E69" s="117"/>
      <c r="F69" s="117"/>
      <c r="G69" s="117"/>
      <c r="H69" s="118"/>
      <c r="I69" s="148"/>
      <c r="J69" s="526"/>
      <c r="K69" s="526"/>
      <c r="L69" s="526"/>
      <c r="M69" s="526"/>
      <c r="N69" s="526"/>
      <c r="O69" s="526"/>
      <c r="P69" s="526"/>
      <c r="Q69" s="526"/>
      <c r="R69" s="526"/>
      <c r="S69" s="526"/>
      <c r="T69" s="526"/>
      <c r="U69" s="526"/>
      <c r="V69" s="526"/>
      <c r="W69" s="526"/>
      <c r="X69" s="526"/>
      <c r="Y69" s="526"/>
      <c r="Z69" s="526"/>
      <c r="AA69" s="526"/>
      <c r="AB69" s="526"/>
      <c r="AC69" s="526"/>
      <c r="AD69" s="526"/>
      <c r="AE69" s="526"/>
      <c r="AF69" s="526"/>
      <c r="AG69" s="526"/>
      <c r="AH69" s="526"/>
      <c r="AI69" s="526"/>
      <c r="AJ69" s="526"/>
      <c r="AK69" s="526"/>
      <c r="AL69" s="526"/>
      <c r="AM69" s="526"/>
      <c r="AN69" s="526"/>
      <c r="AO69" s="526"/>
      <c r="AP69" s="526"/>
      <c r="AQ69" s="526"/>
      <c r="AR69" s="526"/>
      <c r="AS69" s="526"/>
      <c r="AT69" s="526"/>
      <c r="AU69" s="526"/>
      <c r="AV69" s="149"/>
      <c r="AW69" s="119"/>
      <c r="AX69" s="79"/>
      <c r="AY69" s="79"/>
      <c r="AZ69" s="79"/>
      <c r="BA69" s="79"/>
      <c r="BB69" s="79"/>
      <c r="BC69" s="18"/>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row>
    <row r="70" spans="2:106" ht="12.75" customHeight="1">
      <c r="B70" s="452"/>
      <c r="C70" s="453"/>
      <c r="D70" s="453"/>
      <c r="E70" s="453"/>
      <c r="F70" s="453"/>
      <c r="G70" s="453"/>
      <c r="H70" s="453"/>
      <c r="I70" s="454"/>
      <c r="J70" s="454"/>
      <c r="K70" s="454"/>
      <c r="L70" s="454"/>
      <c r="M70" s="454"/>
      <c r="N70" s="454"/>
      <c r="O70" s="454"/>
      <c r="P70" s="454"/>
      <c r="Q70" s="454"/>
      <c r="R70" s="454"/>
      <c r="S70" s="454"/>
      <c r="T70" s="454"/>
      <c r="U70" s="455"/>
      <c r="V70" s="478" t="s">
        <v>0</v>
      </c>
      <c r="W70" s="479"/>
      <c r="X70" s="479"/>
      <c r="Y70" s="479"/>
      <c r="Z70" s="479"/>
      <c r="AA70" s="479"/>
      <c r="AB70" s="479"/>
      <c r="AC70" s="479"/>
      <c r="AD70" s="479"/>
      <c r="AE70" s="479"/>
      <c r="AF70" s="479"/>
      <c r="AG70" s="479"/>
      <c r="AH70" s="479"/>
      <c r="AI70" s="479"/>
      <c r="AJ70" s="480"/>
      <c r="AK70" s="395" t="s">
        <v>1</v>
      </c>
      <c r="AL70" s="396"/>
      <c r="AM70" s="396"/>
      <c r="AN70" s="396"/>
      <c r="AO70" s="396"/>
      <c r="AP70" s="379" t="str">
        <f>$AP$2</f>
        <v>BB----</v>
      </c>
      <c r="AQ70" s="379"/>
      <c r="AR70" s="379"/>
      <c r="AS70" s="379"/>
      <c r="AT70" s="379"/>
      <c r="AU70" s="379"/>
      <c r="AV70" s="379"/>
      <c r="AW70" s="379"/>
      <c r="AX70" s="379"/>
      <c r="AY70" s="379"/>
      <c r="AZ70" s="379"/>
      <c r="BA70" s="379"/>
      <c r="BB70" s="379"/>
      <c r="BC70" s="380"/>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row>
    <row r="71" spans="2:106" ht="12.75" customHeight="1">
      <c r="B71" s="452"/>
      <c r="C71" s="453"/>
      <c r="D71" s="453"/>
      <c r="E71" s="453"/>
      <c r="F71" s="453"/>
      <c r="G71" s="453"/>
      <c r="H71" s="453"/>
      <c r="I71" s="453"/>
      <c r="J71" s="453"/>
      <c r="K71" s="453"/>
      <c r="L71" s="453"/>
      <c r="M71" s="453"/>
      <c r="N71" s="453"/>
      <c r="O71" s="453"/>
      <c r="P71" s="453"/>
      <c r="Q71" s="453"/>
      <c r="R71" s="453"/>
      <c r="S71" s="453"/>
      <c r="T71" s="453"/>
      <c r="U71" s="456"/>
      <c r="V71" s="481"/>
      <c r="W71" s="482"/>
      <c r="X71" s="482"/>
      <c r="Y71" s="482"/>
      <c r="Z71" s="482"/>
      <c r="AA71" s="482"/>
      <c r="AB71" s="482"/>
      <c r="AC71" s="482"/>
      <c r="AD71" s="482"/>
      <c r="AE71" s="482"/>
      <c r="AF71" s="482"/>
      <c r="AG71" s="482"/>
      <c r="AH71" s="482"/>
      <c r="AI71" s="482"/>
      <c r="AJ71" s="483"/>
      <c r="AK71" s="397"/>
      <c r="AL71" s="398"/>
      <c r="AM71" s="398"/>
      <c r="AN71" s="398"/>
      <c r="AO71" s="398"/>
      <c r="AP71" s="381"/>
      <c r="AQ71" s="381"/>
      <c r="AR71" s="381"/>
      <c r="AS71" s="381"/>
      <c r="AT71" s="381"/>
      <c r="AU71" s="381"/>
      <c r="AV71" s="381"/>
      <c r="AW71" s="381"/>
      <c r="AX71" s="381"/>
      <c r="AY71" s="381"/>
      <c r="AZ71" s="381"/>
      <c r="BA71" s="381"/>
      <c r="BB71" s="381"/>
      <c r="BC71" s="38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row>
    <row r="72" spans="2:106" ht="12.75" customHeight="1">
      <c r="B72" s="452"/>
      <c r="C72" s="453"/>
      <c r="D72" s="453"/>
      <c r="E72" s="453"/>
      <c r="F72" s="453"/>
      <c r="G72" s="453"/>
      <c r="H72" s="453"/>
      <c r="I72" s="453"/>
      <c r="J72" s="453"/>
      <c r="K72" s="453"/>
      <c r="L72" s="453"/>
      <c r="M72" s="453"/>
      <c r="N72" s="453"/>
      <c r="O72" s="453"/>
      <c r="P72" s="453"/>
      <c r="Q72" s="453"/>
      <c r="R72" s="453"/>
      <c r="S72" s="453"/>
      <c r="T72" s="453"/>
      <c r="U72" s="456"/>
      <c r="V72" s="481"/>
      <c r="W72" s="482"/>
      <c r="X72" s="482"/>
      <c r="Y72" s="482"/>
      <c r="Z72" s="482"/>
      <c r="AA72" s="482"/>
      <c r="AB72" s="482"/>
      <c r="AC72" s="482"/>
      <c r="AD72" s="482"/>
      <c r="AE72" s="482"/>
      <c r="AF72" s="482"/>
      <c r="AG72" s="482"/>
      <c r="AH72" s="482"/>
      <c r="AI72" s="482"/>
      <c r="AJ72" s="483"/>
      <c r="AK72" s="358" t="s">
        <v>2</v>
      </c>
      <c r="AL72" s="359"/>
      <c r="AM72" s="359"/>
      <c r="AN72" s="359"/>
      <c r="AO72" s="359"/>
      <c r="AP72" s="381" t="str">
        <f>$AP$4</f>
        <v>TITLE</v>
      </c>
      <c r="AQ72" s="381"/>
      <c r="AR72" s="381"/>
      <c r="AS72" s="381"/>
      <c r="AT72" s="381"/>
      <c r="AU72" s="381"/>
      <c r="AV72" s="381"/>
      <c r="AW72" s="381"/>
      <c r="AX72" s="381"/>
      <c r="AY72" s="381"/>
      <c r="AZ72" s="381"/>
      <c r="BA72" s="381"/>
      <c r="BB72" s="381"/>
      <c r="BC72" s="38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row>
    <row r="73" spans="2:106" ht="12.75" customHeight="1">
      <c r="B73" s="452"/>
      <c r="C73" s="453"/>
      <c r="D73" s="453"/>
      <c r="E73" s="453"/>
      <c r="F73" s="453"/>
      <c r="G73" s="453"/>
      <c r="H73" s="453"/>
      <c r="I73" s="453"/>
      <c r="J73" s="453"/>
      <c r="K73" s="453"/>
      <c r="L73" s="453"/>
      <c r="M73" s="453"/>
      <c r="N73" s="453"/>
      <c r="O73" s="453"/>
      <c r="P73" s="453"/>
      <c r="Q73" s="453"/>
      <c r="R73" s="453"/>
      <c r="S73" s="453"/>
      <c r="T73" s="453"/>
      <c r="U73" s="456"/>
      <c r="V73" s="481"/>
      <c r="W73" s="482"/>
      <c r="X73" s="482"/>
      <c r="Y73" s="482"/>
      <c r="Z73" s="482"/>
      <c r="AA73" s="482"/>
      <c r="AB73" s="482"/>
      <c r="AC73" s="482"/>
      <c r="AD73" s="482"/>
      <c r="AE73" s="482"/>
      <c r="AF73" s="482"/>
      <c r="AG73" s="482"/>
      <c r="AH73" s="482"/>
      <c r="AI73" s="482"/>
      <c r="AJ73" s="483"/>
      <c r="AK73" s="358"/>
      <c r="AL73" s="359"/>
      <c r="AM73" s="359"/>
      <c r="AN73" s="359"/>
      <c r="AO73" s="359"/>
      <c r="AP73" s="381"/>
      <c r="AQ73" s="381"/>
      <c r="AR73" s="381"/>
      <c r="AS73" s="381"/>
      <c r="AT73" s="381"/>
      <c r="AU73" s="381"/>
      <c r="AV73" s="381"/>
      <c r="AW73" s="381"/>
      <c r="AX73" s="381"/>
      <c r="AY73" s="381"/>
      <c r="AZ73" s="381"/>
      <c r="BA73" s="381"/>
      <c r="BB73" s="381"/>
      <c r="BC73" s="38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row>
    <row r="74" spans="2:106" ht="12.75" customHeight="1">
      <c r="B74" s="452"/>
      <c r="C74" s="453"/>
      <c r="D74" s="453"/>
      <c r="E74" s="453"/>
      <c r="F74" s="453"/>
      <c r="G74" s="453"/>
      <c r="H74" s="453"/>
      <c r="I74" s="453"/>
      <c r="J74" s="453"/>
      <c r="K74" s="453"/>
      <c r="L74" s="453"/>
      <c r="M74" s="453"/>
      <c r="N74" s="453"/>
      <c r="O74" s="453"/>
      <c r="P74" s="453"/>
      <c r="Q74" s="453"/>
      <c r="R74" s="453"/>
      <c r="S74" s="453"/>
      <c r="T74" s="453"/>
      <c r="U74" s="456"/>
      <c r="V74" s="481"/>
      <c r="W74" s="482"/>
      <c r="X74" s="482"/>
      <c r="Y74" s="482"/>
      <c r="Z74" s="482"/>
      <c r="AA74" s="482"/>
      <c r="AB74" s="482"/>
      <c r="AC74" s="482"/>
      <c r="AD74" s="482"/>
      <c r="AE74" s="482"/>
      <c r="AF74" s="482"/>
      <c r="AG74" s="482"/>
      <c r="AH74" s="482"/>
      <c r="AI74" s="482"/>
      <c r="AJ74" s="483"/>
      <c r="AK74" s="401" t="s">
        <v>3</v>
      </c>
      <c r="AL74" s="401"/>
      <c r="AM74" s="401"/>
      <c r="AN74" s="401"/>
      <c r="AO74" s="401"/>
      <c r="AP74" s="381">
        <f>AP6+1</f>
        <v>2</v>
      </c>
      <c r="AQ74" s="381"/>
      <c r="AR74" s="381"/>
      <c r="AS74" s="381"/>
      <c r="AT74" s="381"/>
      <c r="AU74" s="381"/>
      <c r="AV74" s="381"/>
      <c r="AW74" s="381"/>
      <c r="AX74" s="381"/>
      <c r="AY74" s="381"/>
      <c r="AZ74" s="381"/>
      <c r="BA74" s="381"/>
      <c r="BB74" s="381"/>
      <c r="BC74" s="382"/>
    </row>
    <row r="75" spans="2:106" ht="12.75" customHeight="1">
      <c r="B75" s="452"/>
      <c r="C75" s="453"/>
      <c r="D75" s="453"/>
      <c r="E75" s="453"/>
      <c r="F75" s="453"/>
      <c r="G75" s="453"/>
      <c r="H75" s="453"/>
      <c r="I75" s="453"/>
      <c r="J75" s="453"/>
      <c r="K75" s="453"/>
      <c r="L75" s="453"/>
      <c r="M75" s="453"/>
      <c r="N75" s="453"/>
      <c r="O75" s="453"/>
      <c r="P75" s="453"/>
      <c r="Q75" s="453"/>
      <c r="R75" s="453"/>
      <c r="S75" s="453"/>
      <c r="T75" s="453"/>
      <c r="U75" s="456"/>
      <c r="V75" s="481"/>
      <c r="W75" s="482"/>
      <c r="X75" s="482"/>
      <c r="Y75" s="482"/>
      <c r="Z75" s="482"/>
      <c r="AA75" s="482"/>
      <c r="AB75" s="482"/>
      <c r="AC75" s="482"/>
      <c r="AD75" s="482"/>
      <c r="AE75" s="482"/>
      <c r="AF75" s="482"/>
      <c r="AG75" s="482"/>
      <c r="AH75" s="482"/>
      <c r="AI75" s="482"/>
      <c r="AJ75" s="483"/>
      <c r="AK75" s="401" t="s">
        <v>4</v>
      </c>
      <c r="AL75" s="401"/>
      <c r="AM75" s="401"/>
      <c r="AN75" s="401"/>
      <c r="AO75" s="401"/>
      <c r="AP75" s="383">
        <f ca="1">$AP$7</f>
        <v>45928</v>
      </c>
      <c r="AQ75" s="383"/>
      <c r="AR75" s="383"/>
      <c r="AS75" s="383"/>
      <c r="AT75" s="383"/>
      <c r="AU75" s="383"/>
      <c r="AV75" s="383"/>
      <c r="AW75" s="383"/>
      <c r="AX75" s="383"/>
      <c r="AY75" s="383"/>
      <c r="AZ75" s="383"/>
      <c r="BA75" s="383"/>
      <c r="BB75" s="383"/>
      <c r="BC75" s="384"/>
    </row>
    <row r="76" spans="2:106" ht="12.75" customHeight="1">
      <c r="B76" s="452"/>
      <c r="C76" s="453"/>
      <c r="D76" s="453"/>
      <c r="E76" s="453"/>
      <c r="F76" s="453"/>
      <c r="G76" s="453"/>
      <c r="H76" s="453"/>
      <c r="I76" s="453"/>
      <c r="J76" s="453"/>
      <c r="K76" s="453"/>
      <c r="L76" s="453"/>
      <c r="M76" s="453"/>
      <c r="N76" s="453"/>
      <c r="O76" s="453"/>
      <c r="P76" s="453"/>
      <c r="Q76" s="453"/>
      <c r="R76" s="453"/>
      <c r="S76" s="453"/>
      <c r="T76" s="453"/>
      <c r="U76" s="456"/>
      <c r="V76" s="481"/>
      <c r="W76" s="482"/>
      <c r="X76" s="482"/>
      <c r="Y76" s="482"/>
      <c r="Z76" s="482"/>
      <c r="AA76" s="482"/>
      <c r="AB76" s="482"/>
      <c r="AC76" s="482"/>
      <c r="AD76" s="482"/>
      <c r="AE76" s="482"/>
      <c r="AF76" s="482"/>
      <c r="AG76" s="482"/>
      <c r="AH76" s="482"/>
      <c r="AI76" s="482"/>
      <c r="AJ76" s="483"/>
      <c r="AK76" s="401" t="s">
        <v>5</v>
      </c>
      <c r="AL76" s="401"/>
      <c r="AM76" s="401"/>
      <c r="AN76" s="401"/>
      <c r="AO76" s="401"/>
      <c r="AP76" s="381" t="str">
        <f>$AP$8</f>
        <v>AB</v>
      </c>
      <c r="AQ76" s="381"/>
      <c r="AR76" s="381"/>
      <c r="AS76" s="381"/>
      <c r="AT76" s="381"/>
      <c r="AU76" s="381"/>
      <c r="AV76" s="381"/>
      <c r="AW76" s="381"/>
      <c r="AX76" s="381"/>
      <c r="AY76" s="381"/>
      <c r="AZ76" s="381"/>
      <c r="BA76" s="381"/>
      <c r="BB76" s="381"/>
      <c r="BC76" s="382"/>
    </row>
    <row r="77" spans="2:106" ht="12.75" customHeight="1">
      <c r="B77" s="457"/>
      <c r="C77" s="458"/>
      <c r="D77" s="458"/>
      <c r="E77" s="458"/>
      <c r="F77" s="458"/>
      <c r="G77" s="458"/>
      <c r="H77" s="458"/>
      <c r="I77" s="458"/>
      <c r="J77" s="458"/>
      <c r="K77" s="458"/>
      <c r="L77" s="458"/>
      <c r="M77" s="458"/>
      <c r="N77" s="458"/>
      <c r="O77" s="458"/>
      <c r="P77" s="458"/>
      <c r="Q77" s="458"/>
      <c r="R77" s="458"/>
      <c r="S77" s="458"/>
      <c r="T77" s="458"/>
      <c r="U77" s="459"/>
      <c r="V77" s="484"/>
      <c r="W77" s="485"/>
      <c r="X77" s="485"/>
      <c r="Y77" s="485"/>
      <c r="Z77" s="485"/>
      <c r="AA77" s="485"/>
      <c r="AB77" s="485"/>
      <c r="AC77" s="485"/>
      <c r="AD77" s="485"/>
      <c r="AE77" s="485"/>
      <c r="AF77" s="485"/>
      <c r="AG77" s="485"/>
      <c r="AH77" s="485"/>
      <c r="AI77" s="485"/>
      <c r="AJ77" s="486"/>
      <c r="AK77" s="460" t="s">
        <v>6</v>
      </c>
      <c r="AL77" s="460"/>
      <c r="AM77" s="460"/>
      <c r="AN77" s="460"/>
      <c r="AO77" s="460"/>
      <c r="AP77" s="386" t="str">
        <f>$AP$9</f>
        <v xml:space="preserve">CAT I / II </v>
      </c>
      <c r="AQ77" s="386"/>
      <c r="AR77" s="386"/>
      <c r="AS77" s="386"/>
      <c r="AT77" s="386"/>
      <c r="AU77" s="386"/>
      <c r="AV77" s="386"/>
      <c r="AW77" s="386"/>
      <c r="AX77" s="386"/>
      <c r="AY77" s="386"/>
      <c r="AZ77" s="386"/>
      <c r="BA77" s="386"/>
      <c r="BB77" s="386"/>
      <c r="BC77" s="387"/>
    </row>
    <row r="78" spans="2:106" ht="12.75" customHeight="1">
      <c r="B78" s="360" t="s">
        <v>7</v>
      </c>
      <c r="C78" s="361"/>
      <c r="D78" s="361"/>
      <c r="E78" s="361"/>
      <c r="F78" s="361"/>
      <c r="G78" s="361"/>
      <c r="H78" s="361"/>
      <c r="I78" s="361"/>
      <c r="J78" s="361"/>
      <c r="K78" s="361"/>
      <c r="L78" s="361"/>
      <c r="M78" s="361"/>
      <c r="N78" s="361"/>
      <c r="O78" s="361"/>
      <c r="P78" s="361"/>
      <c r="Q78" s="361"/>
      <c r="R78" s="361"/>
      <c r="S78" s="361"/>
      <c r="T78" s="361"/>
      <c r="U78" s="361"/>
      <c r="V78" s="361"/>
      <c r="W78" s="361"/>
      <c r="X78" s="361"/>
      <c r="Y78" s="361"/>
      <c r="Z78" s="361"/>
      <c r="AA78" s="361"/>
      <c r="AB78" s="361"/>
      <c r="AC78" s="361"/>
      <c r="AD78" s="361"/>
      <c r="AE78" s="361"/>
      <c r="AF78" s="361"/>
      <c r="AG78" s="361"/>
      <c r="AH78" s="361"/>
      <c r="AI78" s="361"/>
      <c r="AJ78" s="361"/>
      <c r="AK78" s="361"/>
      <c r="AL78" s="361"/>
      <c r="AM78" s="361"/>
      <c r="AN78" s="361"/>
      <c r="AO78" s="361"/>
      <c r="AP78" s="361"/>
      <c r="AQ78" s="361"/>
      <c r="AR78" s="361"/>
      <c r="AS78" s="361"/>
      <c r="AT78" s="361"/>
      <c r="AU78" s="361"/>
      <c r="AV78" s="361"/>
      <c r="AW78" s="361"/>
      <c r="AX78" s="361"/>
      <c r="AY78" s="361"/>
      <c r="AZ78" s="361"/>
      <c r="BA78" s="361"/>
      <c r="BB78" s="361"/>
      <c r="BC78" s="362"/>
    </row>
    <row r="79" spans="2:106" ht="12.75" customHeight="1">
      <c r="B79" s="363"/>
      <c r="C79" s="364"/>
      <c r="D79" s="364"/>
      <c r="E79" s="364"/>
      <c r="F79" s="364"/>
      <c r="G79" s="364"/>
      <c r="H79" s="364"/>
      <c r="I79" s="364"/>
      <c r="J79" s="364"/>
      <c r="K79" s="364"/>
      <c r="L79" s="364"/>
      <c r="M79" s="364"/>
      <c r="N79" s="364"/>
      <c r="O79" s="364"/>
      <c r="P79" s="364"/>
      <c r="Q79" s="364"/>
      <c r="R79" s="364"/>
      <c r="S79" s="364"/>
      <c r="T79" s="364"/>
      <c r="U79" s="364"/>
      <c r="V79" s="364"/>
      <c r="W79" s="364"/>
      <c r="X79" s="364"/>
      <c r="Y79" s="364"/>
      <c r="Z79" s="364"/>
      <c r="AA79" s="364"/>
      <c r="AB79" s="364"/>
      <c r="AC79" s="364"/>
      <c r="AD79" s="364"/>
      <c r="AE79" s="364"/>
      <c r="AF79" s="364"/>
      <c r="AG79" s="364"/>
      <c r="AH79" s="364"/>
      <c r="AI79" s="364"/>
      <c r="AJ79" s="364"/>
      <c r="AK79" s="364"/>
      <c r="AL79" s="364"/>
      <c r="AM79" s="364"/>
      <c r="AN79" s="364"/>
      <c r="AO79" s="364"/>
      <c r="AP79" s="364"/>
      <c r="AQ79" s="364"/>
      <c r="AR79" s="364"/>
      <c r="AS79" s="364"/>
      <c r="AT79" s="364"/>
      <c r="AU79" s="364"/>
      <c r="AV79" s="364"/>
      <c r="AW79" s="364"/>
      <c r="AX79" s="364"/>
      <c r="AY79" s="364"/>
      <c r="AZ79" s="364"/>
      <c r="BA79" s="364"/>
      <c r="BB79" s="364"/>
      <c r="BC79" s="365"/>
    </row>
    <row r="80" spans="2:106" ht="12.75" customHeight="1">
      <c r="B80" s="376"/>
      <c r="C80" s="377"/>
      <c r="D80" s="377"/>
      <c r="E80" s="377"/>
      <c r="F80" s="377"/>
      <c r="G80" s="377"/>
      <c r="H80" s="377"/>
      <c r="I80" s="377"/>
      <c r="J80" s="377"/>
      <c r="K80" s="377"/>
      <c r="L80" s="377"/>
      <c r="M80" s="377"/>
      <c r="N80" s="377"/>
      <c r="O80" s="377"/>
      <c r="P80" s="377"/>
      <c r="Q80" s="377"/>
      <c r="R80" s="377"/>
      <c r="S80" s="377"/>
      <c r="T80" s="377"/>
      <c r="U80" s="377"/>
      <c r="V80" s="377"/>
      <c r="W80" s="377"/>
      <c r="X80" s="377"/>
      <c r="Y80" s="377"/>
      <c r="Z80" s="377"/>
      <c r="AA80" s="377"/>
      <c r="AB80" s="377"/>
      <c r="AC80" s="377"/>
      <c r="AD80" s="377"/>
      <c r="AE80" s="377"/>
      <c r="AF80" s="377"/>
      <c r="AG80" s="377"/>
      <c r="AH80" s="377"/>
      <c r="AI80" s="377"/>
      <c r="AJ80" s="377"/>
      <c r="AK80" s="377"/>
      <c r="AL80" s="377"/>
      <c r="AM80" s="377"/>
      <c r="AN80" s="377"/>
      <c r="AO80" s="377"/>
      <c r="AP80" s="377"/>
      <c r="AQ80" s="377"/>
      <c r="AR80" s="377"/>
      <c r="AS80" s="377"/>
      <c r="AT80" s="377"/>
      <c r="AU80" s="377"/>
      <c r="AV80" s="377"/>
      <c r="AW80" s="377"/>
      <c r="AX80" s="377"/>
      <c r="AY80" s="377"/>
      <c r="AZ80" s="377"/>
      <c r="BA80" s="377"/>
      <c r="BB80" s="377"/>
      <c r="BC80" s="378"/>
    </row>
    <row r="81" spans="2:55" ht="12.75" customHeight="1">
      <c r="B81" s="522" t="s">
        <v>8</v>
      </c>
      <c r="C81" s="523"/>
      <c r="D81" s="523"/>
      <c r="E81" s="523"/>
      <c r="F81" s="523"/>
      <c r="G81" s="523"/>
      <c r="H81" s="524"/>
      <c r="I81" s="304"/>
      <c r="J81" s="308"/>
      <c r="K81" s="308"/>
      <c r="L81" s="308"/>
      <c r="M81" s="308"/>
      <c r="N81" s="308"/>
      <c r="O81" s="308"/>
      <c r="P81" s="308"/>
      <c r="Q81" s="308"/>
      <c r="R81" s="308"/>
      <c r="S81" s="308"/>
      <c r="T81" s="308"/>
      <c r="U81" s="308"/>
      <c r="V81" s="308"/>
      <c r="W81" s="308"/>
      <c r="X81" s="308"/>
      <c r="Y81" s="308"/>
      <c r="Z81" s="308"/>
      <c r="AA81" s="308"/>
      <c r="AB81" s="308"/>
      <c r="AC81" s="308"/>
      <c r="AD81" s="308"/>
      <c r="AE81" s="308"/>
      <c r="AF81" s="308"/>
      <c r="AG81" s="308"/>
      <c r="AH81" s="308"/>
      <c r="AI81" s="308"/>
      <c r="AJ81" s="308"/>
      <c r="AK81" s="308"/>
      <c r="AL81" s="308"/>
      <c r="AM81" s="308"/>
      <c r="AN81" s="308"/>
      <c r="AO81" s="197"/>
      <c r="AP81" s="197"/>
      <c r="AQ81" s="197"/>
      <c r="AR81" s="197"/>
      <c r="AS81" s="197"/>
      <c r="AT81" s="197"/>
      <c r="AU81" s="197"/>
      <c r="AV81" s="198"/>
      <c r="AW81" s="498" t="s">
        <v>9</v>
      </c>
      <c r="AX81" s="499"/>
      <c r="AY81" s="499"/>
      <c r="AZ81" s="499"/>
      <c r="BA81" s="499"/>
      <c r="BB81" s="499"/>
      <c r="BC81" s="500"/>
    </row>
    <row r="82" spans="2:55" ht="12.75" customHeight="1">
      <c r="B82" s="304"/>
      <c r="C82" s="308"/>
      <c r="D82" s="308"/>
      <c r="E82" s="308"/>
      <c r="F82" s="308"/>
      <c r="G82" s="308"/>
      <c r="H82" s="254"/>
      <c r="I82" s="237"/>
      <c r="J82" s="188" t="s">
        <v>189</v>
      </c>
      <c r="K82" s="177"/>
      <c r="L82" s="177"/>
      <c r="M82" s="177"/>
      <c r="N82" s="177"/>
      <c r="O82" s="177"/>
      <c r="P82" s="177"/>
      <c r="Q82" s="177"/>
      <c r="R82" s="177"/>
      <c r="S82" s="177"/>
      <c r="T82" s="177"/>
      <c r="U82" s="177"/>
      <c r="V82" s="177"/>
      <c r="W82" s="177"/>
      <c r="X82" s="177"/>
      <c r="Y82" s="177"/>
      <c r="Z82" s="178"/>
      <c r="AA82" s="178"/>
      <c r="AB82" s="178"/>
      <c r="AC82" s="178"/>
      <c r="AD82" s="178"/>
      <c r="AE82" s="178"/>
      <c r="AF82" s="178"/>
      <c r="AG82" s="178"/>
      <c r="AH82" s="177"/>
      <c r="AI82" s="177"/>
      <c r="AJ82" s="177"/>
      <c r="AK82" s="177"/>
      <c r="AL82" s="177"/>
      <c r="AM82" s="177"/>
      <c r="AN82" s="178"/>
      <c r="AO82" s="178"/>
      <c r="AP82" s="178"/>
      <c r="AQ82" s="178"/>
      <c r="AR82" s="178"/>
      <c r="AS82" s="178"/>
      <c r="AT82" s="179"/>
      <c r="AU82" s="180"/>
      <c r="AV82" s="201"/>
      <c r="AW82" s="207"/>
      <c r="AX82" s="208"/>
      <c r="AY82" s="208"/>
      <c r="AZ82" s="208"/>
      <c r="BA82" s="208"/>
      <c r="BB82" s="208"/>
      <c r="BC82" s="242"/>
    </row>
    <row r="83" spans="2:55" ht="12.75" customHeight="1">
      <c r="B83" s="72"/>
      <c r="C83" s="134"/>
      <c r="D83" s="134"/>
      <c r="E83" s="134"/>
      <c r="F83" s="134"/>
      <c r="G83" s="134"/>
      <c r="H83" s="73"/>
      <c r="I83" s="126"/>
      <c r="J83" s="177"/>
      <c r="K83" s="177"/>
      <c r="L83" s="177"/>
      <c r="M83" s="177"/>
      <c r="N83" s="177"/>
      <c r="O83" s="177"/>
      <c r="P83" s="177"/>
      <c r="Q83" s="177"/>
      <c r="R83" s="177"/>
      <c r="S83" s="177"/>
      <c r="T83" s="177"/>
      <c r="U83" s="177"/>
      <c r="V83" s="177"/>
      <c r="W83" s="177"/>
      <c r="X83" s="177"/>
      <c r="Y83" s="177"/>
      <c r="Z83" s="177"/>
      <c r="AA83" s="177"/>
      <c r="AB83" s="177"/>
      <c r="AC83" s="177"/>
      <c r="AD83" s="177"/>
      <c r="AE83" s="177"/>
      <c r="AF83" s="177"/>
      <c r="AG83" s="177"/>
      <c r="AH83" s="177"/>
      <c r="AI83" s="177"/>
      <c r="AJ83" s="177"/>
      <c r="AK83" s="177"/>
      <c r="AL83" s="177"/>
      <c r="AM83" s="177"/>
      <c r="AN83" s="178"/>
      <c r="AO83" s="178"/>
      <c r="AP83" s="178"/>
      <c r="AQ83" s="178"/>
      <c r="AR83" s="178"/>
      <c r="AS83" s="178"/>
      <c r="AT83" s="179"/>
      <c r="AU83" s="180"/>
      <c r="AV83" s="125"/>
      <c r="AW83" s="74"/>
      <c r="AX83" s="75"/>
      <c r="AY83" s="75"/>
      <c r="AZ83" s="75"/>
      <c r="BA83" s="75"/>
      <c r="BC83" s="5"/>
    </row>
    <row r="84" spans="2:55" ht="12.75" customHeight="1">
      <c r="B84" s="72"/>
      <c r="C84" s="134"/>
      <c r="D84" s="134"/>
      <c r="E84" s="134"/>
      <c r="F84" s="134"/>
      <c r="G84" s="134"/>
      <c r="H84" s="73"/>
      <c r="I84" s="126"/>
      <c r="J84" s="177"/>
      <c r="K84" s="177" t="s">
        <v>191</v>
      </c>
      <c r="L84" s="177"/>
      <c r="M84" s="177"/>
      <c r="N84" s="177"/>
      <c r="O84" s="177"/>
      <c r="P84" s="177"/>
      <c r="Q84" s="177"/>
      <c r="R84" s="177"/>
      <c r="S84" s="177"/>
      <c r="T84" s="177"/>
      <c r="U84" s="177"/>
      <c r="V84" s="177"/>
      <c r="W84" s="177"/>
      <c r="X84" s="177"/>
      <c r="Y84" s="177"/>
      <c r="Z84" s="177"/>
      <c r="AA84" s="177"/>
      <c r="AB84" s="177"/>
      <c r="AC84" s="177"/>
      <c r="AD84" s="177"/>
      <c r="AE84" s="177"/>
      <c r="AF84" s="177"/>
      <c r="AG84" s="177"/>
      <c r="AH84" s="177"/>
      <c r="AI84" s="177"/>
      <c r="AJ84" s="177"/>
      <c r="AK84" s="177"/>
      <c r="AL84" s="177"/>
      <c r="AM84" s="177"/>
      <c r="AN84" s="512">
        <v>3</v>
      </c>
      <c r="AO84" s="512"/>
      <c r="AP84" s="512"/>
      <c r="AQ84" s="512"/>
      <c r="AR84" s="512"/>
      <c r="AS84" s="177"/>
      <c r="AT84" s="177"/>
      <c r="AU84" s="177"/>
      <c r="AV84" s="125"/>
      <c r="AW84" s="74"/>
      <c r="AX84" s="75"/>
      <c r="AY84" s="75"/>
      <c r="AZ84" s="75"/>
      <c r="BA84" s="75"/>
      <c r="BC84" s="5"/>
    </row>
    <row r="85" spans="2:55" ht="12.75" customHeight="1">
      <c r="B85" s="72"/>
      <c r="C85" s="134"/>
      <c r="D85" s="134"/>
      <c r="E85" s="134"/>
      <c r="F85" s="134"/>
      <c r="G85" s="134"/>
      <c r="H85" s="73"/>
      <c r="I85" s="127"/>
      <c r="J85" s="177"/>
      <c r="K85" s="177" t="s">
        <v>194</v>
      </c>
      <c r="L85" s="177"/>
      <c r="M85" s="177"/>
      <c r="N85" s="177"/>
      <c r="O85" s="177"/>
      <c r="P85" s="177"/>
      <c r="Q85" s="177"/>
      <c r="R85" s="177"/>
      <c r="S85" s="177"/>
      <c r="T85" s="177"/>
      <c r="U85" s="177"/>
      <c r="V85" s="177"/>
      <c r="W85" s="177"/>
      <c r="X85" s="177"/>
      <c r="Y85" s="177"/>
      <c r="Z85" s="177"/>
      <c r="AA85" s="177"/>
      <c r="AB85" s="177"/>
      <c r="AC85" s="177"/>
      <c r="AD85" s="177"/>
      <c r="AE85" s="177"/>
      <c r="AF85" s="177"/>
      <c r="AG85" s="177"/>
      <c r="AH85" s="177"/>
      <c r="AI85" s="177"/>
      <c r="AJ85" s="177"/>
      <c r="AK85" s="177"/>
      <c r="AL85" s="177"/>
      <c r="AM85" s="177"/>
      <c r="AN85" s="511">
        <f>AN84*1.87</f>
        <v>5.61</v>
      </c>
      <c r="AO85" s="511"/>
      <c r="AP85" s="511"/>
      <c r="AQ85" s="511"/>
      <c r="AR85" s="511"/>
      <c r="AS85" s="177"/>
      <c r="AT85" s="177"/>
      <c r="AU85" s="177"/>
      <c r="AV85" s="125"/>
      <c r="AW85" s="74"/>
      <c r="AX85" s="75"/>
      <c r="AY85" s="75"/>
      <c r="AZ85" s="75"/>
      <c r="BA85" s="75"/>
      <c r="BC85" s="5"/>
    </row>
    <row r="86" spans="2:55" ht="12.75" customHeight="1">
      <c r="B86" s="501" t="s">
        <v>323</v>
      </c>
      <c r="C86" s="502"/>
      <c r="D86" s="502"/>
      <c r="E86" s="502"/>
      <c r="F86" s="502"/>
      <c r="G86" s="502"/>
      <c r="H86" s="503"/>
      <c r="I86" s="126"/>
      <c r="J86" s="177"/>
      <c r="K86" s="189" t="s">
        <v>193</v>
      </c>
      <c r="L86" s="185"/>
      <c r="M86" s="185"/>
      <c r="N86" s="185"/>
      <c r="O86" s="185"/>
      <c r="P86" s="185"/>
      <c r="Q86" s="185"/>
      <c r="R86" s="185"/>
      <c r="S86" s="185"/>
      <c r="T86" s="185"/>
      <c r="U86" s="185"/>
      <c r="V86" s="185"/>
      <c r="W86" s="185"/>
      <c r="X86" s="185"/>
      <c r="Y86" s="185"/>
      <c r="Z86" s="185"/>
      <c r="AA86" s="185"/>
      <c r="AB86" s="185"/>
      <c r="AC86" s="185"/>
      <c r="AD86" s="185"/>
      <c r="AE86" s="185"/>
      <c r="AF86" s="185"/>
      <c r="AG86" s="185"/>
      <c r="AH86" s="185"/>
      <c r="AI86" s="185"/>
      <c r="AJ86" s="190"/>
      <c r="AK86" s="185"/>
      <c r="AL86" s="185"/>
      <c r="AM86" s="185"/>
      <c r="AN86" s="510">
        <v>5</v>
      </c>
      <c r="AO86" s="510"/>
      <c r="AP86" s="510"/>
      <c r="AQ86" s="510"/>
      <c r="AR86" s="510"/>
      <c r="AS86" s="177"/>
      <c r="AT86" s="177"/>
      <c r="AU86" s="177"/>
      <c r="AV86" s="125"/>
      <c r="AW86" s="74"/>
      <c r="AX86" s="75"/>
      <c r="AY86" s="75"/>
      <c r="AZ86" s="75"/>
      <c r="BA86" s="75"/>
      <c r="BC86" s="5"/>
    </row>
    <row r="87" spans="2:55" ht="12.75" customHeight="1">
      <c r="B87" s="504"/>
      <c r="C87" s="505"/>
      <c r="D87" s="505"/>
      <c r="E87" s="505"/>
      <c r="F87" s="505"/>
      <c r="G87" s="505"/>
      <c r="H87" s="506"/>
      <c r="I87" s="127"/>
      <c r="J87" s="177"/>
      <c r="K87" s="177" t="s">
        <v>195</v>
      </c>
      <c r="L87" s="177"/>
      <c r="M87" s="177"/>
      <c r="N87" s="177"/>
      <c r="O87" s="177"/>
      <c r="P87" s="177"/>
      <c r="Q87" s="177"/>
      <c r="R87" s="177"/>
      <c r="S87" s="177"/>
      <c r="T87" s="177"/>
      <c r="U87" s="177"/>
      <c r="V87" s="177"/>
      <c r="W87" s="177"/>
      <c r="X87" s="177"/>
      <c r="Y87" s="177"/>
      <c r="Z87" s="183"/>
      <c r="AA87" s="183"/>
      <c r="AB87" s="183"/>
      <c r="AC87" s="183"/>
      <c r="AD87" s="183"/>
      <c r="AE87" s="183"/>
      <c r="AF87" s="183"/>
      <c r="AG87" s="183"/>
      <c r="AH87" s="183"/>
      <c r="AI87" s="183"/>
      <c r="AJ87" s="183"/>
      <c r="AK87" s="183"/>
      <c r="AL87" s="177"/>
      <c r="AM87" s="177"/>
      <c r="AN87" s="511">
        <f>AN86*2.81</f>
        <v>14.05</v>
      </c>
      <c r="AO87" s="511"/>
      <c r="AP87" s="511"/>
      <c r="AQ87" s="511"/>
      <c r="AR87" s="511"/>
      <c r="AS87" s="178"/>
      <c r="AT87" s="179"/>
      <c r="AU87" s="180"/>
      <c r="AV87" s="125"/>
      <c r="AW87" s="74"/>
      <c r="AX87" s="75"/>
      <c r="AY87" s="75"/>
      <c r="AZ87" s="75"/>
      <c r="BA87" s="75"/>
      <c r="BC87" s="5"/>
    </row>
    <row r="88" spans="2:55" ht="12.75" customHeight="1">
      <c r="B88" s="504"/>
      <c r="C88" s="505"/>
      <c r="D88" s="505"/>
      <c r="E88" s="505"/>
      <c r="F88" s="505"/>
      <c r="G88" s="505"/>
      <c r="H88" s="506"/>
      <c r="I88" s="127"/>
      <c r="J88" s="191"/>
      <c r="K88" s="177" t="s">
        <v>192</v>
      </c>
      <c r="L88" s="177"/>
      <c r="M88" s="177"/>
      <c r="N88" s="177"/>
      <c r="O88" s="177"/>
      <c r="P88" s="177"/>
      <c r="Q88" s="177"/>
      <c r="R88" s="177"/>
      <c r="S88" s="177"/>
      <c r="T88" s="177"/>
      <c r="U88" s="177"/>
      <c r="V88" s="177"/>
      <c r="W88" s="177"/>
      <c r="X88" s="177"/>
      <c r="Y88" s="177"/>
      <c r="Z88" s="177"/>
      <c r="AA88" s="177"/>
      <c r="AB88" s="177"/>
      <c r="AC88" s="177"/>
      <c r="AD88" s="177"/>
      <c r="AE88" s="177"/>
      <c r="AF88" s="177"/>
      <c r="AG88" s="177"/>
      <c r="AH88" s="177"/>
      <c r="AI88" s="177"/>
      <c r="AJ88" s="177"/>
      <c r="AK88" s="177"/>
      <c r="AL88" s="177"/>
      <c r="AM88" s="177"/>
      <c r="AN88" s="513">
        <f>AN84*AN86</f>
        <v>15</v>
      </c>
      <c r="AO88" s="513"/>
      <c r="AP88" s="513"/>
      <c r="AQ88" s="513"/>
      <c r="AR88" s="513"/>
      <c r="AS88" s="178"/>
      <c r="AT88" s="179"/>
      <c r="AU88" s="180"/>
      <c r="AV88" s="125"/>
      <c r="AW88" s="74"/>
      <c r="AX88" s="75"/>
      <c r="AY88" s="75"/>
      <c r="AZ88" s="75"/>
      <c r="BA88" s="75"/>
      <c r="BC88" s="5"/>
    </row>
    <row r="89" spans="2:55" ht="12.75" customHeight="1">
      <c r="B89" s="504"/>
      <c r="C89" s="505"/>
      <c r="D89" s="505"/>
      <c r="E89" s="505"/>
      <c r="F89" s="505"/>
      <c r="G89" s="505"/>
      <c r="H89" s="506"/>
      <c r="I89" s="127"/>
      <c r="J89" s="121"/>
      <c r="K89" s="121"/>
      <c r="L89" s="121"/>
      <c r="M89" s="121"/>
      <c r="N89" s="121"/>
      <c r="O89" s="121"/>
      <c r="P89" s="121"/>
      <c r="Q89" s="121"/>
      <c r="R89" s="121"/>
      <c r="S89" s="121"/>
      <c r="T89" s="121"/>
      <c r="U89" s="121"/>
      <c r="V89" s="121"/>
      <c r="W89" s="121"/>
      <c r="X89" s="121"/>
      <c r="Y89" s="121"/>
      <c r="Z89" s="128"/>
      <c r="AA89" s="128"/>
      <c r="AB89" s="128"/>
      <c r="AC89" s="128"/>
      <c r="AD89" s="128"/>
      <c r="AE89" s="123"/>
      <c r="AF89" s="128"/>
      <c r="AG89" s="128"/>
      <c r="AH89" s="128"/>
      <c r="AI89" s="128"/>
      <c r="AJ89" s="128"/>
      <c r="AK89" s="128"/>
      <c r="AL89" s="121"/>
      <c r="AM89" s="121"/>
      <c r="AN89" s="130"/>
      <c r="AO89" s="122"/>
      <c r="AP89" s="122"/>
      <c r="AQ89" s="122"/>
      <c r="AR89" s="122"/>
      <c r="AS89" s="122"/>
      <c r="AT89" s="123"/>
      <c r="AU89" s="124"/>
      <c r="AV89" s="125"/>
      <c r="AW89" s="74"/>
      <c r="AX89" s="75"/>
      <c r="AY89" s="75"/>
      <c r="AZ89" s="75"/>
      <c r="BA89" s="75"/>
      <c r="BC89" s="5"/>
    </row>
    <row r="90" spans="2:55" ht="12.75" customHeight="1">
      <c r="B90" s="504"/>
      <c r="C90" s="505"/>
      <c r="D90" s="505"/>
      <c r="E90" s="505"/>
      <c r="F90" s="505"/>
      <c r="G90" s="505"/>
      <c r="H90" s="506"/>
      <c r="I90" s="126"/>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5"/>
      <c r="AW90" s="74"/>
      <c r="AX90" s="75"/>
      <c r="AY90" s="75"/>
      <c r="AZ90" s="75"/>
      <c r="BA90" s="75"/>
      <c r="BC90" s="5"/>
    </row>
    <row r="91" spans="2:55" ht="12.75" customHeight="1">
      <c r="B91" s="507"/>
      <c r="C91" s="508"/>
      <c r="D91" s="508"/>
      <c r="E91" s="508"/>
      <c r="F91" s="508"/>
      <c r="G91" s="508"/>
      <c r="H91" s="509"/>
      <c r="I91" s="127"/>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5"/>
      <c r="AW91" s="74"/>
      <c r="AX91" s="75"/>
      <c r="AY91" s="75"/>
      <c r="AZ91" s="75"/>
      <c r="BA91" s="75"/>
      <c r="BC91" s="5"/>
    </row>
    <row r="92" spans="2:55" ht="12.75" customHeight="1">
      <c r="B92" s="72"/>
      <c r="C92" s="134"/>
      <c r="D92" s="134"/>
      <c r="E92" s="134"/>
      <c r="F92" s="134"/>
      <c r="G92" s="134"/>
      <c r="H92" s="73"/>
      <c r="I92" s="126"/>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5"/>
      <c r="AW92" s="74"/>
      <c r="AX92" s="75"/>
      <c r="AY92" s="75"/>
      <c r="AZ92" s="75"/>
      <c r="BA92" s="75"/>
      <c r="BC92" s="5"/>
    </row>
    <row r="93" spans="2:55" ht="12.75" customHeight="1">
      <c r="B93" s="72"/>
      <c r="C93" s="134"/>
      <c r="D93" s="134"/>
      <c r="E93" s="134"/>
      <c r="F93" s="134"/>
      <c r="G93" s="134"/>
      <c r="H93" s="73"/>
      <c r="I93" s="127"/>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5"/>
      <c r="AW93" s="74"/>
      <c r="AX93" s="75"/>
      <c r="AY93" s="75"/>
      <c r="AZ93" s="75"/>
      <c r="BA93" s="75"/>
      <c r="BC93" s="5"/>
    </row>
    <row r="94" spans="2:55" ht="12.75" customHeight="1">
      <c r="B94" s="72"/>
      <c r="C94" s="134"/>
      <c r="D94" s="134"/>
      <c r="E94" s="134"/>
      <c r="F94" s="134"/>
      <c r="G94" s="134"/>
      <c r="H94" s="73"/>
      <c r="I94" s="126"/>
      <c r="J94" s="121"/>
      <c r="K94" s="121"/>
      <c r="L94" s="121"/>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1"/>
      <c r="AL94" s="121"/>
      <c r="AM94" s="121"/>
      <c r="AN94" s="121"/>
      <c r="AO94" s="121"/>
      <c r="AP94" s="121"/>
      <c r="AQ94" s="121"/>
      <c r="AR94" s="121"/>
      <c r="AS94" s="121"/>
      <c r="AT94" s="121"/>
      <c r="AU94" s="121"/>
      <c r="AV94" s="125"/>
      <c r="AW94" s="74"/>
      <c r="AX94" s="75"/>
      <c r="AY94" s="75"/>
      <c r="AZ94" s="75"/>
      <c r="BA94" s="75"/>
      <c r="BC94" s="5"/>
    </row>
    <row r="95" spans="2:55" ht="12.75" customHeight="1">
      <c r="B95" s="72"/>
      <c r="C95" s="134"/>
      <c r="D95" s="134"/>
      <c r="E95" s="134"/>
      <c r="F95" s="134"/>
      <c r="G95" s="134"/>
      <c r="H95" s="73"/>
      <c r="I95" s="127"/>
      <c r="J95" s="121"/>
      <c r="K95" s="121"/>
      <c r="L95" s="121"/>
      <c r="M95" s="121"/>
      <c r="N95" s="121"/>
      <c r="O95" s="121"/>
      <c r="P95" s="121"/>
      <c r="Q95" s="121"/>
      <c r="R95" s="121"/>
      <c r="S95" s="121"/>
      <c r="T95" s="121"/>
      <c r="U95" s="121"/>
      <c r="V95" s="121"/>
      <c r="W95" s="121"/>
      <c r="X95" s="121"/>
      <c r="Y95" s="121"/>
      <c r="Z95" s="122"/>
      <c r="AA95" s="122"/>
      <c r="AB95" s="122"/>
      <c r="AC95" s="122"/>
      <c r="AD95" s="122"/>
      <c r="AE95" s="122"/>
      <c r="AF95" s="122"/>
      <c r="AG95" s="122"/>
      <c r="AH95" s="122"/>
      <c r="AI95" s="123"/>
      <c r="AJ95" s="123"/>
      <c r="AK95" s="123"/>
      <c r="AL95" s="123"/>
      <c r="AM95" s="123"/>
      <c r="AN95" s="122"/>
      <c r="AO95" s="122"/>
      <c r="AP95" s="122"/>
      <c r="AQ95" s="122"/>
      <c r="AR95" s="122"/>
      <c r="AS95" s="122"/>
      <c r="AT95" s="123"/>
      <c r="AU95" s="124"/>
      <c r="AV95" s="125"/>
      <c r="AW95" s="74"/>
      <c r="AX95" s="75"/>
      <c r="AY95" s="75"/>
      <c r="AZ95" s="75"/>
      <c r="BA95" s="75"/>
      <c r="BC95" s="5"/>
    </row>
    <row r="96" spans="2:55" ht="12.75" customHeight="1">
      <c r="B96" s="72"/>
      <c r="C96" s="134"/>
      <c r="D96" s="134"/>
      <c r="E96" s="134"/>
      <c r="F96" s="134"/>
      <c r="G96" s="134"/>
      <c r="H96" s="73"/>
      <c r="I96" s="127"/>
      <c r="J96" s="121"/>
      <c r="K96" s="121"/>
      <c r="L96" s="121"/>
      <c r="M96" s="121"/>
      <c r="N96" s="121"/>
      <c r="O96" s="121"/>
      <c r="P96" s="121"/>
      <c r="Q96" s="121"/>
      <c r="R96" s="121"/>
      <c r="S96" s="121"/>
      <c r="T96" s="121"/>
      <c r="U96" s="121"/>
      <c r="V96" s="121"/>
      <c r="W96" s="121"/>
      <c r="X96" s="121"/>
      <c r="Y96" s="121"/>
      <c r="Z96" s="123"/>
      <c r="AA96" s="123"/>
      <c r="AB96" s="123"/>
      <c r="AC96" s="123"/>
      <c r="AD96" s="123"/>
      <c r="AE96" s="123"/>
      <c r="AF96" s="123"/>
      <c r="AG96" s="123"/>
      <c r="AH96" s="123"/>
      <c r="AI96" s="123"/>
      <c r="AJ96" s="123"/>
      <c r="AK96" s="123"/>
      <c r="AL96" s="123"/>
      <c r="AM96" s="123"/>
      <c r="AN96" s="122"/>
      <c r="AO96" s="122"/>
      <c r="AP96" s="122"/>
      <c r="AQ96" s="122"/>
      <c r="AR96" s="122"/>
      <c r="AS96" s="122"/>
      <c r="AT96" s="123"/>
      <c r="AU96" s="124"/>
      <c r="AV96" s="125"/>
      <c r="AW96" s="74"/>
      <c r="AX96" s="75"/>
      <c r="AY96" s="75"/>
      <c r="AZ96" s="75"/>
      <c r="BA96" s="75"/>
      <c r="BC96" s="5"/>
    </row>
    <row r="97" spans="2:55" ht="12.75" customHeight="1">
      <c r="B97" s="72"/>
      <c r="C97" s="134"/>
      <c r="D97" s="134"/>
      <c r="E97" s="134"/>
      <c r="F97" s="134"/>
      <c r="G97" s="134"/>
      <c r="H97" s="73"/>
      <c r="I97" s="126"/>
      <c r="J97" s="121"/>
      <c r="K97" s="121"/>
      <c r="L97" s="121"/>
      <c r="M97" s="121"/>
      <c r="N97" s="121"/>
      <c r="O97" s="121"/>
      <c r="P97" s="121"/>
      <c r="Q97" s="121"/>
      <c r="R97" s="121"/>
      <c r="S97" s="121"/>
      <c r="T97" s="121"/>
      <c r="U97" s="121"/>
      <c r="V97" s="121"/>
      <c r="W97" s="121"/>
      <c r="X97" s="121"/>
      <c r="Y97" s="121"/>
      <c r="Z97" s="123"/>
      <c r="AA97" s="123"/>
      <c r="AB97" s="123"/>
      <c r="AC97" s="123"/>
      <c r="AD97" s="123"/>
      <c r="AE97" s="123"/>
      <c r="AF97" s="123"/>
      <c r="AG97" s="123"/>
      <c r="AH97" s="123"/>
      <c r="AI97" s="123"/>
      <c r="AJ97" s="123"/>
      <c r="AK97" s="123"/>
      <c r="AL97" s="123"/>
      <c r="AM97" s="123"/>
      <c r="AN97" s="130"/>
      <c r="AO97" s="122"/>
      <c r="AP97" s="122"/>
      <c r="AQ97" s="122"/>
      <c r="AR97" s="122"/>
      <c r="AS97" s="122"/>
      <c r="AT97" s="123"/>
      <c r="AU97" s="124"/>
      <c r="AV97" s="125"/>
      <c r="AW97" s="74"/>
      <c r="AX97" s="75"/>
      <c r="AY97" s="75"/>
      <c r="AZ97" s="75"/>
      <c r="BA97" s="75"/>
      <c r="BC97" s="5"/>
    </row>
    <row r="98" spans="2:55" ht="12.75" customHeight="1">
      <c r="B98" s="72"/>
      <c r="C98" s="134"/>
      <c r="D98" s="134"/>
      <c r="E98" s="134"/>
      <c r="F98" s="134"/>
      <c r="G98" s="134"/>
      <c r="H98" s="73"/>
      <c r="I98" s="126"/>
      <c r="J98" s="121"/>
      <c r="K98" s="121"/>
      <c r="L98" s="121"/>
      <c r="M98" s="121"/>
      <c r="N98" s="121"/>
      <c r="O98" s="121"/>
      <c r="P98" s="121"/>
      <c r="Q98" s="121"/>
      <c r="R98" s="121"/>
      <c r="S98" s="121"/>
      <c r="T98" s="121"/>
      <c r="U98" s="121"/>
      <c r="V98" s="121"/>
      <c r="W98" s="121"/>
      <c r="X98" s="121"/>
      <c r="Y98" s="121"/>
      <c r="Z98" s="123"/>
      <c r="AA98" s="123"/>
      <c r="AB98" s="123"/>
      <c r="AC98" s="123"/>
      <c r="AD98" s="123"/>
      <c r="AE98" s="123"/>
      <c r="AF98" s="123"/>
      <c r="AG98" s="123"/>
      <c r="AH98" s="123"/>
      <c r="AI98" s="123"/>
      <c r="AJ98" s="123"/>
      <c r="AK98" s="123"/>
      <c r="AL98" s="123"/>
      <c r="AM98" s="123"/>
      <c r="AN98" s="122"/>
      <c r="AO98" s="122"/>
      <c r="AP98" s="122"/>
      <c r="AQ98" s="122"/>
      <c r="AR98" s="122"/>
      <c r="AS98" s="122"/>
      <c r="AT98" s="123"/>
      <c r="AU98" s="124"/>
      <c r="AV98" s="125"/>
      <c r="AW98" s="74"/>
      <c r="AX98" s="75"/>
      <c r="AY98" s="75"/>
      <c r="AZ98" s="75"/>
      <c r="BA98" s="75"/>
      <c r="BC98" s="5"/>
    </row>
    <row r="99" spans="2:55" ht="12.75" customHeight="1">
      <c r="B99" s="72"/>
      <c r="C99" s="134"/>
      <c r="D99" s="134"/>
      <c r="E99" s="134"/>
      <c r="F99" s="134"/>
      <c r="G99" s="134"/>
      <c r="H99" s="73"/>
      <c r="I99" s="126"/>
      <c r="J99" s="121"/>
      <c r="K99" s="121"/>
      <c r="L99" s="121"/>
      <c r="M99" s="121"/>
      <c r="N99" s="121"/>
      <c r="O99" s="121"/>
      <c r="P99" s="121"/>
      <c r="Q99" s="121"/>
      <c r="R99" s="121"/>
      <c r="S99" s="121"/>
      <c r="T99" s="121"/>
      <c r="U99" s="121"/>
      <c r="V99" s="121"/>
      <c r="W99" s="121"/>
      <c r="X99" s="121"/>
      <c r="Y99" s="121"/>
      <c r="Z99" s="122"/>
      <c r="AA99" s="122"/>
      <c r="AB99" s="122"/>
      <c r="AC99" s="122"/>
      <c r="AD99" s="122"/>
      <c r="AE99" s="122"/>
      <c r="AF99" s="122"/>
      <c r="AG99" s="122"/>
      <c r="AH99" s="122"/>
      <c r="AI99" s="122"/>
      <c r="AJ99" s="122"/>
      <c r="AK99" s="122"/>
      <c r="AL99" s="123"/>
      <c r="AM99" s="123"/>
      <c r="AN99" s="130"/>
      <c r="AO99" s="122"/>
      <c r="AP99" s="122"/>
      <c r="AQ99" s="122"/>
      <c r="AR99" s="122"/>
      <c r="AS99" s="122"/>
      <c r="AT99" s="123"/>
      <c r="AU99" s="124"/>
      <c r="AV99" s="125"/>
      <c r="AW99" s="74"/>
      <c r="AX99" s="75"/>
      <c r="AY99" s="75"/>
      <c r="AZ99" s="75"/>
      <c r="BA99" s="75"/>
      <c r="BC99" s="5"/>
    </row>
    <row r="100" spans="2:55" ht="12.75" customHeight="1">
      <c r="B100" s="72"/>
      <c r="C100" s="134"/>
      <c r="D100" s="134"/>
      <c r="E100" s="134"/>
      <c r="F100" s="134"/>
      <c r="G100" s="134"/>
      <c r="H100" s="73"/>
      <c r="I100" s="126"/>
      <c r="J100" s="121"/>
      <c r="K100" s="121"/>
      <c r="L100" s="121"/>
      <c r="M100" s="121"/>
      <c r="N100" s="121"/>
      <c r="O100" s="121"/>
      <c r="P100" s="121"/>
      <c r="Q100" s="121"/>
      <c r="R100" s="121"/>
      <c r="S100" s="121"/>
      <c r="T100" s="121"/>
      <c r="U100" s="121"/>
      <c r="V100" s="121"/>
      <c r="W100" s="121"/>
      <c r="X100" s="121"/>
      <c r="Y100" s="121"/>
      <c r="Z100" s="131"/>
      <c r="AA100" s="131"/>
      <c r="AB100" s="131"/>
      <c r="AC100" s="131"/>
      <c r="AD100" s="131"/>
      <c r="AE100" s="131"/>
      <c r="AF100" s="131"/>
      <c r="AG100" s="131"/>
      <c r="AH100" s="123"/>
      <c r="AI100" s="123"/>
      <c r="AJ100" s="123"/>
      <c r="AK100" s="123"/>
      <c r="AL100" s="123"/>
      <c r="AM100" s="123"/>
      <c r="AN100" s="122"/>
      <c r="AO100" s="122"/>
      <c r="AP100" s="122"/>
      <c r="AQ100" s="122"/>
      <c r="AR100" s="122"/>
      <c r="AS100" s="122"/>
      <c r="AT100" s="123"/>
      <c r="AU100" s="124"/>
      <c r="AV100" s="125"/>
      <c r="AW100" s="74"/>
      <c r="AX100" s="75"/>
      <c r="AY100" s="75"/>
      <c r="AZ100" s="75"/>
      <c r="BA100" s="75"/>
      <c r="BC100" s="5"/>
    </row>
    <row r="101" spans="2:55" ht="12.75" customHeight="1">
      <c r="B101" s="72"/>
      <c r="C101" s="134"/>
      <c r="D101" s="134"/>
      <c r="E101" s="134"/>
      <c r="F101" s="134"/>
      <c r="G101" s="134"/>
      <c r="H101" s="73"/>
      <c r="I101" s="126"/>
      <c r="J101" s="121"/>
      <c r="K101" s="121"/>
      <c r="L101" s="121"/>
      <c r="M101" s="121"/>
      <c r="N101" s="121"/>
      <c r="O101" s="121"/>
      <c r="P101" s="121"/>
      <c r="Q101" s="121"/>
      <c r="R101" s="121"/>
      <c r="S101" s="121"/>
      <c r="T101" s="121"/>
      <c r="U101" s="121"/>
      <c r="V101" s="121"/>
      <c r="W101" s="121"/>
      <c r="X101" s="121"/>
      <c r="Y101" s="121"/>
      <c r="Z101" s="131"/>
      <c r="AA101" s="131"/>
      <c r="AB101" s="131"/>
      <c r="AC101" s="131"/>
      <c r="AD101" s="131"/>
      <c r="AE101" s="131"/>
      <c r="AF101" s="131"/>
      <c r="AG101" s="131"/>
      <c r="AH101" s="123"/>
      <c r="AI101" s="123"/>
      <c r="AJ101" s="123"/>
      <c r="AK101" s="123"/>
      <c r="AL101" s="123"/>
      <c r="AM101" s="123"/>
      <c r="AN101" s="122"/>
      <c r="AO101" s="122"/>
      <c r="AP101" s="122"/>
      <c r="AQ101" s="122"/>
      <c r="AR101" s="122"/>
      <c r="AS101" s="122"/>
      <c r="AT101" s="123"/>
      <c r="AU101" s="124"/>
      <c r="AV101" s="125"/>
      <c r="AW101" s="74"/>
      <c r="AX101" s="75"/>
      <c r="AY101" s="75"/>
      <c r="AZ101" s="75"/>
      <c r="BA101" s="75"/>
      <c r="BC101" s="5"/>
    </row>
    <row r="102" spans="2:55" ht="12.75" customHeight="1">
      <c r="B102" s="72"/>
      <c r="C102" s="134"/>
      <c r="D102" s="134"/>
      <c r="E102" s="134"/>
      <c r="F102" s="134"/>
      <c r="G102" s="134"/>
      <c r="H102" s="73"/>
      <c r="I102" s="126"/>
      <c r="J102" s="121"/>
      <c r="K102" s="121"/>
      <c r="L102" s="121"/>
      <c r="M102" s="121"/>
      <c r="N102" s="121"/>
      <c r="O102" s="121"/>
      <c r="P102" s="121"/>
      <c r="Q102" s="121"/>
      <c r="R102" s="121"/>
      <c r="S102" s="121"/>
      <c r="T102" s="121"/>
      <c r="U102" s="121"/>
      <c r="V102" s="121"/>
      <c r="W102" s="121"/>
      <c r="X102" s="121"/>
      <c r="Y102" s="121"/>
      <c r="Z102" s="131"/>
      <c r="AA102" s="131"/>
      <c r="AB102" s="131"/>
      <c r="AC102" s="131"/>
      <c r="AD102" s="131"/>
      <c r="AE102" s="131"/>
      <c r="AF102" s="131"/>
      <c r="AG102" s="131"/>
      <c r="AH102" s="121"/>
      <c r="AI102" s="121"/>
      <c r="AJ102" s="121"/>
      <c r="AK102" s="121"/>
      <c r="AL102" s="121"/>
      <c r="AM102" s="121"/>
      <c r="AN102" s="122"/>
      <c r="AO102" s="122"/>
      <c r="AP102" s="122"/>
      <c r="AQ102" s="122"/>
      <c r="AR102" s="122"/>
      <c r="AS102" s="122"/>
      <c r="AT102" s="123"/>
      <c r="AU102" s="124"/>
      <c r="AV102" s="125"/>
      <c r="AW102" s="74"/>
      <c r="AX102" s="75"/>
      <c r="AY102" s="75"/>
      <c r="AZ102" s="75"/>
      <c r="BA102" s="75"/>
      <c r="BC102" s="5"/>
    </row>
    <row r="103" spans="2:55" ht="12.75" customHeight="1">
      <c r="B103" s="72"/>
      <c r="C103" s="134"/>
      <c r="D103" s="134"/>
      <c r="E103" s="134"/>
      <c r="F103" s="134"/>
      <c r="G103" s="134"/>
      <c r="H103" s="73"/>
      <c r="I103" s="77"/>
      <c r="J103" s="122"/>
      <c r="K103" s="122"/>
      <c r="L103" s="122"/>
      <c r="M103" s="122"/>
      <c r="N103" s="122"/>
      <c r="O103" s="122"/>
      <c r="P103" s="122"/>
      <c r="Q103" s="122"/>
      <c r="R103" s="122"/>
      <c r="S103" s="122"/>
      <c r="T103" s="132"/>
      <c r="U103" s="132"/>
      <c r="V103" s="122"/>
      <c r="W103" s="122"/>
      <c r="X103" s="122"/>
      <c r="Y103" s="122"/>
      <c r="Z103" s="131"/>
      <c r="AA103" s="131"/>
      <c r="AB103" s="131"/>
      <c r="AC103" s="131"/>
      <c r="AD103" s="131"/>
      <c r="AE103" s="131"/>
      <c r="AF103" s="131"/>
      <c r="AG103" s="131"/>
      <c r="AH103" s="121"/>
      <c r="AI103" s="121"/>
      <c r="AJ103" s="121"/>
      <c r="AK103" s="121"/>
      <c r="AL103" s="121"/>
      <c r="AM103" s="121"/>
      <c r="AN103" s="122"/>
      <c r="AO103" s="122"/>
      <c r="AP103" s="122"/>
      <c r="AQ103" s="122"/>
      <c r="AR103" s="122"/>
      <c r="AS103" s="122"/>
      <c r="AT103" s="123"/>
      <c r="AU103" s="124"/>
      <c r="AV103" s="125"/>
      <c r="AW103" s="74"/>
      <c r="AX103" s="75"/>
      <c r="AY103" s="75"/>
      <c r="AZ103" s="75"/>
      <c r="BA103" s="75"/>
      <c r="BC103" s="5"/>
    </row>
    <row r="104" spans="2:55" ht="12.75" customHeight="1">
      <c r="B104" s="72"/>
      <c r="C104" s="134"/>
      <c r="D104" s="134"/>
      <c r="E104" s="134"/>
      <c r="F104" s="134"/>
      <c r="G104" s="134"/>
      <c r="H104" s="73"/>
      <c r="I104" s="126"/>
      <c r="J104" s="122"/>
      <c r="K104" s="122"/>
      <c r="L104" s="122"/>
      <c r="M104" s="122"/>
      <c r="N104" s="122"/>
      <c r="O104" s="122"/>
      <c r="P104" s="122"/>
      <c r="Q104" s="122"/>
      <c r="R104" s="122"/>
      <c r="S104" s="132"/>
      <c r="T104" s="132"/>
      <c r="U104" s="132"/>
      <c r="V104" s="122"/>
      <c r="W104" s="122"/>
      <c r="X104" s="122"/>
      <c r="Y104" s="122"/>
      <c r="Z104" s="131"/>
      <c r="AA104" s="131"/>
      <c r="AB104" s="131"/>
      <c r="AC104" s="131"/>
      <c r="AD104" s="131"/>
      <c r="AE104" s="131"/>
      <c r="AF104" s="131"/>
      <c r="AG104" s="131"/>
      <c r="AH104" s="121"/>
      <c r="AI104" s="121"/>
      <c r="AJ104" s="121"/>
      <c r="AK104" s="121"/>
      <c r="AL104" s="121"/>
      <c r="AM104" s="121"/>
      <c r="AN104" s="122"/>
      <c r="AO104" s="122"/>
      <c r="AP104" s="122"/>
      <c r="AQ104" s="122"/>
      <c r="AR104" s="122"/>
      <c r="AS104" s="122"/>
      <c r="AT104" s="123"/>
      <c r="AU104" s="124"/>
      <c r="AV104" s="125"/>
      <c r="AW104" s="74"/>
      <c r="AX104" s="75"/>
      <c r="AY104" s="75"/>
      <c r="AZ104" s="75"/>
      <c r="BA104" s="75"/>
      <c r="BC104" s="5"/>
    </row>
    <row r="105" spans="2:55" ht="12.75" customHeight="1">
      <c r="B105" s="72"/>
      <c r="C105" s="134"/>
      <c r="D105" s="134"/>
      <c r="E105" s="134"/>
      <c r="F105" s="134"/>
      <c r="G105" s="134"/>
      <c r="H105" s="73"/>
      <c r="I105" s="133"/>
      <c r="J105" s="132"/>
      <c r="K105" s="121"/>
      <c r="L105" s="121"/>
      <c r="M105" s="121"/>
      <c r="N105" s="121"/>
      <c r="O105" s="121"/>
      <c r="P105" s="122"/>
      <c r="Q105" s="122"/>
      <c r="R105" s="122"/>
      <c r="S105" s="132"/>
      <c r="T105" s="122"/>
      <c r="U105" s="122"/>
      <c r="V105" s="122"/>
      <c r="W105" s="122"/>
      <c r="X105" s="122"/>
      <c r="Y105" s="122"/>
      <c r="Z105" s="131"/>
      <c r="AA105" s="131"/>
      <c r="AB105" s="131"/>
      <c r="AC105" s="131"/>
      <c r="AD105" s="131"/>
      <c r="AE105" s="131"/>
      <c r="AF105" s="131"/>
      <c r="AG105" s="131"/>
      <c r="AH105" s="121"/>
      <c r="AI105" s="121"/>
      <c r="AJ105" s="121"/>
      <c r="AK105" s="121"/>
      <c r="AL105" s="121"/>
      <c r="AM105" s="121"/>
      <c r="AN105" s="122"/>
      <c r="AO105" s="122"/>
      <c r="AP105" s="122"/>
      <c r="AQ105" s="122"/>
      <c r="AR105" s="122"/>
      <c r="AS105" s="122"/>
      <c r="AT105" s="123"/>
      <c r="AU105" s="124"/>
      <c r="AV105" s="125"/>
      <c r="AW105" s="74"/>
      <c r="AX105" s="75"/>
      <c r="AY105" s="75"/>
      <c r="AZ105" s="75"/>
      <c r="BA105" s="75"/>
      <c r="BC105" s="5"/>
    </row>
    <row r="106" spans="2:55" ht="12.75" customHeight="1">
      <c r="B106" s="72"/>
      <c r="C106" s="134"/>
      <c r="D106" s="134"/>
      <c r="E106" s="134"/>
      <c r="F106" s="134"/>
      <c r="G106" s="134"/>
      <c r="H106" s="73"/>
      <c r="I106" s="76"/>
      <c r="J106" s="131"/>
      <c r="K106" s="131"/>
      <c r="L106" s="131"/>
      <c r="M106" s="131"/>
      <c r="N106" s="131"/>
      <c r="O106" s="131"/>
      <c r="P106" s="131"/>
      <c r="Q106" s="131"/>
      <c r="R106" s="131"/>
      <c r="S106" s="131"/>
      <c r="T106" s="131"/>
      <c r="U106" s="131"/>
      <c r="V106" s="131"/>
      <c r="W106" s="131"/>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24"/>
      <c r="AV106" s="125"/>
      <c r="AW106" s="74"/>
      <c r="AX106" s="75"/>
      <c r="AY106" s="75"/>
      <c r="AZ106" s="75"/>
      <c r="BA106" s="75"/>
      <c r="BC106" s="5"/>
    </row>
    <row r="107" spans="2:55" ht="12.75" customHeight="1">
      <c r="B107" s="72"/>
      <c r="C107" s="134"/>
      <c r="D107" s="134"/>
      <c r="E107" s="134"/>
      <c r="F107" s="134"/>
      <c r="G107" s="134"/>
      <c r="H107" s="73"/>
      <c r="I107" s="76"/>
      <c r="J107" s="131"/>
      <c r="K107" s="131"/>
      <c r="L107" s="131"/>
      <c r="M107" s="131"/>
      <c r="N107" s="131"/>
      <c r="O107" s="131"/>
      <c r="P107" s="131"/>
      <c r="Q107" s="131"/>
      <c r="R107" s="131"/>
      <c r="S107" s="131"/>
      <c r="T107" s="131"/>
      <c r="U107" s="131"/>
      <c r="V107" s="131"/>
      <c r="W107" s="131"/>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24"/>
      <c r="AV107" s="125"/>
      <c r="AW107" s="74"/>
      <c r="AX107" s="75"/>
      <c r="AY107" s="75"/>
      <c r="AZ107" s="75"/>
      <c r="BA107" s="75"/>
      <c r="BC107" s="5"/>
    </row>
    <row r="108" spans="2:55" ht="12.75" customHeight="1">
      <c r="B108" s="72"/>
      <c r="C108" s="134"/>
      <c r="D108" s="134"/>
      <c r="E108" s="134"/>
      <c r="F108" s="134"/>
      <c r="G108" s="134"/>
      <c r="H108" s="73"/>
      <c r="I108" s="76"/>
      <c r="J108" s="131"/>
      <c r="K108" s="131"/>
      <c r="L108" s="131"/>
      <c r="M108" s="131"/>
      <c r="N108" s="131"/>
      <c r="O108" s="131"/>
      <c r="P108" s="131"/>
      <c r="Q108" s="131"/>
      <c r="R108" s="131"/>
      <c r="S108" s="131"/>
      <c r="T108" s="131"/>
      <c r="U108" s="131"/>
      <c r="V108" s="131"/>
      <c r="W108" s="131"/>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24"/>
      <c r="AV108" s="125"/>
      <c r="AW108" s="74"/>
      <c r="AX108" s="75"/>
      <c r="AY108" s="75"/>
      <c r="AZ108" s="75"/>
      <c r="BA108" s="75"/>
      <c r="BC108" s="5"/>
    </row>
    <row r="109" spans="2:55" ht="12.75" customHeight="1">
      <c r="B109" s="72"/>
      <c r="C109" s="134"/>
      <c r="D109" s="134"/>
      <c r="E109" s="134"/>
      <c r="F109" s="134"/>
      <c r="G109" s="134"/>
      <c r="H109" s="73"/>
      <c r="I109" s="127"/>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1"/>
      <c r="AG109" s="121"/>
      <c r="AH109" s="121"/>
      <c r="AI109" s="121"/>
      <c r="AJ109" s="121"/>
      <c r="AK109" s="121"/>
      <c r="AL109" s="121"/>
      <c r="AM109" s="121"/>
      <c r="AN109" s="122"/>
      <c r="AO109" s="122"/>
      <c r="AP109" s="122"/>
      <c r="AQ109" s="122"/>
      <c r="AR109" s="122"/>
      <c r="AS109" s="122"/>
      <c r="AT109" s="123"/>
      <c r="AU109" s="124"/>
      <c r="AV109" s="125"/>
      <c r="AW109" s="74"/>
      <c r="AX109" s="75"/>
      <c r="AY109" s="75"/>
      <c r="AZ109" s="75"/>
      <c r="BA109" s="75"/>
      <c r="BC109" s="5"/>
    </row>
    <row r="110" spans="2:55" ht="12.75" customHeight="1">
      <c r="B110" s="72"/>
      <c r="C110" s="134"/>
      <c r="D110" s="134"/>
      <c r="E110" s="134"/>
      <c r="F110" s="134"/>
      <c r="G110" s="134"/>
      <c r="H110" s="73"/>
      <c r="I110" s="77"/>
      <c r="J110" s="122"/>
      <c r="K110" s="122"/>
      <c r="L110" s="122"/>
      <c r="M110" s="122"/>
      <c r="N110" s="122"/>
      <c r="O110" s="122"/>
      <c r="P110" s="122"/>
      <c r="Q110" s="122"/>
      <c r="R110" s="122"/>
      <c r="S110" s="122"/>
      <c r="T110" s="122"/>
      <c r="U110" s="122"/>
      <c r="V110" s="122"/>
      <c r="W110" s="122"/>
      <c r="X110" s="122"/>
      <c r="Y110" s="122"/>
      <c r="Z110" s="122"/>
      <c r="AA110" s="122"/>
      <c r="AB110" s="122"/>
      <c r="AC110" s="122"/>
      <c r="AD110" s="122"/>
      <c r="AE110" s="122"/>
      <c r="AF110" s="122"/>
      <c r="AG110" s="122"/>
      <c r="AH110" s="122"/>
      <c r="AI110" s="122"/>
      <c r="AJ110" s="122"/>
      <c r="AK110" s="122"/>
      <c r="AL110" s="122"/>
      <c r="AM110" s="122"/>
      <c r="AN110" s="122"/>
      <c r="AO110" s="122"/>
      <c r="AP110" s="122"/>
      <c r="AQ110" s="122"/>
      <c r="AR110" s="122"/>
      <c r="AS110" s="122"/>
      <c r="AT110" s="122"/>
      <c r="AU110" s="124"/>
      <c r="AV110" s="125"/>
      <c r="AW110" s="74"/>
      <c r="AX110" s="75"/>
      <c r="AY110" s="75"/>
      <c r="AZ110" s="75"/>
      <c r="BA110" s="75"/>
      <c r="BC110" s="5"/>
    </row>
    <row r="111" spans="2:55" ht="12.75" customHeight="1">
      <c r="B111" s="4"/>
      <c r="H111" s="5"/>
      <c r="I111" s="77"/>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4"/>
      <c r="AV111" s="125"/>
      <c r="AW111" s="74"/>
      <c r="AX111" s="75"/>
      <c r="AY111" s="75"/>
      <c r="AZ111" s="75"/>
      <c r="BA111" s="75"/>
      <c r="BC111" s="5"/>
    </row>
    <row r="112" spans="2:55" ht="12.75" customHeight="1">
      <c r="B112" s="4"/>
      <c r="H112" s="5"/>
      <c r="I112" s="120"/>
      <c r="J112" s="124"/>
      <c r="K112" s="124"/>
      <c r="L112" s="124"/>
      <c r="M112" s="134"/>
      <c r="N112" s="134"/>
      <c r="O112" s="134"/>
      <c r="P112" s="134"/>
      <c r="Q112" s="134"/>
      <c r="R112" s="134"/>
      <c r="S112" s="134"/>
      <c r="T112" s="134"/>
      <c r="U112" s="134"/>
      <c r="V112" s="134"/>
      <c r="W112" s="134"/>
      <c r="X112" s="134"/>
      <c r="Y112" s="134"/>
      <c r="Z112" s="134"/>
      <c r="AA112" s="134"/>
      <c r="AB112" s="134"/>
      <c r="AC112" s="134"/>
      <c r="AD112" s="134"/>
      <c r="AE112" s="134"/>
      <c r="AF112" s="134"/>
      <c r="AG112" s="134"/>
      <c r="AH112" s="134"/>
      <c r="AI112" s="134"/>
      <c r="AJ112" s="134"/>
      <c r="AK112" s="134"/>
      <c r="AL112" s="134"/>
      <c r="AM112" s="134"/>
      <c r="AN112" s="134"/>
      <c r="AO112" s="124"/>
      <c r="AP112" s="124"/>
      <c r="AQ112" s="124"/>
      <c r="AR112" s="124"/>
      <c r="AS112" s="124"/>
      <c r="AT112" s="124"/>
      <c r="AU112" s="124"/>
      <c r="AV112" s="125"/>
      <c r="AW112" s="74"/>
      <c r="AX112" s="75"/>
      <c r="AY112" s="75"/>
      <c r="AZ112" s="75"/>
      <c r="BA112" s="75"/>
      <c r="BC112" s="5"/>
    </row>
    <row r="113" spans="2:55" ht="12.75" customHeight="1">
      <c r="B113" s="4"/>
      <c r="H113" s="5"/>
      <c r="I113" s="120"/>
      <c r="J113" s="124"/>
      <c r="K113" s="124"/>
      <c r="L113" s="124"/>
      <c r="M113" s="134"/>
      <c r="N113" s="134"/>
      <c r="O113" s="134"/>
      <c r="P113" s="134"/>
      <c r="Q113" s="134"/>
      <c r="R113" s="135"/>
      <c r="S113" s="135"/>
      <c r="T113" s="134"/>
      <c r="U113" s="134"/>
      <c r="V113" s="134"/>
      <c r="W113" s="134"/>
      <c r="X113" s="134"/>
      <c r="Y113" s="134"/>
      <c r="Z113" s="134"/>
      <c r="AA113" s="134"/>
      <c r="AB113" s="134"/>
      <c r="AC113" s="134"/>
      <c r="AD113" s="134"/>
      <c r="AE113" s="134"/>
      <c r="AF113" s="134"/>
      <c r="AG113" s="134"/>
      <c r="AH113" s="134"/>
      <c r="AI113" s="134"/>
      <c r="AJ113" s="134"/>
      <c r="AK113" s="134"/>
      <c r="AL113" s="134"/>
      <c r="AM113" s="134"/>
      <c r="AN113" s="134"/>
      <c r="AO113" s="124"/>
      <c r="AP113" s="124"/>
      <c r="AQ113" s="124"/>
      <c r="AR113" s="124"/>
      <c r="AS113" s="124"/>
      <c r="AT113" s="124"/>
      <c r="AU113" s="124"/>
      <c r="AV113" s="125"/>
      <c r="AW113" s="74"/>
      <c r="AX113" s="75"/>
      <c r="AY113" s="75"/>
      <c r="AZ113" s="75"/>
      <c r="BA113" s="75"/>
      <c r="BC113" s="5"/>
    </row>
    <row r="114" spans="2:55" ht="12.75" customHeight="1">
      <c r="B114" s="4"/>
      <c r="H114" s="5"/>
      <c r="I114" s="120"/>
      <c r="J114" s="124"/>
      <c r="K114" s="124"/>
      <c r="L114" s="124"/>
      <c r="M114" s="124"/>
      <c r="N114" s="124"/>
      <c r="O114" s="124"/>
      <c r="P114" s="124"/>
      <c r="Q114" s="134"/>
      <c r="R114" s="134"/>
      <c r="S114" s="136"/>
      <c r="T114" s="136"/>
      <c r="U114" s="134"/>
      <c r="V114" s="134"/>
      <c r="W114" s="134"/>
      <c r="X114" s="134"/>
      <c r="Y114" s="134"/>
      <c r="Z114" s="134"/>
      <c r="AA114" s="134"/>
      <c r="AB114" s="134"/>
      <c r="AC114" s="134"/>
      <c r="AD114" s="134"/>
      <c r="AE114" s="134"/>
      <c r="AF114" s="134"/>
      <c r="AG114" s="134"/>
      <c r="AH114" s="134"/>
      <c r="AI114" s="134"/>
      <c r="AJ114" s="134"/>
      <c r="AK114" s="134"/>
      <c r="AL114" s="134"/>
      <c r="AM114" s="134"/>
      <c r="AN114" s="134"/>
      <c r="AO114" s="124"/>
      <c r="AP114" s="124"/>
      <c r="AQ114" s="124"/>
      <c r="AR114" s="124"/>
      <c r="AS114" s="124"/>
      <c r="AT114" s="124"/>
      <c r="AU114" s="124"/>
      <c r="AV114" s="125"/>
      <c r="AW114" s="74"/>
      <c r="AX114" s="75"/>
      <c r="AY114" s="75"/>
      <c r="AZ114" s="75"/>
      <c r="BA114" s="75"/>
      <c r="BC114" s="5"/>
    </row>
    <row r="115" spans="2:55" ht="12.75" customHeight="1">
      <c r="B115" s="4"/>
      <c r="H115" s="5"/>
      <c r="I115" s="120"/>
      <c r="J115" s="124"/>
      <c r="K115" s="124"/>
      <c r="L115" s="124"/>
      <c r="M115" s="124"/>
      <c r="N115" s="124"/>
      <c r="O115" s="124"/>
      <c r="P115" s="124"/>
      <c r="Q115" s="124"/>
      <c r="R115" s="124"/>
      <c r="S115" s="124"/>
      <c r="T115" s="124"/>
      <c r="U115" s="124"/>
      <c r="V115" s="124"/>
      <c r="W115" s="124"/>
      <c r="X115" s="124"/>
      <c r="Y115" s="124"/>
      <c r="Z115" s="124"/>
      <c r="AA115" s="124"/>
      <c r="AB115" s="124"/>
      <c r="AC115" s="124"/>
      <c r="AD115" s="124"/>
      <c r="AE115" s="124"/>
      <c r="AF115" s="124"/>
      <c r="AG115" s="134"/>
      <c r="AH115" s="134"/>
      <c r="AI115" s="134"/>
      <c r="AJ115" s="134"/>
      <c r="AK115" s="134"/>
      <c r="AL115" s="134"/>
      <c r="AM115" s="134"/>
      <c r="AN115" s="134"/>
      <c r="AO115" s="124"/>
      <c r="AP115" s="124"/>
      <c r="AQ115" s="124"/>
      <c r="AR115" s="124"/>
      <c r="AS115" s="124"/>
      <c r="AT115" s="124"/>
      <c r="AU115" s="124"/>
      <c r="AV115" s="125"/>
      <c r="AW115" s="74"/>
      <c r="AX115" s="75"/>
      <c r="AY115" s="75"/>
      <c r="AZ115" s="75"/>
      <c r="BA115" s="75"/>
      <c r="BC115" s="5"/>
    </row>
    <row r="116" spans="2:55" ht="12.75" customHeight="1">
      <c r="B116" s="4"/>
      <c r="H116" s="5"/>
      <c r="I116" s="120"/>
      <c r="J116" s="124"/>
      <c r="K116" s="134"/>
      <c r="L116" s="136"/>
      <c r="M116" s="134"/>
      <c r="N116" s="134"/>
      <c r="O116" s="134"/>
      <c r="P116" s="134"/>
      <c r="Q116" s="124"/>
      <c r="R116" s="136"/>
      <c r="S116" s="136"/>
      <c r="T116" s="136"/>
      <c r="U116" s="124"/>
      <c r="V116" s="124"/>
      <c r="W116" s="124"/>
      <c r="X116" s="124"/>
      <c r="Y116" s="137"/>
      <c r="Z116" s="137"/>
      <c r="AA116" s="137"/>
      <c r="AB116" s="137"/>
      <c r="AC116" s="137"/>
      <c r="AD116" s="137"/>
      <c r="AE116" s="137"/>
      <c r="AF116" s="137"/>
      <c r="AG116" s="124"/>
      <c r="AH116" s="134"/>
      <c r="AI116" s="134"/>
      <c r="AJ116" s="134"/>
      <c r="AK116" s="134"/>
      <c r="AL116" s="134"/>
      <c r="AM116" s="134"/>
      <c r="AN116" s="134"/>
      <c r="AO116" s="124"/>
      <c r="AP116" s="124"/>
      <c r="AQ116" s="124"/>
      <c r="AR116" s="124"/>
      <c r="AS116" s="124"/>
      <c r="AT116" s="124"/>
      <c r="AU116" s="124"/>
      <c r="AV116" s="125"/>
      <c r="AW116" s="74"/>
      <c r="AX116" s="75"/>
      <c r="AY116" s="75"/>
      <c r="AZ116" s="75"/>
      <c r="BA116" s="75"/>
      <c r="BC116" s="5"/>
    </row>
    <row r="117" spans="2:55" ht="12.75" customHeight="1">
      <c r="B117" s="72"/>
      <c r="C117" s="134"/>
      <c r="D117" s="134"/>
      <c r="E117" s="134"/>
      <c r="F117" s="134"/>
      <c r="G117" s="134"/>
      <c r="H117" s="73"/>
      <c r="I117" s="120"/>
      <c r="J117" s="124"/>
      <c r="K117" s="124"/>
      <c r="L117" s="124"/>
      <c r="M117" s="124"/>
      <c r="N117" s="124"/>
      <c r="O117" s="124"/>
      <c r="P117" s="124"/>
      <c r="Q117" s="124"/>
      <c r="R117" s="124"/>
      <c r="S117" s="124"/>
      <c r="T117" s="136"/>
      <c r="U117" s="124"/>
      <c r="V117" s="124"/>
      <c r="W117" s="124"/>
      <c r="X117" s="124"/>
      <c r="Y117" s="137"/>
      <c r="Z117" s="137"/>
      <c r="AA117" s="137"/>
      <c r="AB117" s="137"/>
      <c r="AC117" s="137"/>
      <c r="AD117" s="137"/>
      <c r="AE117" s="137"/>
      <c r="AF117" s="137"/>
      <c r="AG117" s="124"/>
      <c r="AH117" s="124"/>
      <c r="AI117" s="134"/>
      <c r="AJ117" s="134"/>
      <c r="AK117" s="134"/>
      <c r="AL117" s="134"/>
      <c r="AM117" s="134"/>
      <c r="AN117" s="134"/>
      <c r="AO117" s="124"/>
      <c r="AP117" s="124"/>
      <c r="AQ117" s="124"/>
      <c r="AR117" s="124"/>
      <c r="AS117" s="124"/>
      <c r="AT117" s="124"/>
      <c r="AU117" s="124"/>
      <c r="AV117" s="125"/>
      <c r="AW117" s="74"/>
      <c r="AX117" s="75"/>
      <c r="AY117" s="75"/>
      <c r="AZ117" s="75"/>
      <c r="BA117" s="75"/>
      <c r="BC117" s="5"/>
    </row>
    <row r="118" spans="2:55" ht="12.75" customHeight="1">
      <c r="B118" s="501" t="s">
        <v>196</v>
      </c>
      <c r="C118" s="502"/>
      <c r="D118" s="502"/>
      <c r="E118" s="502"/>
      <c r="F118" s="502"/>
      <c r="G118" s="502"/>
      <c r="H118" s="503"/>
      <c r="I118" s="120"/>
      <c r="J118" s="124"/>
      <c r="K118" s="124"/>
      <c r="L118" s="124"/>
      <c r="M118" s="124"/>
      <c r="N118" s="124"/>
      <c r="O118" s="124"/>
      <c r="P118" s="124"/>
      <c r="Q118" s="137"/>
      <c r="R118" s="124"/>
      <c r="S118" s="124"/>
      <c r="T118" s="136"/>
      <c r="U118" s="124"/>
      <c r="V118" s="124"/>
      <c r="W118" s="124"/>
      <c r="X118" s="124"/>
      <c r="Y118" s="137"/>
      <c r="Z118" s="137"/>
      <c r="AA118" s="137"/>
      <c r="AB118" s="137"/>
      <c r="AC118" s="137"/>
      <c r="AD118" s="137"/>
      <c r="AE118" s="137"/>
      <c r="AF118" s="137"/>
      <c r="AG118" s="124"/>
      <c r="AH118" s="124"/>
      <c r="AI118" s="124"/>
      <c r="AJ118" s="124"/>
      <c r="AK118" s="124"/>
      <c r="AL118" s="124"/>
      <c r="AM118" s="134"/>
      <c r="AN118" s="134"/>
      <c r="AO118" s="124"/>
      <c r="AP118" s="124"/>
      <c r="AQ118" s="124"/>
      <c r="AR118" s="124"/>
      <c r="AS118" s="124"/>
      <c r="AT118" s="124"/>
      <c r="AU118" s="124"/>
      <c r="AV118" s="125"/>
      <c r="AW118" s="74"/>
      <c r="AX118" s="75"/>
      <c r="AY118" s="75"/>
      <c r="AZ118" s="75"/>
      <c r="BA118" s="75"/>
      <c r="BC118" s="5"/>
    </row>
    <row r="119" spans="2:55" ht="12.75" customHeight="1">
      <c r="B119" s="504"/>
      <c r="C119" s="505"/>
      <c r="D119" s="505"/>
      <c r="E119" s="505"/>
      <c r="F119" s="505"/>
      <c r="G119" s="505"/>
      <c r="H119" s="506"/>
      <c r="I119" s="120"/>
      <c r="J119" s="124"/>
      <c r="K119" s="124"/>
      <c r="L119" s="124"/>
      <c r="M119" s="124"/>
      <c r="N119" s="124"/>
      <c r="O119" s="124"/>
      <c r="P119" s="124"/>
      <c r="Q119" s="137"/>
      <c r="R119" s="124"/>
      <c r="S119" s="124"/>
      <c r="T119" s="136"/>
      <c r="U119" s="124"/>
      <c r="V119" s="124"/>
      <c r="W119" s="124"/>
      <c r="X119" s="124"/>
      <c r="Y119" s="137"/>
      <c r="Z119" s="137"/>
      <c r="AA119" s="137"/>
      <c r="AB119" s="137"/>
      <c r="AC119" s="137"/>
      <c r="AD119" s="137"/>
      <c r="AE119" s="137"/>
      <c r="AF119" s="137"/>
      <c r="AG119" s="124"/>
      <c r="AH119" s="124"/>
      <c r="AI119" s="124"/>
      <c r="AJ119" s="124"/>
      <c r="AK119" s="124"/>
      <c r="AL119" s="124"/>
      <c r="AM119" s="134"/>
      <c r="AN119" s="134"/>
      <c r="AO119" s="124"/>
      <c r="AP119" s="124"/>
      <c r="AQ119" s="124"/>
      <c r="AR119" s="124"/>
      <c r="AS119" s="124"/>
      <c r="AT119" s="124"/>
      <c r="AU119" s="124"/>
      <c r="AV119" s="125"/>
      <c r="AW119" s="74"/>
      <c r="AX119" s="75"/>
      <c r="AY119" s="75"/>
      <c r="AZ119" s="75"/>
      <c r="BA119" s="75"/>
      <c r="BC119" s="5"/>
    </row>
    <row r="120" spans="2:55" ht="12.75" customHeight="1">
      <c r="B120" s="504"/>
      <c r="C120" s="505"/>
      <c r="D120" s="505"/>
      <c r="E120" s="505"/>
      <c r="F120" s="505"/>
      <c r="G120" s="505"/>
      <c r="H120" s="506"/>
      <c r="I120" s="120"/>
      <c r="J120" s="124"/>
      <c r="K120" s="124"/>
      <c r="L120" s="124"/>
      <c r="M120" s="124"/>
      <c r="N120" s="124"/>
      <c r="O120" s="124"/>
      <c r="P120" s="124"/>
      <c r="Q120" s="137"/>
      <c r="R120" s="124"/>
      <c r="S120" s="124"/>
      <c r="T120" s="136"/>
      <c r="U120" s="124"/>
      <c r="V120" s="124"/>
      <c r="W120" s="124"/>
      <c r="X120" s="124"/>
      <c r="Y120" s="137"/>
      <c r="Z120" s="137"/>
      <c r="AA120" s="137"/>
      <c r="AB120" s="137"/>
      <c r="AC120" s="137"/>
      <c r="AD120" s="137"/>
      <c r="AE120" s="137"/>
      <c r="AF120" s="137"/>
      <c r="AG120" s="124"/>
      <c r="AH120" s="124"/>
      <c r="AI120" s="124"/>
      <c r="AJ120" s="124"/>
      <c r="AK120" s="124"/>
      <c r="AL120" s="124"/>
      <c r="AM120" s="134"/>
      <c r="AN120" s="134"/>
      <c r="AO120" s="124"/>
      <c r="AP120" s="124"/>
      <c r="AQ120" s="124"/>
      <c r="AR120" s="124"/>
      <c r="AS120" s="124"/>
      <c r="AT120" s="124"/>
      <c r="AU120" s="124"/>
      <c r="AV120" s="125"/>
      <c r="AW120" s="74"/>
      <c r="AX120" s="75"/>
      <c r="AY120" s="75"/>
      <c r="AZ120" s="75"/>
      <c r="BA120" s="75"/>
      <c r="BC120" s="5"/>
    </row>
    <row r="121" spans="2:55" ht="12.75" customHeight="1">
      <c r="B121" s="504"/>
      <c r="C121" s="505"/>
      <c r="D121" s="505"/>
      <c r="E121" s="505"/>
      <c r="F121" s="505"/>
      <c r="G121" s="505"/>
      <c r="H121" s="506"/>
      <c r="I121" s="120"/>
      <c r="J121" s="129"/>
      <c r="K121" s="124"/>
      <c r="L121" s="124"/>
      <c r="M121" s="124"/>
      <c r="N121" s="124"/>
      <c r="O121" s="124"/>
      <c r="P121" s="124"/>
      <c r="Q121" s="137"/>
      <c r="R121" s="124"/>
      <c r="S121" s="124"/>
      <c r="T121" s="136"/>
      <c r="U121" s="124"/>
      <c r="V121" s="124"/>
      <c r="W121" s="124"/>
      <c r="X121" s="124"/>
      <c r="Y121" s="137"/>
      <c r="Z121" s="137"/>
      <c r="AA121" s="137"/>
      <c r="AB121" s="137"/>
      <c r="AC121" s="137"/>
      <c r="AD121" s="137"/>
      <c r="AE121" s="137"/>
      <c r="AF121" s="137"/>
      <c r="AG121" s="124"/>
      <c r="AH121" s="124"/>
      <c r="AI121" s="124"/>
      <c r="AJ121" s="124"/>
      <c r="AK121" s="124"/>
      <c r="AL121" s="124"/>
      <c r="AM121" s="134"/>
      <c r="AN121" s="134"/>
      <c r="AO121" s="124"/>
      <c r="AP121" s="124"/>
      <c r="AQ121" s="124"/>
      <c r="AR121" s="124"/>
      <c r="AS121" s="124"/>
      <c r="AT121" s="124"/>
      <c r="AU121" s="124"/>
      <c r="AV121" s="125"/>
      <c r="AW121" s="74"/>
      <c r="AX121" s="75"/>
      <c r="AY121" s="75"/>
      <c r="AZ121" s="75"/>
      <c r="BA121" s="75"/>
      <c r="BC121" s="5"/>
    </row>
    <row r="122" spans="2:55" ht="12.75" customHeight="1">
      <c r="B122" s="504"/>
      <c r="C122" s="505"/>
      <c r="D122" s="505"/>
      <c r="E122" s="505"/>
      <c r="F122" s="505"/>
      <c r="G122" s="505"/>
      <c r="H122" s="506"/>
      <c r="I122" s="120"/>
      <c r="AV122" s="125"/>
      <c r="AW122" s="74"/>
      <c r="AX122" s="75"/>
      <c r="AY122" s="75"/>
      <c r="AZ122" s="75"/>
      <c r="BA122" s="75"/>
      <c r="BC122" s="5"/>
    </row>
    <row r="123" spans="2:55" ht="12.75" customHeight="1">
      <c r="B123" s="507"/>
      <c r="C123" s="508"/>
      <c r="D123" s="508"/>
      <c r="E123" s="508"/>
      <c r="F123" s="508"/>
      <c r="G123" s="508"/>
      <c r="H123" s="509"/>
      <c r="I123" s="120"/>
      <c r="AV123" s="125"/>
      <c r="AW123" s="74"/>
      <c r="AX123" s="75"/>
      <c r="AY123" s="75"/>
      <c r="AZ123" s="75"/>
      <c r="BA123" s="75"/>
      <c r="BC123" s="5"/>
    </row>
    <row r="124" spans="2:55" ht="12.75" customHeight="1">
      <c r="B124" s="72"/>
      <c r="C124" s="134"/>
      <c r="D124" s="134"/>
      <c r="E124" s="134"/>
      <c r="F124" s="134"/>
      <c r="G124" s="134"/>
      <c r="H124" s="73"/>
      <c r="I124" s="120"/>
      <c r="AV124" s="125"/>
      <c r="AW124" s="74"/>
      <c r="AX124" s="75"/>
      <c r="AY124" s="75"/>
      <c r="AZ124" s="75"/>
      <c r="BA124" s="75"/>
      <c r="BC124" s="5"/>
    </row>
    <row r="125" spans="2:55" ht="12.75" customHeight="1">
      <c r="B125" s="72"/>
      <c r="C125" s="134"/>
      <c r="D125" s="134"/>
      <c r="E125" s="134"/>
      <c r="F125" s="134"/>
      <c r="G125" s="134"/>
      <c r="H125" s="73"/>
      <c r="I125" s="120"/>
      <c r="AV125" s="125"/>
      <c r="AW125" s="74"/>
      <c r="AX125" s="75"/>
      <c r="AY125" s="75"/>
      <c r="AZ125" s="75"/>
      <c r="BA125" s="75"/>
      <c r="BC125" s="5"/>
    </row>
    <row r="126" spans="2:55" ht="12.75" customHeight="1">
      <c r="B126" s="72"/>
      <c r="C126" s="134"/>
      <c r="D126" s="134"/>
      <c r="E126" s="134"/>
      <c r="F126" s="134"/>
      <c r="G126" s="134"/>
      <c r="H126" s="73"/>
      <c r="I126" s="120"/>
      <c r="AV126" s="125"/>
      <c r="AW126" s="74"/>
      <c r="AX126" s="75"/>
      <c r="AY126" s="75"/>
      <c r="AZ126" s="75"/>
      <c r="BA126" s="75"/>
      <c r="BC126" s="5"/>
    </row>
    <row r="127" spans="2:55" ht="12.75" customHeight="1">
      <c r="B127" s="72"/>
      <c r="C127" s="134"/>
      <c r="D127" s="134"/>
      <c r="E127" s="134"/>
      <c r="F127" s="134"/>
      <c r="G127" s="134"/>
      <c r="H127" s="73"/>
      <c r="I127" s="120"/>
      <c r="AV127" s="125"/>
      <c r="AW127" s="74"/>
      <c r="AX127" s="75"/>
      <c r="AY127" s="75"/>
      <c r="AZ127" s="75"/>
      <c r="BA127" s="75"/>
      <c r="BC127" s="5"/>
    </row>
    <row r="128" spans="2:55" ht="12.75" customHeight="1">
      <c r="B128" s="72"/>
      <c r="C128" s="134"/>
      <c r="D128" s="134"/>
      <c r="E128" s="134"/>
      <c r="F128" s="134"/>
      <c r="G128" s="134"/>
      <c r="H128" s="73"/>
      <c r="I128" s="120"/>
      <c r="AV128" s="125"/>
      <c r="AW128" s="74"/>
      <c r="AX128" s="75"/>
      <c r="AY128" s="75"/>
      <c r="AZ128" s="75"/>
      <c r="BA128" s="75"/>
      <c r="BC128" s="5"/>
    </row>
    <row r="129" spans="2:55" ht="12.75" customHeight="1">
      <c r="B129" s="72"/>
      <c r="C129" s="134"/>
      <c r="D129" s="134"/>
      <c r="E129" s="134"/>
      <c r="F129" s="134"/>
      <c r="G129" s="134"/>
      <c r="H129" s="73"/>
      <c r="I129" s="120"/>
      <c r="J129" s="514" t="s">
        <v>212</v>
      </c>
      <c r="K129" s="514"/>
      <c r="L129" s="514"/>
      <c r="M129" s="514"/>
      <c r="N129" s="514"/>
      <c r="O129" s="514"/>
      <c r="P129" s="514"/>
      <c r="Q129" s="514"/>
      <c r="R129" s="514"/>
      <c r="S129" s="514"/>
      <c r="T129" s="514"/>
      <c r="U129" s="514"/>
      <c r="V129" s="514"/>
      <c r="W129" s="514"/>
      <c r="X129" s="514"/>
      <c r="Y129" s="514"/>
      <c r="Z129" s="514"/>
      <c r="AA129" s="514"/>
      <c r="AB129" s="514"/>
      <c r="AC129" s="514"/>
      <c r="AD129" s="514"/>
      <c r="AE129" s="514"/>
      <c r="AF129" s="514"/>
      <c r="AG129" s="514"/>
      <c r="AH129" s="514"/>
      <c r="AI129" s="514"/>
      <c r="AJ129" s="514"/>
      <c r="AK129" s="514"/>
      <c r="AL129" s="514"/>
      <c r="AM129" s="514"/>
      <c r="AN129" s="514"/>
      <c r="AO129" s="514"/>
      <c r="AP129" s="514"/>
      <c r="AQ129" s="514"/>
      <c r="AR129" s="514"/>
      <c r="AS129" s="514"/>
      <c r="AT129" s="514"/>
      <c r="AU129" s="514"/>
      <c r="AV129" s="125"/>
      <c r="AW129" s="74"/>
      <c r="AX129" s="75"/>
      <c r="AY129" s="75"/>
      <c r="AZ129" s="75"/>
      <c r="BA129" s="75"/>
      <c r="BC129" s="5"/>
    </row>
    <row r="130" spans="2:55" ht="12.75" customHeight="1">
      <c r="B130" s="72"/>
      <c r="C130" s="134"/>
      <c r="D130" s="134"/>
      <c r="E130" s="134"/>
      <c r="F130" s="134"/>
      <c r="G130" s="134"/>
      <c r="H130" s="73"/>
      <c r="I130" s="120"/>
      <c r="J130" s="514"/>
      <c r="K130" s="514"/>
      <c r="L130" s="514"/>
      <c r="M130" s="514"/>
      <c r="N130" s="514"/>
      <c r="O130" s="514"/>
      <c r="P130" s="514"/>
      <c r="Q130" s="514"/>
      <c r="R130" s="514"/>
      <c r="S130" s="514"/>
      <c r="T130" s="514"/>
      <c r="U130" s="514"/>
      <c r="V130" s="514"/>
      <c r="W130" s="514"/>
      <c r="X130" s="514"/>
      <c r="Y130" s="514"/>
      <c r="Z130" s="514"/>
      <c r="AA130" s="514"/>
      <c r="AB130" s="514"/>
      <c r="AC130" s="514"/>
      <c r="AD130" s="514"/>
      <c r="AE130" s="514"/>
      <c r="AF130" s="514"/>
      <c r="AG130" s="514"/>
      <c r="AH130" s="514"/>
      <c r="AI130" s="514"/>
      <c r="AJ130" s="514"/>
      <c r="AK130" s="514"/>
      <c r="AL130" s="514"/>
      <c r="AM130" s="514"/>
      <c r="AN130" s="514"/>
      <c r="AO130" s="514"/>
      <c r="AP130" s="514"/>
      <c r="AQ130" s="514"/>
      <c r="AR130" s="514"/>
      <c r="AS130" s="514"/>
      <c r="AT130" s="514"/>
      <c r="AU130" s="514"/>
      <c r="AV130" s="125"/>
      <c r="AW130" s="74"/>
      <c r="AX130" s="75"/>
      <c r="AY130" s="75"/>
      <c r="AZ130" s="75"/>
      <c r="BA130" s="75"/>
      <c r="BC130" s="5"/>
    </row>
    <row r="131" spans="2:55" ht="12.75" customHeight="1">
      <c r="B131" s="72"/>
      <c r="C131" s="134"/>
      <c r="D131" s="134"/>
      <c r="E131" s="134"/>
      <c r="F131" s="134"/>
      <c r="G131" s="134"/>
      <c r="H131" s="73"/>
      <c r="I131" s="120"/>
      <c r="J131" s="514"/>
      <c r="K131" s="514"/>
      <c r="L131" s="514"/>
      <c r="M131" s="514"/>
      <c r="N131" s="514"/>
      <c r="O131" s="514"/>
      <c r="P131" s="514"/>
      <c r="Q131" s="514"/>
      <c r="R131" s="514"/>
      <c r="S131" s="514"/>
      <c r="T131" s="514"/>
      <c r="U131" s="514"/>
      <c r="V131" s="514"/>
      <c r="W131" s="514"/>
      <c r="X131" s="514"/>
      <c r="Y131" s="514"/>
      <c r="Z131" s="514"/>
      <c r="AA131" s="514"/>
      <c r="AB131" s="514"/>
      <c r="AC131" s="514"/>
      <c r="AD131" s="514"/>
      <c r="AE131" s="514"/>
      <c r="AF131" s="514"/>
      <c r="AG131" s="514"/>
      <c r="AH131" s="514"/>
      <c r="AI131" s="514"/>
      <c r="AJ131" s="514"/>
      <c r="AK131" s="514"/>
      <c r="AL131" s="514"/>
      <c r="AM131" s="514"/>
      <c r="AN131" s="514"/>
      <c r="AO131" s="514"/>
      <c r="AP131" s="514"/>
      <c r="AQ131" s="514"/>
      <c r="AR131" s="514"/>
      <c r="AS131" s="514"/>
      <c r="AT131" s="514"/>
      <c r="AU131" s="514"/>
      <c r="AV131" s="125"/>
      <c r="AW131" s="74"/>
      <c r="AX131" s="75"/>
      <c r="AY131" s="75"/>
      <c r="AZ131" s="75"/>
      <c r="BA131" s="75"/>
      <c r="BC131" s="5"/>
    </row>
    <row r="132" spans="2:55" ht="12.75" customHeight="1">
      <c r="B132" s="72"/>
      <c r="C132" s="134"/>
      <c r="D132" s="134"/>
      <c r="E132" s="134"/>
      <c r="F132" s="134"/>
      <c r="G132" s="134"/>
      <c r="H132" s="73"/>
      <c r="I132" s="120"/>
      <c r="J132" s="514"/>
      <c r="K132" s="514"/>
      <c r="L132" s="514"/>
      <c r="M132" s="514"/>
      <c r="N132" s="514"/>
      <c r="O132" s="514"/>
      <c r="P132" s="514"/>
      <c r="Q132" s="514"/>
      <c r="R132" s="514"/>
      <c r="S132" s="514"/>
      <c r="T132" s="514"/>
      <c r="U132" s="514"/>
      <c r="V132" s="514"/>
      <c r="W132" s="514"/>
      <c r="X132" s="514"/>
      <c r="Y132" s="514"/>
      <c r="Z132" s="514"/>
      <c r="AA132" s="514"/>
      <c r="AB132" s="514"/>
      <c r="AC132" s="514"/>
      <c r="AD132" s="514"/>
      <c r="AE132" s="514"/>
      <c r="AF132" s="514"/>
      <c r="AG132" s="514"/>
      <c r="AH132" s="514"/>
      <c r="AI132" s="514"/>
      <c r="AJ132" s="514"/>
      <c r="AK132" s="514"/>
      <c r="AL132" s="514"/>
      <c r="AM132" s="514"/>
      <c r="AN132" s="514"/>
      <c r="AO132" s="514"/>
      <c r="AP132" s="514"/>
      <c r="AQ132" s="514"/>
      <c r="AR132" s="514"/>
      <c r="AS132" s="514"/>
      <c r="AT132" s="514"/>
      <c r="AU132" s="514"/>
      <c r="AV132" s="125"/>
      <c r="AW132" s="74"/>
      <c r="AX132" s="75"/>
      <c r="AY132" s="75"/>
      <c r="AZ132" s="75"/>
      <c r="BA132" s="75"/>
      <c r="BC132" s="5"/>
    </row>
    <row r="133" spans="2:55" ht="12.75" customHeight="1">
      <c r="B133" s="72"/>
      <c r="C133" s="134"/>
      <c r="D133" s="134"/>
      <c r="E133" s="134"/>
      <c r="F133" s="134"/>
      <c r="G133" s="134"/>
      <c r="H133" s="73"/>
      <c r="I133" s="120"/>
      <c r="J133" s="514"/>
      <c r="K133" s="514"/>
      <c r="L133" s="514"/>
      <c r="M133" s="514"/>
      <c r="N133" s="514"/>
      <c r="O133" s="514"/>
      <c r="P133" s="514"/>
      <c r="Q133" s="514"/>
      <c r="R133" s="514"/>
      <c r="S133" s="514"/>
      <c r="T133" s="514"/>
      <c r="U133" s="514"/>
      <c r="V133" s="514"/>
      <c r="W133" s="514"/>
      <c r="X133" s="514"/>
      <c r="Y133" s="514"/>
      <c r="Z133" s="514"/>
      <c r="AA133" s="514"/>
      <c r="AB133" s="514"/>
      <c r="AC133" s="514"/>
      <c r="AD133" s="514"/>
      <c r="AE133" s="514"/>
      <c r="AF133" s="514"/>
      <c r="AG133" s="514"/>
      <c r="AH133" s="514"/>
      <c r="AI133" s="514"/>
      <c r="AJ133" s="514"/>
      <c r="AK133" s="514"/>
      <c r="AL133" s="514"/>
      <c r="AM133" s="514"/>
      <c r="AN133" s="514"/>
      <c r="AO133" s="514"/>
      <c r="AP133" s="514"/>
      <c r="AQ133" s="514"/>
      <c r="AR133" s="514"/>
      <c r="AS133" s="514"/>
      <c r="AT133" s="514"/>
      <c r="AU133" s="514"/>
      <c r="AV133" s="125"/>
      <c r="AW133" s="74"/>
      <c r="AX133" s="75"/>
      <c r="AY133" s="75"/>
      <c r="AZ133" s="75"/>
      <c r="BA133" s="75"/>
      <c r="BC133" s="5"/>
    </row>
    <row r="134" spans="2:55" ht="12.75" customHeight="1">
      <c r="B134" s="72"/>
      <c r="C134" s="134"/>
      <c r="D134" s="134"/>
      <c r="E134" s="134"/>
      <c r="F134" s="134"/>
      <c r="G134" s="134"/>
      <c r="H134" s="73"/>
      <c r="I134" s="120"/>
      <c r="J134" s="124"/>
      <c r="K134" s="124"/>
      <c r="L134" s="124"/>
      <c r="M134" s="124"/>
      <c r="N134" s="124"/>
      <c r="O134" s="124"/>
      <c r="P134" s="124"/>
      <c r="Q134" s="137"/>
      <c r="R134" s="124"/>
      <c r="S134" s="124"/>
      <c r="T134" s="136"/>
      <c r="U134" s="124"/>
      <c r="V134" s="124"/>
      <c r="W134" s="124"/>
      <c r="X134" s="124"/>
      <c r="Y134" s="137"/>
      <c r="Z134" s="137"/>
      <c r="AA134" s="137"/>
      <c r="AB134" s="137"/>
      <c r="AC134" s="137"/>
      <c r="AD134" s="137"/>
      <c r="AE134" s="137"/>
      <c r="AF134" s="137"/>
      <c r="AG134" s="124"/>
      <c r="AH134" s="124"/>
      <c r="AI134" s="124"/>
      <c r="AJ134" s="124"/>
      <c r="AK134" s="124"/>
      <c r="AL134" s="124"/>
      <c r="AM134" s="134"/>
      <c r="AN134" s="134"/>
      <c r="AO134" s="124"/>
      <c r="AP134" s="124"/>
      <c r="AQ134" s="124"/>
      <c r="AR134" s="124"/>
      <c r="AS134" s="124"/>
      <c r="AT134" s="124"/>
      <c r="AU134" s="124"/>
      <c r="AV134" s="125"/>
      <c r="AW134" s="74"/>
      <c r="AX134" s="75"/>
      <c r="AY134" s="75"/>
      <c r="AZ134" s="75"/>
      <c r="BA134" s="75"/>
      <c r="BC134" s="5"/>
    </row>
    <row r="135" spans="2:55" ht="12.75" customHeight="1">
      <c r="B135" s="72"/>
      <c r="C135" s="134"/>
      <c r="D135" s="134"/>
      <c r="E135" s="134"/>
      <c r="F135" s="134"/>
      <c r="G135" s="134"/>
      <c r="H135" s="73"/>
      <c r="I135" s="120"/>
      <c r="J135" s="124"/>
      <c r="K135" s="124"/>
      <c r="L135" s="124"/>
      <c r="M135" s="124"/>
      <c r="N135" s="124"/>
      <c r="O135" s="124"/>
      <c r="P135" s="124"/>
      <c r="Q135" s="137"/>
      <c r="R135" s="124"/>
      <c r="S135" s="124"/>
      <c r="T135" s="136"/>
      <c r="U135" s="124"/>
      <c r="V135" s="124"/>
      <c r="W135" s="124"/>
      <c r="X135" s="124"/>
      <c r="Y135" s="137"/>
      <c r="Z135" s="137"/>
      <c r="AA135" s="137"/>
      <c r="AB135" s="137"/>
      <c r="AC135" s="137"/>
      <c r="AD135" s="137"/>
      <c r="AE135" s="137"/>
      <c r="AF135" s="137"/>
      <c r="AG135" s="124"/>
      <c r="AH135" s="124"/>
      <c r="AI135" s="124"/>
      <c r="AJ135" s="124"/>
      <c r="AK135" s="124"/>
      <c r="AL135" s="124"/>
      <c r="AM135" s="134"/>
      <c r="AN135" s="134"/>
      <c r="AO135" s="124"/>
      <c r="AP135" s="124"/>
      <c r="AQ135" s="124"/>
      <c r="AR135" s="124"/>
      <c r="AS135" s="124"/>
      <c r="AT135" s="124"/>
      <c r="AU135" s="124"/>
      <c r="AV135" s="125"/>
      <c r="AW135" s="74"/>
      <c r="AX135" s="75"/>
      <c r="AY135" s="75"/>
      <c r="AZ135" s="75"/>
      <c r="BA135" s="75"/>
      <c r="BC135" s="5"/>
    </row>
    <row r="136" spans="2:55" ht="12.75" customHeight="1">
      <c r="B136" s="72"/>
      <c r="C136" s="134"/>
      <c r="D136" s="134"/>
      <c r="E136" s="134"/>
      <c r="F136" s="134"/>
      <c r="G136" s="134"/>
      <c r="H136" s="73"/>
      <c r="I136" s="120"/>
      <c r="J136" s="124"/>
      <c r="K136" s="124"/>
      <c r="L136" s="124"/>
      <c r="M136" s="124"/>
      <c r="N136" s="124"/>
      <c r="O136" s="124"/>
      <c r="P136" s="124"/>
      <c r="Q136" s="137"/>
      <c r="R136" s="124"/>
      <c r="S136" s="124"/>
      <c r="T136" s="136"/>
      <c r="U136" s="124"/>
      <c r="V136" s="124"/>
      <c r="W136" s="124"/>
      <c r="X136" s="124"/>
      <c r="Y136" s="137"/>
      <c r="Z136" s="137"/>
      <c r="AA136" s="137"/>
      <c r="AB136" s="137"/>
      <c r="AC136" s="137"/>
      <c r="AD136" s="137"/>
      <c r="AE136" s="137"/>
      <c r="AF136" s="137"/>
      <c r="AG136" s="124"/>
      <c r="AH136" s="124"/>
      <c r="AI136" s="124"/>
      <c r="AJ136" s="124"/>
      <c r="AK136" s="124"/>
      <c r="AL136" s="124"/>
      <c r="AM136" s="134"/>
      <c r="AN136" s="134"/>
      <c r="AO136" s="124"/>
      <c r="AP136" s="124"/>
      <c r="AQ136" s="124"/>
      <c r="AR136" s="124"/>
      <c r="AS136" s="124"/>
      <c r="AT136" s="124"/>
      <c r="AU136" s="124"/>
      <c r="AV136" s="125"/>
      <c r="AW136" s="74"/>
      <c r="AX136" s="75"/>
      <c r="AY136" s="75"/>
      <c r="AZ136" s="75"/>
      <c r="BA136" s="75"/>
      <c r="BC136" s="5"/>
    </row>
    <row r="137" spans="2:55" ht="12.75" customHeight="1">
      <c r="B137" s="9"/>
      <c r="C137" s="10"/>
      <c r="D137" s="10"/>
      <c r="E137" s="10"/>
      <c r="F137" s="10"/>
      <c r="G137" s="10"/>
      <c r="H137" s="11"/>
      <c r="I137" s="138"/>
      <c r="J137" s="12"/>
      <c r="K137" s="12"/>
      <c r="L137" s="12"/>
      <c r="M137" s="12"/>
      <c r="N137" s="12"/>
      <c r="O137" s="12"/>
      <c r="P137" s="12"/>
      <c r="Q137" s="13"/>
      <c r="R137" s="12"/>
      <c r="S137" s="12"/>
      <c r="T137" s="14"/>
      <c r="U137" s="12"/>
      <c r="V137" s="12"/>
      <c r="W137" s="12"/>
      <c r="X137" s="12"/>
      <c r="Y137" s="13"/>
      <c r="Z137" s="13"/>
      <c r="AA137" s="13"/>
      <c r="AB137" s="13"/>
      <c r="AC137" s="13"/>
      <c r="AD137" s="13"/>
      <c r="AE137" s="13"/>
      <c r="AF137" s="13"/>
      <c r="AG137" s="12"/>
      <c r="AH137" s="12"/>
      <c r="AI137" s="12"/>
      <c r="AJ137" s="12"/>
      <c r="AK137" s="12"/>
      <c r="AL137" s="12"/>
      <c r="AM137" s="15"/>
      <c r="AN137" s="15"/>
      <c r="AO137" s="12"/>
      <c r="AP137" s="12"/>
      <c r="AQ137" s="12"/>
      <c r="AR137" s="12"/>
      <c r="AS137" s="12"/>
      <c r="AT137" s="12"/>
      <c r="AU137" s="12"/>
      <c r="AV137" s="139"/>
      <c r="AW137" s="16"/>
      <c r="AX137" s="17"/>
      <c r="AY137" s="17"/>
      <c r="AZ137" s="17"/>
      <c r="BA137" s="17"/>
      <c r="BB137" s="17"/>
      <c r="BC137" s="18"/>
    </row>
    <row r="138" spans="2:55" ht="12.75" customHeight="1">
      <c r="B138" s="495"/>
      <c r="C138" s="454"/>
      <c r="D138" s="454"/>
      <c r="E138" s="454"/>
      <c r="F138" s="454"/>
      <c r="G138" s="454"/>
      <c r="H138" s="454"/>
      <c r="I138" s="454"/>
      <c r="J138" s="454"/>
      <c r="K138" s="454"/>
      <c r="L138" s="454"/>
      <c r="M138" s="454"/>
      <c r="N138" s="454"/>
      <c r="O138" s="454"/>
      <c r="P138" s="454"/>
      <c r="Q138" s="454"/>
      <c r="R138" s="454"/>
      <c r="S138" s="454"/>
      <c r="T138" s="454"/>
      <c r="U138" s="455"/>
      <c r="V138" s="478" t="s">
        <v>0</v>
      </c>
      <c r="W138" s="479"/>
      <c r="X138" s="479"/>
      <c r="Y138" s="479"/>
      <c r="Z138" s="479"/>
      <c r="AA138" s="479"/>
      <c r="AB138" s="479"/>
      <c r="AC138" s="479"/>
      <c r="AD138" s="479"/>
      <c r="AE138" s="479"/>
      <c r="AF138" s="479"/>
      <c r="AG138" s="479"/>
      <c r="AH138" s="479"/>
      <c r="AI138" s="479"/>
      <c r="AJ138" s="480"/>
      <c r="AK138" s="395" t="s">
        <v>1</v>
      </c>
      <c r="AL138" s="396"/>
      <c r="AM138" s="396"/>
      <c r="AN138" s="396"/>
      <c r="AO138" s="396"/>
      <c r="AP138" s="379" t="str">
        <f>$AP$2</f>
        <v>BB----</v>
      </c>
      <c r="AQ138" s="379"/>
      <c r="AR138" s="379"/>
      <c r="AS138" s="379"/>
      <c r="AT138" s="379"/>
      <c r="AU138" s="379"/>
      <c r="AV138" s="379"/>
      <c r="AW138" s="379"/>
      <c r="AX138" s="379"/>
      <c r="AY138" s="379"/>
      <c r="AZ138" s="379"/>
      <c r="BA138" s="379"/>
      <c r="BB138" s="379"/>
      <c r="BC138" s="380"/>
    </row>
    <row r="139" spans="2:55" ht="12.75" customHeight="1">
      <c r="B139" s="452"/>
      <c r="C139" s="453"/>
      <c r="D139" s="453"/>
      <c r="E139" s="453"/>
      <c r="F139" s="453"/>
      <c r="G139" s="453"/>
      <c r="H139" s="453"/>
      <c r="I139" s="453"/>
      <c r="J139" s="453"/>
      <c r="K139" s="453"/>
      <c r="L139" s="453"/>
      <c r="M139" s="453"/>
      <c r="N139" s="453"/>
      <c r="O139" s="453"/>
      <c r="P139" s="453"/>
      <c r="Q139" s="453"/>
      <c r="R139" s="453"/>
      <c r="S139" s="453"/>
      <c r="T139" s="453"/>
      <c r="U139" s="456"/>
      <c r="V139" s="481"/>
      <c r="W139" s="482"/>
      <c r="X139" s="482"/>
      <c r="Y139" s="482"/>
      <c r="Z139" s="482"/>
      <c r="AA139" s="482"/>
      <c r="AB139" s="482"/>
      <c r="AC139" s="482"/>
      <c r="AD139" s="482"/>
      <c r="AE139" s="482"/>
      <c r="AF139" s="482"/>
      <c r="AG139" s="482"/>
      <c r="AH139" s="482"/>
      <c r="AI139" s="482"/>
      <c r="AJ139" s="483"/>
      <c r="AK139" s="397"/>
      <c r="AL139" s="398"/>
      <c r="AM139" s="398"/>
      <c r="AN139" s="398"/>
      <c r="AO139" s="398"/>
      <c r="AP139" s="381"/>
      <c r="AQ139" s="381"/>
      <c r="AR139" s="381"/>
      <c r="AS139" s="381"/>
      <c r="AT139" s="381"/>
      <c r="AU139" s="381"/>
      <c r="AV139" s="381"/>
      <c r="AW139" s="381"/>
      <c r="AX139" s="381"/>
      <c r="AY139" s="381"/>
      <c r="AZ139" s="381"/>
      <c r="BA139" s="381"/>
      <c r="BB139" s="381"/>
      <c r="BC139" s="382"/>
    </row>
    <row r="140" spans="2:55" ht="12.75" customHeight="1">
      <c r="B140" s="452"/>
      <c r="C140" s="453"/>
      <c r="D140" s="453"/>
      <c r="E140" s="453"/>
      <c r="F140" s="453"/>
      <c r="G140" s="453"/>
      <c r="H140" s="453"/>
      <c r="I140" s="453"/>
      <c r="J140" s="453"/>
      <c r="K140" s="453"/>
      <c r="L140" s="453"/>
      <c r="M140" s="453"/>
      <c r="N140" s="453"/>
      <c r="O140" s="453"/>
      <c r="P140" s="453"/>
      <c r="Q140" s="453"/>
      <c r="R140" s="453"/>
      <c r="S140" s="453"/>
      <c r="T140" s="453"/>
      <c r="U140" s="456"/>
      <c r="V140" s="481"/>
      <c r="W140" s="482"/>
      <c r="X140" s="482"/>
      <c r="Y140" s="482"/>
      <c r="Z140" s="482"/>
      <c r="AA140" s="482"/>
      <c r="AB140" s="482"/>
      <c r="AC140" s="482"/>
      <c r="AD140" s="482"/>
      <c r="AE140" s="482"/>
      <c r="AF140" s="482"/>
      <c r="AG140" s="482"/>
      <c r="AH140" s="482"/>
      <c r="AI140" s="482"/>
      <c r="AJ140" s="483"/>
      <c r="AK140" s="358" t="s">
        <v>2</v>
      </c>
      <c r="AL140" s="359"/>
      <c r="AM140" s="359"/>
      <c r="AN140" s="359"/>
      <c r="AO140" s="359"/>
      <c r="AP140" s="381" t="str">
        <f>$AP$4</f>
        <v>TITLE</v>
      </c>
      <c r="AQ140" s="381"/>
      <c r="AR140" s="381"/>
      <c r="AS140" s="381"/>
      <c r="AT140" s="381"/>
      <c r="AU140" s="381"/>
      <c r="AV140" s="381"/>
      <c r="AW140" s="381"/>
      <c r="AX140" s="381"/>
      <c r="AY140" s="381"/>
      <c r="AZ140" s="381"/>
      <c r="BA140" s="381"/>
      <c r="BB140" s="381"/>
      <c r="BC140" s="382"/>
    </row>
    <row r="141" spans="2:55" ht="12.75" customHeight="1">
      <c r="B141" s="452"/>
      <c r="C141" s="453"/>
      <c r="D141" s="453"/>
      <c r="E141" s="453"/>
      <c r="F141" s="453"/>
      <c r="G141" s="453"/>
      <c r="H141" s="453"/>
      <c r="I141" s="453"/>
      <c r="J141" s="453"/>
      <c r="K141" s="453"/>
      <c r="L141" s="453"/>
      <c r="M141" s="453"/>
      <c r="N141" s="453"/>
      <c r="O141" s="453"/>
      <c r="P141" s="453"/>
      <c r="Q141" s="453"/>
      <c r="R141" s="453"/>
      <c r="S141" s="453"/>
      <c r="T141" s="453"/>
      <c r="U141" s="456"/>
      <c r="V141" s="481"/>
      <c r="W141" s="482"/>
      <c r="X141" s="482"/>
      <c r="Y141" s="482"/>
      <c r="Z141" s="482"/>
      <c r="AA141" s="482"/>
      <c r="AB141" s="482"/>
      <c r="AC141" s="482"/>
      <c r="AD141" s="482"/>
      <c r="AE141" s="482"/>
      <c r="AF141" s="482"/>
      <c r="AG141" s="482"/>
      <c r="AH141" s="482"/>
      <c r="AI141" s="482"/>
      <c r="AJ141" s="483"/>
      <c r="AK141" s="358"/>
      <c r="AL141" s="359"/>
      <c r="AM141" s="359"/>
      <c r="AN141" s="359"/>
      <c r="AO141" s="359"/>
      <c r="AP141" s="381"/>
      <c r="AQ141" s="381"/>
      <c r="AR141" s="381"/>
      <c r="AS141" s="381"/>
      <c r="AT141" s="381"/>
      <c r="AU141" s="381"/>
      <c r="AV141" s="381"/>
      <c r="AW141" s="381"/>
      <c r="AX141" s="381"/>
      <c r="AY141" s="381"/>
      <c r="AZ141" s="381"/>
      <c r="BA141" s="381"/>
      <c r="BB141" s="381"/>
      <c r="BC141" s="382"/>
    </row>
    <row r="142" spans="2:55" ht="12.75" customHeight="1">
      <c r="B142" s="452"/>
      <c r="C142" s="453"/>
      <c r="D142" s="453"/>
      <c r="E142" s="453"/>
      <c r="F142" s="453"/>
      <c r="G142" s="453"/>
      <c r="H142" s="453"/>
      <c r="I142" s="453"/>
      <c r="J142" s="453"/>
      <c r="K142" s="453"/>
      <c r="L142" s="453"/>
      <c r="M142" s="453"/>
      <c r="N142" s="453"/>
      <c r="O142" s="453"/>
      <c r="P142" s="453"/>
      <c r="Q142" s="453"/>
      <c r="R142" s="453"/>
      <c r="S142" s="453"/>
      <c r="T142" s="453"/>
      <c r="U142" s="456"/>
      <c r="V142" s="481"/>
      <c r="W142" s="482"/>
      <c r="X142" s="482"/>
      <c r="Y142" s="482"/>
      <c r="Z142" s="482"/>
      <c r="AA142" s="482"/>
      <c r="AB142" s="482"/>
      <c r="AC142" s="482"/>
      <c r="AD142" s="482"/>
      <c r="AE142" s="482"/>
      <c r="AF142" s="482"/>
      <c r="AG142" s="482"/>
      <c r="AH142" s="482"/>
      <c r="AI142" s="482"/>
      <c r="AJ142" s="483"/>
      <c r="AK142" s="401" t="s">
        <v>3</v>
      </c>
      <c r="AL142" s="401"/>
      <c r="AM142" s="401"/>
      <c r="AN142" s="401"/>
      <c r="AO142" s="401"/>
      <c r="AP142" s="381">
        <f>AP74+1</f>
        <v>3</v>
      </c>
      <c r="AQ142" s="381"/>
      <c r="AR142" s="381"/>
      <c r="AS142" s="381"/>
      <c r="AT142" s="381"/>
      <c r="AU142" s="381"/>
      <c r="AV142" s="381"/>
      <c r="AW142" s="381"/>
      <c r="AX142" s="381"/>
      <c r="AY142" s="381"/>
      <c r="AZ142" s="381"/>
      <c r="BA142" s="381"/>
      <c r="BB142" s="381"/>
      <c r="BC142" s="382"/>
    </row>
    <row r="143" spans="2:55" ht="12.75" customHeight="1">
      <c r="B143" s="452"/>
      <c r="C143" s="453"/>
      <c r="D143" s="453"/>
      <c r="E143" s="453"/>
      <c r="F143" s="453"/>
      <c r="G143" s="453"/>
      <c r="H143" s="453"/>
      <c r="I143" s="453"/>
      <c r="J143" s="453"/>
      <c r="K143" s="453"/>
      <c r="L143" s="453"/>
      <c r="M143" s="453"/>
      <c r="N143" s="453"/>
      <c r="O143" s="453"/>
      <c r="P143" s="453"/>
      <c r="Q143" s="453"/>
      <c r="R143" s="453"/>
      <c r="S143" s="453"/>
      <c r="T143" s="453"/>
      <c r="U143" s="456"/>
      <c r="V143" s="481"/>
      <c r="W143" s="482"/>
      <c r="X143" s="482"/>
      <c r="Y143" s="482"/>
      <c r="Z143" s="482"/>
      <c r="AA143" s="482"/>
      <c r="AB143" s="482"/>
      <c r="AC143" s="482"/>
      <c r="AD143" s="482"/>
      <c r="AE143" s="482"/>
      <c r="AF143" s="482"/>
      <c r="AG143" s="482"/>
      <c r="AH143" s="482"/>
      <c r="AI143" s="482"/>
      <c r="AJ143" s="483"/>
      <c r="AK143" s="401" t="s">
        <v>4</v>
      </c>
      <c r="AL143" s="401"/>
      <c r="AM143" s="401"/>
      <c r="AN143" s="401"/>
      <c r="AO143" s="401"/>
      <c r="AP143" s="383">
        <f ca="1">$AP$7</f>
        <v>45928</v>
      </c>
      <c r="AQ143" s="383"/>
      <c r="AR143" s="383"/>
      <c r="AS143" s="383"/>
      <c r="AT143" s="383"/>
      <c r="AU143" s="383"/>
      <c r="AV143" s="383"/>
      <c r="AW143" s="383"/>
      <c r="AX143" s="383"/>
      <c r="AY143" s="383"/>
      <c r="AZ143" s="383"/>
      <c r="BA143" s="383"/>
      <c r="BB143" s="383"/>
      <c r="BC143" s="384"/>
    </row>
    <row r="144" spans="2:55" ht="12.75" customHeight="1">
      <c r="B144" s="452"/>
      <c r="C144" s="453"/>
      <c r="D144" s="453"/>
      <c r="E144" s="453"/>
      <c r="F144" s="453"/>
      <c r="G144" s="453"/>
      <c r="H144" s="453"/>
      <c r="I144" s="453"/>
      <c r="J144" s="453"/>
      <c r="K144" s="453"/>
      <c r="L144" s="453"/>
      <c r="M144" s="453"/>
      <c r="N144" s="453"/>
      <c r="O144" s="453"/>
      <c r="P144" s="453"/>
      <c r="Q144" s="453"/>
      <c r="R144" s="453"/>
      <c r="S144" s="453"/>
      <c r="T144" s="453"/>
      <c r="U144" s="456"/>
      <c r="V144" s="481"/>
      <c r="W144" s="482"/>
      <c r="X144" s="482"/>
      <c r="Y144" s="482"/>
      <c r="Z144" s="482"/>
      <c r="AA144" s="482"/>
      <c r="AB144" s="482"/>
      <c r="AC144" s="482"/>
      <c r="AD144" s="482"/>
      <c r="AE144" s="482"/>
      <c r="AF144" s="482"/>
      <c r="AG144" s="482"/>
      <c r="AH144" s="482"/>
      <c r="AI144" s="482"/>
      <c r="AJ144" s="483"/>
      <c r="AK144" s="401" t="s">
        <v>5</v>
      </c>
      <c r="AL144" s="401"/>
      <c r="AM144" s="401"/>
      <c r="AN144" s="401"/>
      <c r="AO144" s="401"/>
      <c r="AP144" s="381" t="str">
        <f>$AP$8</f>
        <v>AB</v>
      </c>
      <c r="AQ144" s="381"/>
      <c r="AR144" s="381"/>
      <c r="AS144" s="381"/>
      <c r="AT144" s="381"/>
      <c r="AU144" s="381"/>
      <c r="AV144" s="381"/>
      <c r="AW144" s="381"/>
      <c r="AX144" s="381"/>
      <c r="AY144" s="381"/>
      <c r="AZ144" s="381"/>
      <c r="BA144" s="381"/>
      <c r="BB144" s="381"/>
      <c r="BC144" s="382"/>
    </row>
    <row r="145" spans="2:55" ht="12.75" customHeight="1">
      <c r="B145" s="457"/>
      <c r="C145" s="458"/>
      <c r="D145" s="458"/>
      <c r="E145" s="458"/>
      <c r="F145" s="458"/>
      <c r="G145" s="458"/>
      <c r="H145" s="458"/>
      <c r="I145" s="458"/>
      <c r="J145" s="458"/>
      <c r="K145" s="458"/>
      <c r="L145" s="458"/>
      <c r="M145" s="458"/>
      <c r="N145" s="458"/>
      <c r="O145" s="458"/>
      <c r="P145" s="458"/>
      <c r="Q145" s="458"/>
      <c r="R145" s="458"/>
      <c r="S145" s="458"/>
      <c r="T145" s="458"/>
      <c r="U145" s="459"/>
      <c r="V145" s="484"/>
      <c r="W145" s="485"/>
      <c r="X145" s="485"/>
      <c r="Y145" s="485"/>
      <c r="Z145" s="485"/>
      <c r="AA145" s="485"/>
      <c r="AB145" s="485"/>
      <c r="AC145" s="485"/>
      <c r="AD145" s="485"/>
      <c r="AE145" s="485"/>
      <c r="AF145" s="485"/>
      <c r="AG145" s="485"/>
      <c r="AH145" s="485"/>
      <c r="AI145" s="485"/>
      <c r="AJ145" s="486"/>
      <c r="AK145" s="460" t="s">
        <v>6</v>
      </c>
      <c r="AL145" s="460"/>
      <c r="AM145" s="460"/>
      <c r="AN145" s="460"/>
      <c r="AO145" s="460"/>
      <c r="AP145" s="386" t="str">
        <f>$AP$9</f>
        <v xml:space="preserve">CAT I / II </v>
      </c>
      <c r="AQ145" s="386"/>
      <c r="AR145" s="386"/>
      <c r="AS145" s="386"/>
      <c r="AT145" s="386"/>
      <c r="AU145" s="386"/>
      <c r="AV145" s="386"/>
      <c r="AW145" s="386"/>
      <c r="AX145" s="386"/>
      <c r="AY145" s="386"/>
      <c r="AZ145" s="386"/>
      <c r="BA145" s="386"/>
      <c r="BB145" s="386"/>
      <c r="BC145" s="387"/>
    </row>
    <row r="146" spans="2:55" ht="12.75" customHeight="1">
      <c r="B146" s="360" t="s">
        <v>7</v>
      </c>
      <c r="C146" s="361"/>
      <c r="D146" s="361"/>
      <c r="E146" s="361"/>
      <c r="F146" s="361"/>
      <c r="G146" s="361"/>
      <c r="H146" s="361"/>
      <c r="I146" s="361"/>
      <c r="J146" s="361"/>
      <c r="K146" s="361"/>
      <c r="L146" s="361"/>
      <c r="M146" s="361"/>
      <c r="N146" s="361"/>
      <c r="O146" s="361"/>
      <c r="P146" s="361"/>
      <c r="Q146" s="361"/>
      <c r="R146" s="361"/>
      <c r="S146" s="361"/>
      <c r="T146" s="361"/>
      <c r="U146" s="361"/>
      <c r="V146" s="361"/>
      <c r="W146" s="361"/>
      <c r="X146" s="361"/>
      <c r="Y146" s="361"/>
      <c r="Z146" s="361"/>
      <c r="AA146" s="361"/>
      <c r="AB146" s="361"/>
      <c r="AC146" s="361"/>
      <c r="AD146" s="361"/>
      <c r="AE146" s="361"/>
      <c r="AF146" s="361"/>
      <c r="AG146" s="361"/>
      <c r="AH146" s="361"/>
      <c r="AI146" s="361"/>
      <c r="AJ146" s="361"/>
      <c r="AK146" s="361"/>
      <c r="AL146" s="361"/>
      <c r="AM146" s="361"/>
      <c r="AN146" s="361"/>
      <c r="AO146" s="361"/>
      <c r="AP146" s="361"/>
      <c r="AQ146" s="361"/>
      <c r="AR146" s="361"/>
      <c r="AS146" s="361"/>
      <c r="AT146" s="361"/>
      <c r="AU146" s="361"/>
      <c r="AV146" s="361"/>
      <c r="AW146" s="361"/>
      <c r="AX146" s="361"/>
      <c r="AY146" s="361"/>
      <c r="AZ146" s="361"/>
      <c r="BA146" s="361"/>
      <c r="BB146" s="361"/>
      <c r="BC146" s="362"/>
    </row>
    <row r="147" spans="2:55" ht="12.75" customHeight="1">
      <c r="B147" s="363"/>
      <c r="C147" s="364"/>
      <c r="D147" s="364"/>
      <c r="E147" s="364"/>
      <c r="F147" s="364"/>
      <c r="G147" s="364"/>
      <c r="H147" s="364"/>
      <c r="I147" s="364"/>
      <c r="J147" s="364"/>
      <c r="K147" s="364"/>
      <c r="L147" s="364"/>
      <c r="M147" s="364"/>
      <c r="N147" s="364"/>
      <c r="O147" s="364"/>
      <c r="P147" s="364"/>
      <c r="Q147" s="364"/>
      <c r="R147" s="364"/>
      <c r="S147" s="364"/>
      <c r="T147" s="364"/>
      <c r="U147" s="364"/>
      <c r="V147" s="364"/>
      <c r="W147" s="364"/>
      <c r="X147" s="364"/>
      <c r="Y147" s="364"/>
      <c r="Z147" s="364"/>
      <c r="AA147" s="364"/>
      <c r="AB147" s="364"/>
      <c r="AC147" s="364"/>
      <c r="AD147" s="364"/>
      <c r="AE147" s="364"/>
      <c r="AF147" s="364"/>
      <c r="AG147" s="364"/>
      <c r="AH147" s="364"/>
      <c r="AI147" s="364"/>
      <c r="AJ147" s="364"/>
      <c r="AK147" s="364"/>
      <c r="AL147" s="364"/>
      <c r="AM147" s="364"/>
      <c r="AN147" s="364"/>
      <c r="AO147" s="364"/>
      <c r="AP147" s="364"/>
      <c r="AQ147" s="364"/>
      <c r="AR147" s="364"/>
      <c r="AS147" s="364"/>
      <c r="AT147" s="364"/>
      <c r="AU147" s="364"/>
      <c r="AV147" s="364"/>
      <c r="AW147" s="364"/>
      <c r="AX147" s="364"/>
      <c r="AY147" s="364"/>
      <c r="AZ147" s="364"/>
      <c r="BA147" s="364"/>
      <c r="BB147" s="364"/>
      <c r="BC147" s="365"/>
    </row>
    <row r="148" spans="2:55" ht="12.75" customHeight="1">
      <c r="B148" s="376"/>
      <c r="C148" s="377"/>
      <c r="D148" s="377"/>
      <c r="E148" s="377"/>
      <c r="F148" s="377"/>
      <c r="G148" s="377"/>
      <c r="H148" s="377"/>
      <c r="I148" s="377"/>
      <c r="J148" s="377"/>
      <c r="K148" s="377"/>
      <c r="L148" s="377"/>
      <c r="M148" s="377"/>
      <c r="N148" s="377"/>
      <c r="O148" s="377"/>
      <c r="P148" s="377"/>
      <c r="Q148" s="377"/>
      <c r="R148" s="377"/>
      <c r="S148" s="377"/>
      <c r="T148" s="377"/>
      <c r="U148" s="377"/>
      <c r="V148" s="377"/>
      <c r="W148" s="377"/>
      <c r="X148" s="377"/>
      <c r="Y148" s="377"/>
      <c r="Z148" s="377"/>
      <c r="AA148" s="377"/>
      <c r="AB148" s="377"/>
      <c r="AC148" s="377"/>
      <c r="AD148" s="377"/>
      <c r="AE148" s="377"/>
      <c r="AF148" s="377"/>
      <c r="AG148" s="377"/>
      <c r="AH148" s="377"/>
      <c r="AI148" s="377"/>
      <c r="AJ148" s="377"/>
      <c r="AK148" s="377"/>
      <c r="AL148" s="377"/>
      <c r="AM148" s="377"/>
      <c r="AN148" s="377"/>
      <c r="AO148" s="377"/>
      <c r="AP148" s="377"/>
      <c r="AQ148" s="377"/>
      <c r="AR148" s="377"/>
      <c r="AS148" s="377"/>
      <c r="AT148" s="377"/>
      <c r="AU148" s="377"/>
      <c r="AV148" s="377"/>
      <c r="AW148" s="377"/>
      <c r="AX148" s="377"/>
      <c r="AY148" s="377"/>
      <c r="AZ148" s="377"/>
      <c r="BA148" s="377"/>
      <c r="BB148" s="377"/>
      <c r="BC148" s="378"/>
    </row>
    <row r="149" spans="2:55" ht="12.75" customHeight="1">
      <c r="B149" s="428" t="s">
        <v>8</v>
      </c>
      <c r="C149" s="428"/>
      <c r="D149" s="428"/>
      <c r="E149" s="428"/>
      <c r="F149" s="428"/>
      <c r="G149" s="428"/>
      <c r="H149" s="428"/>
      <c r="I149" s="192"/>
      <c r="J149" s="193" t="s">
        <v>197</v>
      </c>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194"/>
      <c r="AK149" s="194"/>
      <c r="AL149" s="194"/>
      <c r="AM149" s="194"/>
      <c r="AN149" s="195"/>
      <c r="AO149" s="195"/>
      <c r="AP149" s="195"/>
      <c r="AQ149" s="195"/>
      <c r="AR149" s="195"/>
      <c r="AS149" s="195"/>
      <c r="AT149" s="196"/>
      <c r="AU149" s="197"/>
      <c r="AV149" s="198"/>
      <c r="AW149" s="429" t="s">
        <v>9</v>
      </c>
      <c r="AX149" s="429"/>
      <c r="AY149" s="429"/>
      <c r="AZ149" s="429"/>
      <c r="BA149" s="429"/>
      <c r="BB149" s="429"/>
      <c r="BC149" s="429"/>
    </row>
    <row r="150" spans="2:55" ht="12.75" customHeight="1">
      <c r="B150" s="252"/>
      <c r="C150" s="253"/>
      <c r="D150" s="253"/>
      <c r="E150" s="253"/>
      <c r="F150" s="253"/>
      <c r="G150" s="253"/>
      <c r="H150" s="254"/>
      <c r="I150" s="199"/>
      <c r="J150" s="527" t="str">
        <f>"The specified plant will be assumed to provide a surcharge of " &amp; TEXT(V151,"0") &amp; " Te."</f>
        <v>The specified plant will be assumed to provide a surcharge of 30 Te.</v>
      </c>
      <c r="K150" s="527"/>
      <c r="L150" s="527"/>
      <c r="M150" s="527"/>
      <c r="N150" s="527"/>
      <c r="O150" s="527"/>
      <c r="P150" s="527"/>
      <c r="Q150" s="527"/>
      <c r="R150" s="527"/>
      <c r="S150" s="527"/>
      <c r="T150" s="527"/>
      <c r="U150" s="527"/>
      <c r="V150" s="527"/>
      <c r="W150" s="527"/>
      <c r="X150" s="527"/>
      <c r="Y150" s="527"/>
      <c r="Z150" s="527"/>
      <c r="AA150" s="527"/>
      <c r="AB150" s="527"/>
      <c r="AC150" s="527"/>
      <c r="AD150" s="527"/>
      <c r="AE150" s="527"/>
      <c r="AF150" s="527"/>
      <c r="AG150" s="527"/>
      <c r="AH150" s="527"/>
      <c r="AI150" s="527"/>
      <c r="AJ150" s="527"/>
      <c r="AK150" s="527"/>
      <c r="AL150" s="527"/>
      <c r="AM150" s="527"/>
      <c r="AN150" s="527"/>
      <c r="AO150" s="527"/>
      <c r="AP150" s="527"/>
      <c r="AQ150" s="527"/>
      <c r="AR150" s="527"/>
      <c r="AS150" s="527"/>
      <c r="AT150" s="527"/>
      <c r="AU150" s="527"/>
      <c r="AV150" s="201"/>
      <c r="AW150" s="202"/>
      <c r="AX150" s="203"/>
      <c r="AY150" s="203"/>
      <c r="AZ150" s="203"/>
      <c r="BA150" s="203"/>
      <c r="BB150" s="203"/>
      <c r="BC150" s="204"/>
    </row>
    <row r="151" spans="2:55" ht="12.75" customHeight="1">
      <c r="B151" s="255"/>
      <c r="C151" s="213"/>
      <c r="D151" s="213"/>
      <c r="E151" s="213"/>
      <c r="F151" s="213"/>
      <c r="G151" s="213"/>
      <c r="H151" s="256"/>
      <c r="I151" s="210"/>
      <c r="J151" s="211" t="s">
        <v>322</v>
      </c>
      <c r="K151" s="206"/>
      <c r="L151" s="206"/>
      <c r="M151" s="206"/>
      <c r="N151" s="206"/>
      <c r="O151" s="206"/>
      <c r="P151" s="206"/>
      <c r="Q151" s="206"/>
      <c r="R151" s="206"/>
      <c r="S151" s="206"/>
      <c r="T151" s="206"/>
      <c r="U151" s="211" t="s">
        <v>95</v>
      </c>
      <c r="V151" s="515">
        <v>30</v>
      </c>
      <c r="W151" s="515"/>
      <c r="X151" s="515"/>
      <c r="Y151" s="515"/>
      <c r="Z151" s="515"/>
      <c r="AA151" s="206"/>
      <c r="AB151" s="206"/>
      <c r="AC151" s="206"/>
      <c r="AD151" s="206"/>
      <c r="AE151" s="176"/>
      <c r="AF151" s="206"/>
      <c r="AG151" s="206"/>
      <c r="AH151" s="206"/>
      <c r="AI151" s="206"/>
      <c r="AJ151" s="206"/>
      <c r="AK151" s="206"/>
      <c r="AL151" s="206"/>
      <c r="AM151" s="206"/>
      <c r="AN151" s="177"/>
      <c r="AO151" s="177"/>
      <c r="AP151" s="177"/>
      <c r="AQ151" s="177"/>
      <c r="AR151" s="177"/>
      <c r="AS151" s="177"/>
      <c r="AT151" s="177"/>
      <c r="AU151" s="177"/>
      <c r="AV151" s="201"/>
      <c r="AW151" s="207"/>
      <c r="AX151" s="208"/>
      <c r="AY151" s="208"/>
      <c r="AZ151" s="208"/>
      <c r="BA151" s="208"/>
      <c r="BB151" s="208"/>
      <c r="BC151" s="209"/>
    </row>
    <row r="152" spans="2:55" ht="12.75" customHeight="1">
      <c r="B152" s="255"/>
      <c r="C152" s="213"/>
      <c r="D152" s="213"/>
      <c r="E152" s="213"/>
      <c r="F152" s="213"/>
      <c r="G152" s="213"/>
      <c r="H152" s="256"/>
      <c r="I152" s="199"/>
      <c r="J152" s="212" t="s">
        <v>247</v>
      </c>
      <c r="K152" s="211"/>
      <c r="L152" s="211"/>
      <c r="M152" s="211"/>
      <c r="N152" s="211"/>
      <c r="O152" s="211"/>
      <c r="P152" s="211"/>
      <c r="Q152" s="211"/>
      <c r="R152" s="208"/>
      <c r="S152" s="208"/>
      <c r="T152" s="208"/>
      <c r="U152" s="211" t="s">
        <v>95</v>
      </c>
      <c r="V152" s="442">
        <f>V151*9.81</f>
        <v>294.3</v>
      </c>
      <c r="W152" s="421"/>
      <c r="X152" s="421"/>
      <c r="Y152" s="421"/>
      <c r="Z152" s="421"/>
      <c r="AA152" s="208"/>
      <c r="AB152" s="208"/>
      <c r="AC152" s="206"/>
      <c r="AD152" s="206"/>
      <c r="AE152" s="176"/>
      <c r="AF152" s="206"/>
      <c r="AG152" s="206"/>
      <c r="AH152" s="206"/>
      <c r="AI152" s="176"/>
      <c r="AJ152" s="213"/>
      <c r="AK152" s="176"/>
      <c r="AL152" s="206"/>
      <c r="AM152" s="206"/>
      <c r="AN152" s="177"/>
      <c r="AO152" s="208"/>
      <c r="AP152" s="208"/>
      <c r="AQ152" s="208"/>
      <c r="AR152" s="208"/>
      <c r="AS152" s="208"/>
      <c r="AT152" s="177"/>
      <c r="AU152" s="177"/>
      <c r="AV152" s="201"/>
      <c r="AW152" s="207"/>
      <c r="AX152" s="208"/>
      <c r="AY152" s="208"/>
      <c r="AZ152" s="208"/>
      <c r="BA152" s="208"/>
      <c r="BB152" s="208"/>
      <c r="BC152" s="209"/>
    </row>
    <row r="153" spans="2:55" ht="12.75" customHeight="1">
      <c r="B153" s="255"/>
      <c r="C153" s="213"/>
      <c r="D153" s="213"/>
      <c r="E153" s="213"/>
      <c r="F153" s="213"/>
      <c r="G153" s="213"/>
      <c r="H153" s="256"/>
      <c r="I153" s="199"/>
      <c r="J153" s="180" t="s">
        <v>206</v>
      </c>
      <c r="K153" s="185"/>
      <c r="L153" s="180"/>
      <c r="M153" s="180"/>
      <c r="N153" s="180"/>
      <c r="O153" s="180"/>
      <c r="P153" s="180"/>
      <c r="Q153" s="214"/>
      <c r="R153" s="180"/>
      <c r="S153" s="180"/>
      <c r="T153" s="215"/>
      <c r="U153" s="216" t="s">
        <v>95</v>
      </c>
      <c r="V153" s="422">
        <f>AN85</f>
        <v>5.61</v>
      </c>
      <c r="W153" s="423"/>
      <c r="X153" s="423"/>
      <c r="Y153" s="423"/>
      <c r="Z153" s="424"/>
      <c r="AA153" s="208"/>
      <c r="AB153" s="214"/>
      <c r="AC153" s="214"/>
      <c r="AD153" s="214"/>
      <c r="AE153" s="185"/>
      <c r="AF153" s="214"/>
      <c r="AG153" s="185"/>
      <c r="AH153" s="185"/>
      <c r="AI153" s="185"/>
      <c r="AJ153" s="190"/>
      <c r="AK153" s="185"/>
      <c r="AL153" s="185"/>
      <c r="AM153" s="206"/>
      <c r="AN153" s="178"/>
      <c r="AO153" s="208"/>
      <c r="AP153" s="208"/>
      <c r="AQ153" s="208"/>
      <c r="AR153" s="208"/>
      <c r="AS153" s="208"/>
      <c r="AT153" s="179"/>
      <c r="AU153" s="180"/>
      <c r="AV153" s="201"/>
      <c r="AW153" s="207"/>
      <c r="AX153" s="208"/>
      <c r="AY153" s="208"/>
      <c r="AZ153" s="208"/>
      <c r="BA153" s="208"/>
      <c r="BB153" s="208"/>
      <c r="BC153" s="209"/>
    </row>
    <row r="154" spans="2:55" ht="12.75" customHeight="1">
      <c r="B154" s="207"/>
      <c r="C154" s="208"/>
      <c r="D154" s="208"/>
      <c r="E154" s="208"/>
      <c r="F154" s="208"/>
      <c r="G154" s="208"/>
      <c r="H154" s="257"/>
      <c r="I154" s="210"/>
      <c r="J154" s="180" t="s">
        <v>207</v>
      </c>
      <c r="K154" s="185"/>
      <c r="L154" s="180"/>
      <c r="M154" s="180"/>
      <c r="N154" s="180"/>
      <c r="O154" s="180"/>
      <c r="P154" s="180"/>
      <c r="Q154" s="214"/>
      <c r="R154" s="180"/>
      <c r="S154" s="180"/>
      <c r="T154" s="215"/>
      <c r="U154" s="216" t="s">
        <v>95</v>
      </c>
      <c r="V154" s="422">
        <f>2.81</f>
        <v>2.81</v>
      </c>
      <c r="W154" s="423"/>
      <c r="X154" s="423"/>
      <c r="Y154" s="423"/>
      <c r="Z154" s="424"/>
      <c r="AA154" s="208"/>
      <c r="AB154" s="214"/>
      <c r="AC154" s="214"/>
      <c r="AD154" s="214"/>
      <c r="AE154" s="185"/>
      <c r="AF154" s="216"/>
      <c r="AG154" s="185"/>
      <c r="AH154" s="185"/>
      <c r="AI154" s="185"/>
      <c r="AJ154" s="190"/>
      <c r="AK154" s="185"/>
      <c r="AL154" s="185"/>
      <c r="AM154" s="185"/>
      <c r="AN154" s="185"/>
      <c r="AO154" s="185"/>
      <c r="AP154" s="185"/>
      <c r="AQ154" s="185"/>
      <c r="AR154" s="185"/>
      <c r="AS154" s="178"/>
      <c r="AT154" s="179"/>
      <c r="AU154" s="180"/>
      <c r="AV154" s="201"/>
      <c r="AW154" s="207"/>
      <c r="AX154" s="208"/>
      <c r="AY154" s="208"/>
      <c r="AZ154" s="208"/>
      <c r="BA154" s="208"/>
      <c r="BB154" s="208"/>
      <c r="BC154" s="209"/>
    </row>
    <row r="155" spans="2:55" ht="12.75" customHeight="1">
      <c r="B155" s="258"/>
      <c r="C155" s="185"/>
      <c r="D155" s="185"/>
      <c r="E155" s="185"/>
      <c r="F155" s="185"/>
      <c r="G155" s="185"/>
      <c r="H155" s="209"/>
      <c r="I155" s="210"/>
      <c r="J155" s="180" t="s">
        <v>208</v>
      </c>
      <c r="K155" s="185"/>
      <c r="L155" s="180"/>
      <c r="M155" s="180"/>
      <c r="N155" s="180"/>
      <c r="O155" s="180"/>
      <c r="P155" s="180"/>
      <c r="Q155" s="214"/>
      <c r="R155" s="180"/>
      <c r="S155" s="180"/>
      <c r="T155" s="215"/>
      <c r="U155" s="216" t="s">
        <v>95</v>
      </c>
      <c r="V155" s="516">
        <f>V153*V154</f>
        <v>15.764100000000001</v>
      </c>
      <c r="W155" s="517"/>
      <c r="X155" s="517"/>
      <c r="Y155" s="517"/>
      <c r="Z155" s="518"/>
      <c r="AA155" s="208"/>
      <c r="AB155" s="214"/>
      <c r="AC155" s="214"/>
      <c r="AD155" s="214"/>
      <c r="AE155" s="185"/>
      <c r="AF155" s="214"/>
      <c r="AG155" s="185"/>
      <c r="AH155" s="185"/>
      <c r="AI155" s="185"/>
      <c r="AJ155" s="190"/>
      <c r="AK155" s="185"/>
      <c r="AL155" s="185"/>
      <c r="AM155" s="185"/>
      <c r="AN155" s="185"/>
      <c r="AO155" s="185"/>
      <c r="AP155" s="185"/>
      <c r="AQ155" s="185"/>
      <c r="AR155" s="185"/>
      <c r="AS155" s="178"/>
      <c r="AT155" s="179"/>
      <c r="AU155" s="180"/>
      <c r="AV155" s="201"/>
      <c r="AW155" s="207"/>
      <c r="AX155" s="208"/>
      <c r="AY155" s="208"/>
      <c r="AZ155" s="208"/>
      <c r="BA155" s="208"/>
      <c r="BB155" s="208"/>
      <c r="BC155" s="209"/>
    </row>
    <row r="156" spans="2:55" ht="12.75" customHeight="1">
      <c r="B156" s="258"/>
      <c r="C156" s="185"/>
      <c r="D156" s="185"/>
      <c r="E156" s="185"/>
      <c r="F156" s="185"/>
      <c r="G156" s="185"/>
      <c r="H156" s="209"/>
      <c r="I156" s="210"/>
      <c r="J156" s="211" t="s">
        <v>291</v>
      </c>
      <c r="K156" s="179"/>
      <c r="L156" s="179"/>
      <c r="M156" s="179"/>
      <c r="N156" s="179"/>
      <c r="O156" s="179"/>
      <c r="P156" s="179"/>
      <c r="Q156" s="179"/>
      <c r="R156" s="179"/>
      <c r="S156" s="180"/>
      <c r="T156" s="215"/>
      <c r="U156" s="217" t="s">
        <v>95</v>
      </c>
      <c r="V156" s="519">
        <v>64</v>
      </c>
      <c r="W156" s="519"/>
      <c r="X156" s="519"/>
      <c r="Y156" s="519"/>
      <c r="Z156" s="519"/>
      <c r="AA156" s="179"/>
      <c r="AB156" s="179"/>
      <c r="AC156" s="179"/>
      <c r="AD156" s="179"/>
      <c r="AE156" s="179"/>
      <c r="AF156" s="179"/>
      <c r="AG156" s="179"/>
      <c r="AH156" s="179"/>
      <c r="AI156" s="179"/>
      <c r="AJ156" s="179"/>
      <c r="AK156" s="179"/>
      <c r="AL156" s="179"/>
      <c r="AM156" s="179"/>
      <c r="AN156" s="179"/>
      <c r="AO156" s="179"/>
      <c r="AP156" s="179"/>
      <c r="AQ156" s="178"/>
      <c r="AR156" s="178"/>
      <c r="AS156" s="178"/>
      <c r="AT156" s="179"/>
      <c r="AU156" s="180"/>
      <c r="AV156" s="201"/>
      <c r="AW156" s="207"/>
      <c r="AX156" s="208"/>
      <c r="AY156" s="208"/>
      <c r="AZ156" s="208"/>
      <c r="BA156" s="208"/>
      <c r="BB156" s="208"/>
      <c r="BC156" s="209"/>
    </row>
    <row r="157" spans="2:55" ht="12.75" customHeight="1">
      <c r="B157" s="258"/>
      <c r="C157" s="185"/>
      <c r="D157" s="185"/>
      <c r="E157" s="185"/>
      <c r="F157" s="185"/>
      <c r="G157" s="185"/>
      <c r="H157" s="209"/>
      <c r="I157" s="210"/>
      <c r="J157" s="218" t="s">
        <v>96</v>
      </c>
      <c r="K157" s="219"/>
      <c r="L157" s="219"/>
      <c r="M157" s="219"/>
      <c r="N157" s="219"/>
      <c r="O157" s="219"/>
      <c r="P157" s="219"/>
      <c r="Q157" s="219"/>
      <c r="R157" s="219"/>
      <c r="S157" s="180"/>
      <c r="T157" s="215"/>
      <c r="U157" s="217" t="s">
        <v>95</v>
      </c>
      <c r="V157" s="391" t="s">
        <v>198</v>
      </c>
      <c r="W157" s="391"/>
      <c r="X157" s="391"/>
      <c r="Y157" s="391"/>
      <c r="Z157" s="391"/>
      <c r="AA157" s="220"/>
      <c r="AB157" s="179"/>
      <c r="AC157" s="179"/>
      <c r="AD157" s="179"/>
      <c r="AE157" s="179"/>
      <c r="AF157" s="179"/>
      <c r="AG157" s="179"/>
      <c r="AH157" s="179"/>
      <c r="AI157" s="179"/>
      <c r="AJ157" s="179"/>
      <c r="AK157" s="179"/>
      <c r="AL157" s="179"/>
      <c r="AM157" s="179"/>
      <c r="AN157" s="177"/>
      <c r="AO157" s="177"/>
      <c r="AP157" s="177"/>
      <c r="AQ157" s="177"/>
      <c r="AR157" s="177"/>
      <c r="AS157" s="177"/>
      <c r="AT157" s="177"/>
      <c r="AU157" s="177"/>
      <c r="AV157" s="201"/>
      <c r="AW157" s="207"/>
      <c r="AX157" s="208"/>
      <c r="AY157" s="208"/>
      <c r="AZ157" s="208"/>
      <c r="BA157" s="208"/>
      <c r="BB157" s="208"/>
      <c r="BC157" s="209"/>
    </row>
    <row r="158" spans="2:55" ht="12.75" customHeight="1">
      <c r="B158" s="388" t="s">
        <v>221</v>
      </c>
      <c r="C158" s="388"/>
      <c r="D158" s="388"/>
      <c r="E158" s="388"/>
      <c r="F158" s="388"/>
      <c r="G158" s="388"/>
      <c r="H158" s="388"/>
      <c r="I158" s="210"/>
      <c r="J158" s="221" t="s">
        <v>288</v>
      </c>
      <c r="K158" s="206"/>
      <c r="L158" s="206"/>
      <c r="M158" s="206"/>
      <c r="N158" s="206"/>
      <c r="O158" s="206"/>
      <c r="P158" s="206"/>
      <c r="Q158" s="206"/>
      <c r="R158" s="206"/>
      <c r="S158" s="206"/>
      <c r="T158" s="206"/>
      <c r="U158" s="206"/>
      <c r="V158" s="206"/>
      <c r="W158" s="206"/>
      <c r="Y158" s="208"/>
      <c r="Z158" s="208"/>
      <c r="AA158" s="208"/>
      <c r="AB158" s="208"/>
      <c r="AC158" s="208"/>
      <c r="AD158" s="208"/>
      <c r="AE158" s="208"/>
      <c r="AF158" s="206"/>
      <c r="AG158" s="206"/>
      <c r="AH158" s="206"/>
      <c r="AI158" s="206"/>
      <c r="AJ158" s="206"/>
      <c r="AK158" s="206"/>
      <c r="AL158" s="217" t="s">
        <v>95</v>
      </c>
      <c r="AM158" s="441">
        <v>25</v>
      </c>
      <c r="AN158" s="441"/>
      <c r="AO158" s="441"/>
      <c r="AP158" s="441"/>
      <c r="AQ158" s="441"/>
      <c r="AR158" s="441"/>
      <c r="AS158" s="441"/>
      <c r="AT158" s="177"/>
      <c r="AU158" s="177"/>
      <c r="AV158" s="201"/>
      <c r="AW158" s="207"/>
      <c r="AX158" s="208"/>
      <c r="AY158" s="208"/>
      <c r="AZ158" s="208"/>
      <c r="BA158" s="208"/>
      <c r="BB158" s="208"/>
      <c r="BC158" s="209"/>
    </row>
    <row r="159" spans="2:55" ht="12.75" customHeight="1">
      <c r="B159" s="388"/>
      <c r="C159" s="388"/>
      <c r="D159" s="388"/>
      <c r="E159" s="388"/>
      <c r="F159" s="388"/>
      <c r="G159" s="388"/>
      <c r="H159" s="388"/>
      <c r="I159" s="199"/>
      <c r="J159" s="221" t="s">
        <v>289</v>
      </c>
      <c r="K159" s="206"/>
      <c r="L159" s="206"/>
      <c r="M159" s="206"/>
      <c r="N159" s="206"/>
      <c r="O159" s="206"/>
      <c r="P159" s="206"/>
      <c r="Q159" s="206"/>
      <c r="R159" s="206"/>
      <c r="S159" s="206"/>
      <c r="T159" s="206"/>
      <c r="U159" s="206"/>
      <c r="V159" s="206"/>
      <c r="W159" s="206"/>
      <c r="Y159" s="208"/>
      <c r="Z159" s="208"/>
      <c r="AA159" s="208"/>
      <c r="AB159" s="208"/>
      <c r="AC159" s="208"/>
      <c r="AD159" s="208"/>
      <c r="AE159" s="208"/>
      <c r="AF159" s="222"/>
      <c r="AG159" s="206"/>
      <c r="AH159" s="206"/>
      <c r="AI159" s="206"/>
      <c r="AJ159" s="206"/>
      <c r="AK159" s="206"/>
      <c r="AL159" s="217" t="s">
        <v>95</v>
      </c>
      <c r="AM159" s="441">
        <v>32</v>
      </c>
      <c r="AN159" s="441"/>
      <c r="AO159" s="441"/>
      <c r="AP159" s="441"/>
      <c r="AQ159" s="441"/>
      <c r="AR159" s="441"/>
      <c r="AS159" s="441"/>
      <c r="AT159" s="177"/>
      <c r="AU159" s="177"/>
      <c r="AV159" s="201"/>
      <c r="AW159" s="207"/>
      <c r="AX159" s="208"/>
      <c r="AY159" s="208"/>
      <c r="AZ159" s="208"/>
      <c r="BA159" s="208"/>
      <c r="BB159" s="208"/>
      <c r="BC159" s="209"/>
    </row>
    <row r="160" spans="2:55" ht="12.75" customHeight="1">
      <c r="B160" s="388"/>
      <c r="C160" s="388"/>
      <c r="D160" s="388"/>
      <c r="E160" s="388"/>
      <c r="F160" s="388"/>
      <c r="G160" s="388"/>
      <c r="H160" s="388"/>
      <c r="I160" s="210"/>
      <c r="J160" s="221" t="s">
        <v>290</v>
      </c>
      <c r="K160" s="206"/>
      <c r="L160" s="206"/>
      <c r="M160" s="206"/>
      <c r="N160" s="206"/>
      <c r="O160" s="206"/>
      <c r="P160" s="206"/>
      <c r="Q160" s="206"/>
      <c r="R160" s="206"/>
      <c r="S160" s="206"/>
      <c r="T160" s="206"/>
      <c r="U160" s="206"/>
      <c r="V160" s="206"/>
      <c r="W160" s="206"/>
      <c r="Y160" s="208"/>
      <c r="Z160" s="208"/>
      <c r="AA160" s="208"/>
      <c r="AB160" s="208"/>
      <c r="AC160" s="208"/>
      <c r="AD160" s="208"/>
      <c r="AE160" s="208"/>
      <c r="AF160" s="222"/>
      <c r="AG160" s="206"/>
      <c r="AH160" s="206"/>
      <c r="AI160" s="206"/>
      <c r="AJ160" s="206"/>
      <c r="AK160" s="206"/>
      <c r="AL160" s="217" t="s">
        <v>95</v>
      </c>
      <c r="AM160" s="441">
        <v>33</v>
      </c>
      <c r="AN160" s="441"/>
      <c r="AO160" s="441"/>
      <c r="AP160" s="441"/>
      <c r="AQ160" s="441"/>
      <c r="AR160" s="441"/>
      <c r="AS160" s="441"/>
      <c r="AT160" s="179"/>
      <c r="AU160" s="180"/>
      <c r="AV160" s="201"/>
      <c r="AW160" s="207"/>
      <c r="AX160" s="208"/>
      <c r="AY160" s="208"/>
      <c r="AZ160" s="208"/>
      <c r="BA160" s="208"/>
      <c r="BB160" s="208"/>
      <c r="BC160" s="209"/>
    </row>
    <row r="161" spans="2:55" ht="12.75" customHeight="1">
      <c r="I161" s="210"/>
      <c r="J161" s="205" t="s">
        <v>293</v>
      </c>
      <c r="K161" s="206"/>
      <c r="L161" s="206"/>
      <c r="M161" s="206"/>
      <c r="N161" s="206"/>
      <c r="O161" s="206"/>
      <c r="P161" s="206"/>
      <c r="Q161" s="206"/>
      <c r="R161" s="206"/>
      <c r="S161" s="206"/>
      <c r="T161" s="206"/>
      <c r="U161" s="206"/>
      <c r="V161" s="206"/>
      <c r="W161" s="206"/>
      <c r="X161" s="316" t="s">
        <v>95</v>
      </c>
      <c r="Y161" s="226">
        <v>5</v>
      </c>
      <c r="Z161" s="208" t="s">
        <v>97</v>
      </c>
      <c r="AA161" s="419">
        <f>V156</f>
        <v>64</v>
      </c>
      <c r="AB161" s="471"/>
      <c r="AC161" s="471"/>
      <c r="AD161" s="471"/>
      <c r="AE161" s="208"/>
      <c r="AF161" s="222"/>
      <c r="AG161" s="206"/>
      <c r="AH161" s="206"/>
      <c r="AI161" s="206"/>
      <c r="AJ161" s="206"/>
      <c r="AK161" s="206"/>
      <c r="AL161" s="217" t="s">
        <v>95</v>
      </c>
      <c r="AM161" s="613">
        <f>Y161*AA161</f>
        <v>320</v>
      </c>
      <c r="AN161" s="613"/>
      <c r="AO161" s="613"/>
      <c r="AP161" s="613"/>
      <c r="AQ161" s="613"/>
      <c r="AR161" s="613"/>
      <c r="AS161" s="613"/>
      <c r="AT161" s="206"/>
      <c r="AU161" s="180"/>
      <c r="AV161" s="201"/>
      <c r="AW161" s="207"/>
      <c r="AX161" s="208"/>
      <c r="AY161" s="208"/>
      <c r="AZ161" s="208"/>
      <c r="BA161" s="208"/>
      <c r="BB161" s="208"/>
      <c r="BC161" s="209"/>
    </row>
    <row r="162" spans="2:55" ht="12.75" customHeight="1">
      <c r="I162" s="210"/>
      <c r="J162" s="221"/>
      <c r="K162" s="206"/>
      <c r="L162" s="206"/>
      <c r="M162" s="206"/>
      <c r="N162" s="206"/>
      <c r="O162" s="206"/>
      <c r="P162" s="206"/>
      <c r="Q162" s="206"/>
      <c r="R162" s="206"/>
      <c r="S162" s="206"/>
      <c r="T162" s="206"/>
      <c r="U162" s="206"/>
      <c r="V162" s="206"/>
      <c r="W162" s="206"/>
      <c r="X162" s="206"/>
      <c r="Y162" s="208"/>
      <c r="Z162" s="208"/>
      <c r="AA162" s="208"/>
      <c r="AB162" s="208"/>
      <c r="AC162" s="208"/>
      <c r="AD162" s="208"/>
      <c r="AE162" s="208"/>
      <c r="AF162" s="222"/>
      <c r="AG162" s="206"/>
      <c r="AH162" s="206"/>
      <c r="AI162" s="206"/>
      <c r="AJ162" s="206"/>
      <c r="AK162" s="206"/>
      <c r="AL162" s="206"/>
      <c r="AM162" s="206"/>
      <c r="AN162" s="206"/>
      <c r="AO162" s="206"/>
      <c r="AP162" s="206"/>
      <c r="AQ162" s="206"/>
      <c r="AR162" s="206"/>
      <c r="AS162" s="206"/>
      <c r="AT162" s="179"/>
      <c r="AU162" s="180"/>
      <c r="AV162" s="201"/>
      <c r="AW162" s="207"/>
      <c r="AX162" s="208"/>
      <c r="AY162" s="208"/>
      <c r="AZ162" s="208"/>
      <c r="BA162" s="208"/>
      <c r="BB162" s="208"/>
      <c r="BC162" s="209"/>
    </row>
    <row r="163" spans="2:55" ht="12.75" customHeight="1">
      <c r="I163" s="210"/>
      <c r="J163" s="223" t="s">
        <v>259</v>
      </c>
      <c r="K163" s="206"/>
      <c r="L163" s="206"/>
      <c r="M163" s="206"/>
      <c r="N163" s="206"/>
      <c r="O163" s="206"/>
      <c r="P163" s="206"/>
      <c r="Q163" s="206"/>
      <c r="R163" s="206"/>
      <c r="S163" s="206"/>
      <c r="T163" s="206"/>
      <c r="U163" s="206"/>
      <c r="V163" s="206"/>
      <c r="W163" s="206"/>
      <c r="X163" s="206"/>
      <c r="Y163" s="208"/>
      <c r="Z163" s="208"/>
      <c r="AA163" s="208"/>
      <c r="AB163" s="208"/>
      <c r="AC163" s="208"/>
      <c r="AD163" s="208"/>
      <c r="AE163" s="208"/>
      <c r="AF163" s="222"/>
      <c r="AG163" s="206"/>
      <c r="AH163" s="206"/>
      <c r="AI163" s="206"/>
      <c r="AJ163" s="206"/>
      <c r="AK163" s="206"/>
      <c r="AL163" s="206"/>
      <c r="AM163" s="206"/>
      <c r="AN163" s="206"/>
      <c r="AO163" s="206"/>
      <c r="AP163" s="206"/>
      <c r="AQ163" s="206"/>
      <c r="AR163" s="206"/>
      <c r="AS163" s="206"/>
      <c r="AT163" s="179"/>
      <c r="AU163" s="180"/>
      <c r="AV163" s="201"/>
      <c r="AW163" s="207"/>
      <c r="AX163" s="208"/>
      <c r="AY163" s="208"/>
      <c r="AZ163" s="208"/>
      <c r="BA163" s="208"/>
      <c r="BB163" s="208"/>
      <c r="BC163" s="209"/>
    </row>
    <row r="164" spans="2:55" ht="12.75" customHeight="1">
      <c r="B164" s="388" t="s">
        <v>199</v>
      </c>
      <c r="C164" s="388"/>
      <c r="D164" s="388"/>
      <c r="E164" s="388"/>
      <c r="F164" s="388"/>
      <c r="G164" s="388"/>
      <c r="H164" s="388"/>
      <c r="I164" s="210"/>
      <c r="J164" s="205" t="s">
        <v>210</v>
      </c>
      <c r="K164" s="185"/>
      <c r="L164" s="185"/>
      <c r="M164" s="185"/>
      <c r="N164" s="185"/>
      <c r="O164" s="185"/>
      <c r="P164" s="185"/>
      <c r="Q164" s="185"/>
      <c r="R164" s="185"/>
      <c r="S164" s="185"/>
      <c r="T164" s="176"/>
      <c r="U164" s="176"/>
      <c r="V164" s="176"/>
      <c r="W164" s="176"/>
      <c r="X164" s="176"/>
      <c r="Y164" s="176"/>
      <c r="Z164" s="176"/>
      <c r="AA164" s="176"/>
      <c r="AB164" s="176"/>
      <c r="AC164" s="176"/>
      <c r="AD164" s="176"/>
      <c r="AE164" s="185"/>
      <c r="AF164" s="185"/>
      <c r="AG164" s="185"/>
      <c r="AH164" s="185"/>
      <c r="AI164" s="206"/>
      <c r="AJ164" s="206"/>
      <c r="AK164" s="206"/>
      <c r="AL164" s="206"/>
      <c r="AM164" s="206"/>
      <c r="AN164" s="178"/>
      <c r="AO164" s="178"/>
      <c r="AP164" s="178"/>
      <c r="AQ164" s="178"/>
      <c r="AR164" s="178"/>
      <c r="AS164" s="178"/>
      <c r="AT164" s="179"/>
      <c r="AU164" s="180"/>
      <c r="AV164" s="201"/>
      <c r="AW164" s="207"/>
      <c r="AX164" s="208"/>
      <c r="AY164" s="208"/>
      <c r="AZ164" s="208"/>
      <c r="BA164" s="208"/>
      <c r="BB164" s="208"/>
      <c r="BC164" s="209"/>
    </row>
    <row r="165" spans="2:55" ht="12.75" customHeight="1">
      <c r="B165" s="388"/>
      <c r="C165" s="388"/>
      <c r="D165" s="388"/>
      <c r="E165" s="388"/>
      <c r="F165" s="388"/>
      <c r="G165" s="388"/>
      <c r="H165" s="388"/>
      <c r="I165" s="199"/>
      <c r="J165" s="205" t="s">
        <v>211</v>
      </c>
      <c r="K165" s="208"/>
      <c r="L165" s="208"/>
      <c r="M165" s="208"/>
      <c r="N165" s="208"/>
      <c r="O165" s="208"/>
      <c r="P165" s="208"/>
      <c r="Q165" s="208"/>
      <c r="R165" s="208"/>
      <c r="S165" s="208"/>
      <c r="T165" s="176"/>
      <c r="U165" s="176"/>
      <c r="V165" s="176"/>
      <c r="W165" s="176"/>
      <c r="X165" s="176"/>
      <c r="Y165" s="176"/>
      <c r="Z165" s="176"/>
      <c r="AA165" s="176"/>
      <c r="AB165" s="176"/>
      <c r="AC165" s="176"/>
      <c r="AD165" s="176"/>
      <c r="AE165" s="208"/>
      <c r="AF165" s="208"/>
      <c r="AG165" s="208"/>
      <c r="AH165" s="208"/>
      <c r="AI165" s="224"/>
      <c r="AJ165" s="206"/>
      <c r="AK165" s="206"/>
      <c r="AL165" s="206"/>
      <c r="AM165" s="206"/>
      <c r="AN165" s="225"/>
      <c r="AO165" s="178"/>
      <c r="AP165" s="178"/>
      <c r="AQ165" s="178"/>
      <c r="AR165" s="178"/>
      <c r="AS165" s="178"/>
      <c r="AT165" s="179"/>
      <c r="AU165" s="180"/>
      <c r="AV165" s="201"/>
      <c r="AW165" s="207"/>
      <c r="AX165" s="208"/>
      <c r="AY165" s="208"/>
      <c r="AZ165" s="208"/>
      <c r="BA165" s="208"/>
      <c r="BB165" s="208"/>
      <c r="BC165" s="209"/>
    </row>
    <row r="166" spans="2:55" ht="12.75" customHeight="1">
      <c r="B166" s="388"/>
      <c r="C166" s="388"/>
      <c r="D166" s="388"/>
      <c r="E166" s="388"/>
      <c r="F166" s="388"/>
      <c r="G166" s="388"/>
      <c r="H166" s="388"/>
      <c r="I166" s="199"/>
      <c r="J166" s="189" t="s">
        <v>200</v>
      </c>
      <c r="K166" s="176"/>
      <c r="L166" s="176"/>
      <c r="M166" s="176"/>
      <c r="N166" s="176"/>
      <c r="O166" s="176"/>
      <c r="P166" s="176"/>
      <c r="Q166" s="176"/>
      <c r="R166" s="176"/>
      <c r="S166" s="176"/>
      <c r="W166" s="176"/>
      <c r="X166" s="176"/>
      <c r="Y166" s="176"/>
      <c r="Z166" s="176"/>
      <c r="AA166" s="176"/>
      <c r="AB166" s="176"/>
      <c r="AC166" s="176"/>
      <c r="AD166" s="176"/>
      <c r="AE166" s="176"/>
      <c r="AF166" s="206"/>
      <c r="AG166" s="206"/>
      <c r="AH166" s="206"/>
      <c r="AI166" s="206"/>
      <c r="AJ166" s="206"/>
      <c r="AK166" s="206"/>
      <c r="AL166" s="206"/>
      <c r="AM166" s="206"/>
      <c r="AN166" s="225"/>
      <c r="AO166" s="178"/>
      <c r="AP166" s="178"/>
      <c r="AQ166" s="178"/>
      <c r="AR166" s="178"/>
      <c r="AS166" s="178"/>
      <c r="AT166" s="179"/>
      <c r="AU166" s="180"/>
      <c r="AV166" s="201"/>
      <c r="AW166" s="207"/>
      <c r="AX166" s="208"/>
      <c r="AY166" s="208"/>
      <c r="AZ166" s="208"/>
      <c r="BA166" s="208"/>
      <c r="BB166" s="208"/>
      <c r="BC166" s="209"/>
    </row>
    <row r="167" spans="2:55" ht="12.75" customHeight="1">
      <c r="I167" s="199"/>
      <c r="J167" s="205" t="s">
        <v>262</v>
      </c>
      <c r="K167" s="208"/>
      <c r="L167" s="208"/>
      <c r="M167" s="208"/>
      <c r="N167" s="208"/>
      <c r="O167" s="208"/>
      <c r="P167" s="400">
        <v>1.35</v>
      </c>
      <c r="Q167" s="400"/>
      <c r="R167" s="400"/>
      <c r="S167" s="208" t="s">
        <v>97</v>
      </c>
      <c r="T167" s="471">
        <v>0</v>
      </c>
      <c r="U167" s="471"/>
      <c r="V167" s="471"/>
      <c r="W167" s="227" t="s">
        <v>120</v>
      </c>
      <c r="X167" s="400">
        <v>1.5</v>
      </c>
      <c r="Y167" s="400"/>
      <c r="Z167" s="400"/>
      <c r="AA167" s="208" t="s">
        <v>97</v>
      </c>
      <c r="AB167" s="421">
        <f>V152</f>
        <v>294.3</v>
      </c>
      <c r="AC167" s="421"/>
      <c r="AD167" s="421"/>
      <c r="AE167" s="421"/>
      <c r="AF167" s="421"/>
      <c r="AG167" s="421"/>
      <c r="AH167" s="228"/>
      <c r="AI167" s="227" t="s">
        <v>95</v>
      </c>
      <c r="AJ167" s="229"/>
      <c r="AK167" s="228"/>
      <c r="AL167" s="228"/>
      <c r="AM167" s="421">
        <f>(P167*T167)+(X167*AB167)</f>
        <v>441.45000000000005</v>
      </c>
      <c r="AN167" s="421"/>
      <c r="AO167" s="421"/>
      <c r="AP167" s="421"/>
      <c r="AQ167" s="421"/>
      <c r="AR167" s="421"/>
      <c r="AS167" s="421"/>
      <c r="AT167" s="179"/>
      <c r="AU167" s="180"/>
      <c r="AV167" s="201"/>
      <c r="AW167" s="207"/>
      <c r="AX167" s="208"/>
      <c r="AY167" s="208"/>
      <c r="AZ167" s="208"/>
      <c r="BA167" s="208"/>
      <c r="BB167" s="208"/>
      <c r="BC167" s="209"/>
    </row>
    <row r="168" spans="2:55" ht="12.75" customHeight="1">
      <c r="I168" s="199"/>
      <c r="AT168" s="230"/>
      <c r="AU168" s="180"/>
      <c r="AV168" s="201"/>
      <c r="AW168" s="207"/>
      <c r="AX168" s="208"/>
      <c r="AY168" s="208"/>
      <c r="AZ168" s="208"/>
      <c r="BA168" s="208"/>
      <c r="BB168" s="208"/>
      <c r="BC168" s="209"/>
    </row>
    <row r="169" spans="2:55" ht="12.75" customHeight="1">
      <c r="B169" s="612" t="s">
        <v>286</v>
      </c>
      <c r="C169" s="612"/>
      <c r="D169" s="612"/>
      <c r="E169" s="612"/>
      <c r="F169" s="612"/>
      <c r="G169" s="612"/>
      <c r="H169" s="612"/>
      <c r="I169" s="231"/>
      <c r="J169" s="205" t="s">
        <v>285</v>
      </c>
      <c r="K169" s="208"/>
      <c r="L169" s="208"/>
      <c r="M169" s="208"/>
      <c r="N169" s="208"/>
      <c r="O169" s="208"/>
      <c r="P169" s="208"/>
      <c r="Q169" s="208"/>
      <c r="R169" s="208"/>
      <c r="S169" s="208"/>
      <c r="T169" s="421">
        <f>V152</f>
        <v>294.3</v>
      </c>
      <c r="U169" s="471"/>
      <c r="V169" s="471"/>
      <c r="W169" s="471"/>
      <c r="X169" s="471"/>
      <c r="Y169" s="227" t="s">
        <v>169</v>
      </c>
      <c r="Z169" s="530">
        <f>V155</f>
        <v>15.764100000000001</v>
      </c>
      <c r="AA169" s="471"/>
      <c r="AB169" s="471"/>
      <c r="AC169" s="471"/>
      <c r="AD169" s="471"/>
      <c r="AE169" s="232" t="s">
        <v>95</v>
      </c>
      <c r="AF169" s="385">
        <f>T169/Z169</f>
        <v>18.669001084743183</v>
      </c>
      <c r="AG169" s="385"/>
      <c r="AH169" s="385"/>
      <c r="AI169" s="385"/>
      <c r="AJ169" s="385"/>
      <c r="AK169" s="385"/>
      <c r="AL169" s="227" t="s">
        <v>95</v>
      </c>
      <c r="AM169" s="418">
        <f>AF169/1000</f>
        <v>1.8669001084743182E-2</v>
      </c>
      <c r="AN169" s="418"/>
      <c r="AO169" s="418"/>
      <c r="AP169" s="418"/>
      <c r="AQ169" s="418"/>
      <c r="AR169" s="418"/>
      <c r="AS169" s="418"/>
      <c r="AT169" s="230"/>
      <c r="AU169" s="180"/>
      <c r="AV169" s="201"/>
      <c r="AW169" s="207"/>
      <c r="AX169" s="208"/>
      <c r="AY169" s="208"/>
      <c r="AZ169" s="208"/>
      <c r="BA169" s="208"/>
      <c r="BB169" s="208"/>
      <c r="BC169" s="209"/>
    </row>
    <row r="170" spans="2:55" ht="12.75" customHeight="1">
      <c r="B170" s="155"/>
      <c r="C170" s="155"/>
      <c r="D170" s="155"/>
      <c r="E170" s="155"/>
      <c r="F170" s="155"/>
      <c r="G170" s="155"/>
      <c r="H170" s="155"/>
      <c r="I170" s="199"/>
      <c r="J170" s="189"/>
      <c r="K170" s="228"/>
      <c r="L170" s="228"/>
      <c r="M170" s="228"/>
      <c r="N170" s="228"/>
      <c r="O170" s="228"/>
      <c r="P170" s="228"/>
      <c r="Q170" s="228"/>
      <c r="R170" s="228"/>
      <c r="S170" s="228"/>
      <c r="T170" s="228"/>
      <c r="U170" s="228"/>
      <c r="V170" s="228"/>
      <c r="W170" s="228"/>
      <c r="AD170" s="208"/>
      <c r="AE170" s="208"/>
      <c r="AF170" s="208"/>
      <c r="AG170" s="208"/>
      <c r="AH170" s="208"/>
      <c r="AI170" s="208"/>
      <c r="AJ170" s="189"/>
      <c r="AK170" s="208"/>
      <c r="AL170" s="208"/>
      <c r="AM170" s="208"/>
      <c r="AN170" s="208"/>
      <c r="AO170" s="208"/>
      <c r="AP170" s="208"/>
      <c r="AQ170" s="208"/>
      <c r="AR170" s="208"/>
      <c r="AS170" s="208"/>
      <c r="AT170" s="179"/>
      <c r="AU170" s="180"/>
      <c r="AV170" s="201"/>
      <c r="AW170" s="207"/>
      <c r="AX170" s="208"/>
      <c r="AY170" s="208"/>
      <c r="AZ170" s="208"/>
      <c r="BA170" s="208"/>
      <c r="BB170" s="208"/>
      <c r="BC170" s="209"/>
    </row>
    <row r="171" spans="2:55" ht="12.75" customHeight="1">
      <c r="B171" s="155"/>
      <c r="C171" s="155"/>
      <c r="D171" s="155"/>
      <c r="E171" s="155"/>
      <c r="F171" s="155"/>
      <c r="G171" s="155"/>
      <c r="H171" s="155"/>
      <c r="I171" s="199"/>
      <c r="J171" s="229"/>
      <c r="K171" s="228"/>
      <c r="L171" s="228"/>
      <c r="M171" s="228"/>
      <c r="N171" s="228"/>
      <c r="O171" s="228"/>
      <c r="P171" s="228"/>
      <c r="Q171" s="228"/>
      <c r="R171" s="228"/>
      <c r="S171" s="228"/>
      <c r="T171" s="228"/>
      <c r="U171" s="228"/>
      <c r="V171" s="228"/>
      <c r="W171" s="228"/>
      <c r="X171" s="228"/>
      <c r="Y171" s="228"/>
      <c r="Z171" s="228"/>
      <c r="AA171" s="208"/>
      <c r="AB171" s="208"/>
      <c r="AC171" s="208"/>
      <c r="AD171" s="208"/>
      <c r="AE171" s="208"/>
      <c r="AF171" s="208"/>
      <c r="AG171" s="208"/>
      <c r="AH171" s="208"/>
      <c r="AI171" s="208"/>
      <c r="AJ171" s="189"/>
      <c r="AK171" s="208"/>
      <c r="AL171" s="208"/>
      <c r="AM171" s="208"/>
      <c r="AN171" s="208"/>
      <c r="AO171" s="208"/>
      <c r="AP171" s="208"/>
      <c r="AQ171" s="208"/>
      <c r="AR171" s="208"/>
      <c r="AS171" s="208"/>
      <c r="AT171" s="179"/>
      <c r="AU171" s="180"/>
      <c r="AV171" s="201"/>
      <c r="AW171" s="207"/>
      <c r="AX171" s="208"/>
      <c r="AY171" s="208"/>
      <c r="AZ171" s="208"/>
      <c r="BA171" s="208"/>
      <c r="BB171" s="208"/>
      <c r="BC171" s="209"/>
    </row>
    <row r="172" spans="2:55" ht="12.75" customHeight="1">
      <c r="B172" s="612" t="s">
        <v>287</v>
      </c>
      <c r="C172" s="612"/>
      <c r="D172" s="612"/>
      <c r="E172" s="612"/>
      <c r="F172" s="612"/>
      <c r="G172" s="612"/>
      <c r="H172" s="612"/>
      <c r="I172" s="199"/>
      <c r="J172" s="421">
        <f>AM167</f>
        <v>441.45000000000005</v>
      </c>
      <c r="K172" s="421"/>
      <c r="L172" s="421"/>
      <c r="M172" s="421"/>
      <c r="N172" s="421"/>
      <c r="O172" s="421"/>
      <c r="P172" s="421"/>
      <c r="Q172" s="421"/>
      <c r="R172" s="232" t="s">
        <v>169</v>
      </c>
      <c r="S172" s="530">
        <f>V155</f>
        <v>15.764100000000001</v>
      </c>
      <c r="T172" s="471"/>
      <c r="U172" s="471"/>
      <c r="V172" s="471"/>
      <c r="W172" s="471"/>
      <c r="X172" s="471"/>
      <c r="Y172" s="228"/>
      <c r="Z172" s="232" t="s">
        <v>95</v>
      </c>
      <c r="AA172" s="208"/>
      <c r="AB172" s="385">
        <f>J172/S172</f>
        <v>28.003501627114776</v>
      </c>
      <c r="AC172" s="385"/>
      <c r="AD172" s="385"/>
      <c r="AE172" s="385"/>
      <c r="AF172" s="385"/>
      <c r="AG172" s="385"/>
      <c r="AH172" s="385"/>
      <c r="AI172" s="385"/>
      <c r="AJ172" s="189"/>
      <c r="AL172" s="227" t="s">
        <v>95</v>
      </c>
      <c r="AM172" s="418">
        <f>AB172/1000</f>
        <v>2.8003501627114777E-2</v>
      </c>
      <c r="AN172" s="418"/>
      <c r="AO172" s="418"/>
      <c r="AP172" s="418"/>
      <c r="AQ172" s="418"/>
      <c r="AR172" s="418"/>
      <c r="AS172" s="418"/>
      <c r="AT172" s="179"/>
      <c r="AU172" s="180"/>
      <c r="AV172" s="201"/>
      <c r="AW172" s="207"/>
      <c r="AX172" s="208"/>
      <c r="AY172" s="208"/>
      <c r="AZ172" s="208"/>
      <c r="BA172" s="208"/>
      <c r="BB172" s="208"/>
      <c r="BC172" s="209"/>
    </row>
    <row r="173" spans="2:55" ht="12.75" customHeight="1">
      <c r="B173" s="260"/>
      <c r="C173" s="176"/>
      <c r="D173" s="176"/>
      <c r="E173" s="176"/>
      <c r="F173" s="176"/>
      <c r="G173" s="176"/>
      <c r="H173" s="256"/>
      <c r="I173" s="199"/>
      <c r="J173" s="229"/>
      <c r="K173" s="228"/>
      <c r="L173" s="228"/>
      <c r="M173" s="228"/>
      <c r="N173" s="228"/>
      <c r="O173" s="228"/>
      <c r="P173" s="228"/>
      <c r="Q173" s="228"/>
      <c r="R173" s="228"/>
      <c r="S173" s="228"/>
      <c r="T173" s="228"/>
      <c r="U173" s="228"/>
      <c r="V173" s="228"/>
      <c r="W173" s="228"/>
      <c r="X173" s="228"/>
      <c r="Y173" s="228"/>
      <c r="Z173" s="228"/>
      <c r="AA173" s="208"/>
      <c r="AB173" s="208"/>
      <c r="AC173" s="208"/>
      <c r="AD173" s="208"/>
      <c r="AE173" s="208"/>
      <c r="AF173" s="208"/>
      <c r="AG173" s="208"/>
      <c r="AH173" s="208"/>
      <c r="AI173" s="208"/>
      <c r="AJ173" s="189"/>
      <c r="AK173" s="208"/>
      <c r="AL173" s="208"/>
      <c r="AM173" s="208"/>
      <c r="AN173" s="208"/>
      <c r="AO173" s="208"/>
      <c r="AP173" s="208"/>
      <c r="AQ173" s="208"/>
      <c r="AR173" s="208"/>
      <c r="AS173" s="208"/>
      <c r="AT173" s="179"/>
      <c r="AU173" s="180"/>
      <c r="AV173" s="201"/>
      <c r="AW173" s="207"/>
      <c r="AX173" s="208"/>
      <c r="AY173" s="208"/>
      <c r="AZ173" s="208"/>
      <c r="BA173" s="208"/>
      <c r="BB173" s="208"/>
      <c r="BC173" s="209"/>
    </row>
    <row r="174" spans="2:55" ht="12.75" customHeight="1">
      <c r="B174" s="430" t="s">
        <v>253</v>
      </c>
      <c r="C174" s="431"/>
      <c r="D174" s="431"/>
      <c r="E174" s="431"/>
      <c r="F174" s="431"/>
      <c r="G174" s="431"/>
      <c r="H174" s="432"/>
      <c r="I174" s="233"/>
      <c r="J174" s="189" t="s">
        <v>201</v>
      </c>
      <c r="K174" s="208"/>
      <c r="L174" s="208"/>
      <c r="M174" s="208"/>
      <c r="N174" s="208"/>
      <c r="O174" s="208"/>
      <c r="P174" s="208"/>
      <c r="Q174" s="208"/>
      <c r="R174" s="208"/>
      <c r="S174" s="208"/>
      <c r="T174" s="208"/>
      <c r="U174" s="208"/>
      <c r="V174" s="208"/>
      <c r="W174" s="208"/>
      <c r="X174" s="205" t="s">
        <v>263</v>
      </c>
      <c r="Y174" s="208"/>
      <c r="Z174" s="337" t="s">
        <v>264</v>
      </c>
      <c r="AA174" s="337"/>
      <c r="AB174" s="337"/>
      <c r="AC174" s="208"/>
      <c r="AD174" s="208"/>
      <c r="AE174" s="227" t="s">
        <v>95</v>
      </c>
      <c r="AF174" s="601">
        <f>AM158</f>
        <v>25</v>
      </c>
      <c r="AG174" s="601"/>
      <c r="AH174" s="601"/>
      <c r="AI174" s="601"/>
      <c r="AJ174" s="601"/>
      <c r="AK174" s="601"/>
      <c r="AL174" s="601"/>
      <c r="AM174" s="227" t="s">
        <v>95</v>
      </c>
      <c r="AN174" s="476">
        <f>AF174/AF175</f>
        <v>16.666666666666668</v>
      </c>
      <c r="AO174" s="476"/>
      <c r="AP174" s="476"/>
      <c r="AQ174" s="476"/>
      <c r="AR174" s="476"/>
      <c r="AS174" s="476"/>
      <c r="AT174" s="476"/>
      <c r="AU174" s="180"/>
      <c r="AV174" s="201"/>
      <c r="AW174" s="207"/>
      <c r="AX174" s="208"/>
      <c r="AY174" s="208"/>
      <c r="AZ174" s="208"/>
      <c r="BA174" s="208"/>
      <c r="BB174" s="208"/>
      <c r="BC174" s="209"/>
    </row>
    <row r="175" spans="2:55" ht="12.75" customHeight="1">
      <c r="B175" s="433"/>
      <c r="C175" s="434"/>
      <c r="D175" s="434"/>
      <c r="E175" s="434"/>
      <c r="F175" s="434"/>
      <c r="G175" s="434"/>
      <c r="H175" s="435"/>
      <c r="I175" s="234"/>
      <c r="J175" s="208"/>
      <c r="K175" s="208"/>
      <c r="L175" s="208"/>
      <c r="M175" s="208"/>
      <c r="N175" s="208"/>
      <c r="O175" s="208"/>
      <c r="P175" s="208"/>
      <c r="Q175" s="208"/>
      <c r="R175" s="208"/>
      <c r="S175" s="208"/>
      <c r="T175" s="208"/>
      <c r="U175" s="208"/>
      <c r="V175" s="208"/>
      <c r="W175" s="208"/>
      <c r="X175" s="208"/>
      <c r="Y175" s="208"/>
      <c r="Z175" s="337" t="s">
        <v>202</v>
      </c>
      <c r="AA175" s="337"/>
      <c r="AB175" s="337"/>
      <c r="AC175" s="208"/>
      <c r="AD175" s="208"/>
      <c r="AE175" s="208"/>
      <c r="AF175" s="400">
        <v>1.5</v>
      </c>
      <c r="AG175" s="400"/>
      <c r="AH175" s="400"/>
      <c r="AI175" s="400"/>
      <c r="AJ175" s="400"/>
      <c r="AK175" s="400"/>
      <c r="AL175" s="400"/>
      <c r="AM175" s="208"/>
      <c r="AN175" s="208"/>
      <c r="AO175" s="208"/>
      <c r="AP175" s="208"/>
      <c r="AQ175" s="208"/>
      <c r="AR175" s="208"/>
      <c r="AS175" s="208"/>
      <c r="AT175" s="179"/>
      <c r="AU175" s="180"/>
      <c r="AV175" s="201"/>
      <c r="AW175" s="207"/>
      <c r="AX175" s="208"/>
      <c r="AY175" s="208"/>
      <c r="AZ175" s="208"/>
      <c r="BA175" s="208"/>
      <c r="BB175" s="208"/>
      <c r="BC175" s="209"/>
    </row>
    <row r="176" spans="2:55" ht="12.75" customHeight="1">
      <c r="B176" s="436"/>
      <c r="C176" s="437"/>
      <c r="D176" s="437"/>
      <c r="E176" s="437"/>
      <c r="F176" s="437"/>
      <c r="G176" s="437"/>
      <c r="H176" s="438"/>
      <c r="I176" s="234"/>
      <c r="J176" s="189" t="s">
        <v>213</v>
      </c>
      <c r="K176" s="208"/>
      <c r="L176" s="208"/>
      <c r="M176" s="208"/>
      <c r="N176" s="208"/>
      <c r="O176" s="208"/>
      <c r="P176" s="208"/>
      <c r="Q176" s="208"/>
      <c r="R176" s="208"/>
      <c r="S176" s="208"/>
      <c r="T176" s="208"/>
      <c r="Y176" s="208"/>
      <c r="Z176" s="208"/>
      <c r="AA176" s="208"/>
      <c r="AB176" s="208"/>
      <c r="AC176" s="208"/>
      <c r="AD176" s="208"/>
      <c r="AE176" s="208"/>
      <c r="AF176" s="208"/>
      <c r="AG176" s="208"/>
      <c r="AH176" s="208"/>
      <c r="AI176" s="208"/>
      <c r="AJ176" s="189"/>
      <c r="AK176" s="208"/>
      <c r="AL176" s="208"/>
      <c r="AM176" s="208"/>
      <c r="AN176" s="208"/>
      <c r="AO176" s="208"/>
      <c r="AP176" s="208"/>
      <c r="AQ176" s="208"/>
      <c r="AR176" s="208"/>
      <c r="AS176" s="208"/>
      <c r="AT176" s="179"/>
      <c r="AU176" s="180"/>
      <c r="AV176" s="201"/>
      <c r="AW176" s="207"/>
      <c r="AX176" s="208"/>
      <c r="AY176" s="208"/>
      <c r="AZ176" s="208"/>
      <c r="BA176" s="208"/>
      <c r="BB176" s="208"/>
      <c r="BC176" s="209"/>
    </row>
    <row r="177" spans="2:55" ht="12.75" customHeight="1">
      <c r="B177" s="260"/>
      <c r="C177" s="176"/>
      <c r="D177" s="176"/>
      <c r="E177" s="176"/>
      <c r="F177" s="176"/>
      <c r="G177" s="176"/>
      <c r="H177" s="256"/>
      <c r="I177" s="234"/>
      <c r="J177" s="208" t="s">
        <v>292</v>
      </c>
      <c r="K177" s="227" t="s">
        <v>95</v>
      </c>
      <c r="L177" s="235" t="s">
        <v>203</v>
      </c>
      <c r="M177" s="236"/>
      <c r="N177" s="208"/>
      <c r="O177" s="227" t="s">
        <v>95</v>
      </c>
      <c r="P177" s="208"/>
      <c r="Q177" s="615">
        <v>1000</v>
      </c>
      <c r="R177" s="615"/>
      <c r="S177" s="615"/>
      <c r="T177" s="615"/>
      <c r="U177" s="236" t="s">
        <v>97</v>
      </c>
      <c r="V177" s="440">
        <f>V156</f>
        <v>64</v>
      </c>
      <c r="W177" s="440"/>
      <c r="X177" s="440"/>
      <c r="Y177" s="440"/>
      <c r="Z177" s="227" t="s">
        <v>95</v>
      </c>
      <c r="AC177" s="614">
        <f>(Q177*V177^2)/6</f>
        <v>682666.66666666663</v>
      </c>
      <c r="AD177" s="614"/>
      <c r="AE177" s="614"/>
      <c r="AF177" s="614"/>
      <c r="AG177" s="614"/>
      <c r="AH177" s="614"/>
      <c r="AI177" s="614"/>
      <c r="AJ177" s="189"/>
      <c r="AK177" s="208"/>
      <c r="AL177" s="208"/>
      <c r="AM177" s="208"/>
      <c r="AN177" s="208"/>
      <c r="AO177" s="208"/>
      <c r="AP177" s="208"/>
      <c r="AQ177" s="208"/>
      <c r="AR177" s="208"/>
      <c r="AS177" s="208"/>
      <c r="AT177" s="179"/>
      <c r="AU177" s="180"/>
      <c r="AV177" s="201"/>
      <c r="AW177" s="207"/>
      <c r="AX177" s="208"/>
      <c r="AY177" s="208"/>
      <c r="AZ177" s="208"/>
      <c r="BA177" s="208"/>
      <c r="BB177" s="208"/>
      <c r="BC177" s="209"/>
    </row>
    <row r="178" spans="2:55" ht="12.75" customHeight="1">
      <c r="B178" s="260"/>
      <c r="C178" s="176"/>
      <c r="D178" s="176"/>
      <c r="E178" s="176"/>
      <c r="F178" s="176"/>
      <c r="G178" s="176"/>
      <c r="H178" s="256"/>
      <c r="I178" s="210"/>
      <c r="J178" s="208"/>
      <c r="K178" s="208"/>
      <c r="L178" s="439">
        <v>6</v>
      </c>
      <c r="M178" s="439"/>
      <c r="N178" s="208"/>
      <c r="O178" s="208"/>
      <c r="P178" s="208"/>
      <c r="Q178" s="471">
        <v>6</v>
      </c>
      <c r="R178" s="471"/>
      <c r="S178" s="471"/>
      <c r="T178" s="471"/>
      <c r="U178" s="471"/>
      <c r="V178" s="471"/>
      <c r="W178" s="471"/>
      <c r="X178" s="471"/>
      <c r="Y178" s="471"/>
      <c r="Z178" s="208"/>
      <c r="AA178" s="208"/>
      <c r="AB178" s="208"/>
      <c r="AC178" s="208"/>
      <c r="AD178" s="208"/>
      <c r="AE178" s="208"/>
      <c r="AF178" s="208"/>
      <c r="AG178" s="208"/>
      <c r="AH178" s="208"/>
      <c r="AI178" s="208"/>
      <c r="AJ178" s="189"/>
      <c r="AK178" s="208"/>
      <c r="AL178" s="208"/>
      <c r="AM178" s="208"/>
      <c r="AN178" s="208"/>
      <c r="AO178" s="208"/>
      <c r="AP178" s="208"/>
      <c r="AQ178" s="208"/>
      <c r="AR178" s="208"/>
      <c r="AS178" s="208"/>
      <c r="AT178" s="179"/>
      <c r="AU178" s="180"/>
      <c r="AV178" s="201"/>
      <c r="AW178" s="207"/>
      <c r="AX178" s="208"/>
      <c r="AY178" s="208"/>
      <c r="AZ178" s="208"/>
      <c r="BA178" s="208"/>
      <c r="BB178" s="208"/>
      <c r="BC178" s="209"/>
    </row>
    <row r="179" spans="2:55" ht="12.75" customHeight="1">
      <c r="B179" s="260"/>
      <c r="C179" s="176"/>
      <c r="D179" s="176"/>
      <c r="E179" s="176"/>
      <c r="F179" s="176"/>
      <c r="G179" s="176"/>
      <c r="H179" s="256"/>
      <c r="I179" s="231"/>
      <c r="J179" s="205" t="s">
        <v>265</v>
      </c>
      <c r="K179" s="208"/>
      <c r="L179" s="208"/>
      <c r="M179" s="227" t="s">
        <v>95</v>
      </c>
      <c r="N179" s="189" t="s">
        <v>205</v>
      </c>
      <c r="O179" s="208"/>
      <c r="P179" s="208"/>
      <c r="Q179" s="208"/>
      <c r="R179" s="208"/>
      <c r="S179" s="208"/>
      <c r="T179" s="208" t="s">
        <v>214</v>
      </c>
      <c r="U179" s="208"/>
      <c r="V179" s="208"/>
      <c r="W179" s="205" t="s">
        <v>266</v>
      </c>
      <c r="X179" s="180"/>
      <c r="Y179" s="180"/>
      <c r="Z179" s="180"/>
      <c r="AA179" s="180"/>
      <c r="AB179" s="180"/>
      <c r="AC179" s="185"/>
      <c r="AD179" s="185"/>
      <c r="AE179" s="185"/>
      <c r="AF179" s="185"/>
      <c r="AG179" s="185"/>
      <c r="AH179" s="185"/>
      <c r="AI179" s="185"/>
      <c r="AJ179" s="190"/>
      <c r="AK179" s="185"/>
      <c r="AL179" s="185"/>
      <c r="AM179" s="185"/>
      <c r="AN179" s="185"/>
      <c r="AO179" s="185"/>
      <c r="AP179" s="185"/>
      <c r="AQ179" s="185"/>
      <c r="AR179" s="185"/>
      <c r="AS179" s="185"/>
      <c r="AT179" s="179"/>
      <c r="AU179" s="180"/>
      <c r="AV179" s="201"/>
      <c r="AW179" s="207"/>
      <c r="AX179" s="208"/>
      <c r="AY179" s="208"/>
      <c r="AZ179" s="208"/>
      <c r="BA179" s="208"/>
      <c r="BB179" s="208"/>
      <c r="BC179" s="209"/>
    </row>
    <row r="180" spans="2:55" ht="12.75" customHeight="1">
      <c r="B180" s="425" t="s">
        <v>204</v>
      </c>
      <c r="C180" s="426"/>
      <c r="D180" s="426"/>
      <c r="E180" s="426"/>
      <c r="F180" s="426"/>
      <c r="G180" s="426"/>
      <c r="H180" s="427"/>
      <c r="I180" s="237"/>
      <c r="J180" s="208"/>
      <c r="K180" s="208"/>
      <c r="L180" s="208"/>
      <c r="M180" s="208"/>
      <c r="N180" s="439">
        <v>8</v>
      </c>
      <c r="O180" s="439"/>
      <c r="P180" s="439"/>
      <c r="Q180" s="439"/>
      <c r="R180" s="208"/>
      <c r="S180" s="208"/>
      <c r="T180" s="208"/>
      <c r="U180" s="208"/>
      <c r="V180" s="208"/>
      <c r="W180" s="208"/>
      <c r="X180" s="208"/>
      <c r="Y180" s="208"/>
      <c r="Z180" s="208"/>
      <c r="AA180" s="208"/>
      <c r="AB180" s="208"/>
      <c r="AC180" s="208"/>
      <c r="AD180" s="208"/>
      <c r="AE180" s="208"/>
      <c r="AF180" s="208"/>
      <c r="AG180" s="208"/>
      <c r="AH180" s="208"/>
      <c r="AI180" s="208"/>
      <c r="AJ180" s="189"/>
      <c r="AK180" s="208"/>
      <c r="AL180" s="208"/>
      <c r="AM180" s="208"/>
      <c r="AN180" s="208"/>
      <c r="AO180" s="208"/>
      <c r="AP180" s="208"/>
      <c r="AQ180" s="208"/>
      <c r="AR180" s="208"/>
      <c r="AS180" s="208"/>
      <c r="AT180" s="179"/>
      <c r="AU180" s="180"/>
      <c r="AV180" s="201"/>
      <c r="AW180" s="207"/>
      <c r="AX180" s="208"/>
      <c r="AY180" s="208"/>
      <c r="AZ180" s="208"/>
      <c r="BA180" s="208"/>
      <c r="BB180" s="208"/>
      <c r="BC180" s="209"/>
    </row>
    <row r="181" spans="2:55" ht="12.75" customHeight="1">
      <c r="B181" s="258"/>
      <c r="C181" s="185"/>
      <c r="D181" s="185"/>
      <c r="E181" s="185"/>
      <c r="F181" s="185"/>
      <c r="G181" s="185"/>
      <c r="H181" s="256"/>
      <c r="I181" s="237"/>
      <c r="J181" s="189" t="s">
        <v>215</v>
      </c>
      <c r="K181" s="208"/>
      <c r="L181" s="208"/>
      <c r="M181" s="208"/>
      <c r="N181" s="208"/>
      <c r="O181" s="208"/>
      <c r="P181" s="208"/>
      <c r="Q181" s="208"/>
      <c r="R181" s="208"/>
      <c r="S181" s="208"/>
      <c r="T181" s="208"/>
      <c r="U181" s="208"/>
      <c r="V181" s="208"/>
      <c r="W181" s="208"/>
      <c r="X181" s="208"/>
      <c r="Y181" s="208"/>
      <c r="Z181" s="208"/>
      <c r="AA181" s="208"/>
      <c r="AB181" s="208"/>
      <c r="AC181" s="208"/>
      <c r="AD181" s="208"/>
      <c r="AE181" s="208"/>
      <c r="AF181" s="208"/>
      <c r="AG181" s="208"/>
      <c r="AH181" s="208"/>
      <c r="AI181" s="208"/>
      <c r="AJ181" s="189"/>
      <c r="AK181" s="208"/>
      <c r="AL181" s="208"/>
      <c r="AM181" s="208"/>
      <c r="AN181" s="208"/>
      <c r="AO181" s="208"/>
      <c r="AP181" s="208"/>
      <c r="AQ181" s="208"/>
      <c r="AR181" s="208"/>
      <c r="AS181" s="208"/>
      <c r="AT181" s="179"/>
      <c r="AU181" s="180"/>
      <c r="AV181" s="201"/>
      <c r="AW181" s="598" t="s">
        <v>294</v>
      </c>
      <c r="AX181" s="599"/>
      <c r="AY181" s="599"/>
      <c r="AZ181" s="599"/>
      <c r="BA181" s="599"/>
      <c r="BB181" s="599"/>
      <c r="BC181" s="599"/>
    </row>
    <row r="182" spans="2:55" ht="12.75" customHeight="1">
      <c r="B182" s="260"/>
      <c r="C182" s="176"/>
      <c r="D182" s="176"/>
      <c r="E182" s="176"/>
      <c r="F182" s="176"/>
      <c r="G182" s="176"/>
      <c r="H182" s="256"/>
      <c r="I182" s="237"/>
      <c r="J182" s="206"/>
      <c r="K182" s="208"/>
      <c r="L182" s="208"/>
      <c r="M182" s="208"/>
      <c r="N182" s="208"/>
      <c r="O182" s="208"/>
      <c r="P182" s="205" t="s">
        <v>275</v>
      </c>
      <c r="Q182" s="208"/>
      <c r="R182" s="208"/>
      <c r="S182" s="236"/>
      <c r="T182" s="236"/>
      <c r="U182" s="236"/>
      <c r="V182" s="236"/>
      <c r="W182" s="208"/>
      <c r="X182" s="227" t="s">
        <v>95</v>
      </c>
      <c r="Y182" s="208"/>
      <c r="Z182" s="317">
        <v>8</v>
      </c>
      <c r="AA182" s="318" t="s">
        <v>216</v>
      </c>
      <c r="AB182" s="531">
        <f>AC177</f>
        <v>682666.66666666663</v>
      </c>
      <c r="AC182" s="531"/>
      <c r="AD182" s="531"/>
      <c r="AE182" s="531"/>
      <c r="AF182" s="531"/>
      <c r="AG182" s="531"/>
      <c r="AH182" s="531"/>
      <c r="AI182" s="531"/>
      <c r="AJ182" s="319" t="s">
        <v>216</v>
      </c>
      <c r="AK182" s="532">
        <f>AN174</f>
        <v>16.666666666666668</v>
      </c>
      <c r="AL182" s="532"/>
      <c r="AM182" s="532"/>
      <c r="AN182" s="532"/>
      <c r="AO182" s="532"/>
      <c r="AP182" s="532"/>
      <c r="AQ182" s="306" t="s">
        <v>95</v>
      </c>
      <c r="AR182" s="604">
        <f>(Z182*AB182*(AK182)/AD183)^0.5</f>
        <v>1802.8830143728617</v>
      </c>
      <c r="AS182" s="604"/>
      <c r="AT182" s="604"/>
      <c r="AU182" s="604"/>
      <c r="AV182" s="604"/>
      <c r="AW182" s="599"/>
      <c r="AX182" s="599"/>
      <c r="AY182" s="599"/>
      <c r="AZ182" s="599"/>
      <c r="BA182" s="599"/>
      <c r="BB182" s="599"/>
      <c r="BC182" s="599"/>
    </row>
    <row r="183" spans="2:55" ht="12.75" customHeight="1">
      <c r="B183" s="260"/>
      <c r="C183" s="176"/>
      <c r="D183" s="176"/>
      <c r="E183" s="176"/>
      <c r="F183" s="176"/>
      <c r="G183" s="176"/>
      <c r="H183" s="256"/>
      <c r="I183" s="237"/>
      <c r="J183" s="208"/>
      <c r="K183" s="208"/>
      <c r="L183" s="208"/>
      <c r="M183" s="208"/>
      <c r="N183" s="208"/>
      <c r="O183" s="208"/>
      <c r="P183" s="208"/>
      <c r="Q183" s="208"/>
      <c r="R183" s="208"/>
      <c r="S183" s="208"/>
      <c r="T183" s="208" t="s">
        <v>267</v>
      </c>
      <c r="U183" s="208"/>
      <c r="V183" s="208"/>
      <c r="W183" s="208"/>
      <c r="X183" s="208"/>
      <c r="Y183" s="208"/>
      <c r="Z183" s="208"/>
      <c r="AA183" s="208"/>
      <c r="AB183" s="208"/>
      <c r="AC183" s="208"/>
      <c r="AD183" s="616">
        <f>AM172*1000</f>
        <v>28.003501627114776</v>
      </c>
      <c r="AE183" s="616"/>
      <c r="AF183" s="616"/>
      <c r="AG183" s="616"/>
      <c r="AH183" s="616"/>
      <c r="AI183" s="616"/>
      <c r="AJ183" s="616"/>
      <c r="AK183" s="616"/>
      <c r="AL183" s="616"/>
      <c r="AM183" s="208"/>
      <c r="AN183" s="208"/>
      <c r="AO183" s="208"/>
      <c r="AP183" s="208"/>
      <c r="AQ183" s="208"/>
      <c r="AR183" s="208"/>
      <c r="AS183" s="208"/>
      <c r="AT183" s="179"/>
      <c r="AU183" s="180"/>
      <c r="AV183" s="209"/>
      <c r="AW183" s="599"/>
      <c r="AX183" s="599"/>
      <c r="AY183" s="599"/>
      <c r="AZ183" s="599"/>
      <c r="BA183" s="599"/>
      <c r="BB183" s="599"/>
      <c r="BC183" s="599"/>
    </row>
    <row r="184" spans="2:55" ht="12.75" customHeight="1">
      <c r="B184" s="261"/>
      <c r="C184" s="222"/>
      <c r="D184" s="222"/>
      <c r="E184" s="222"/>
      <c r="F184" s="222"/>
      <c r="G184" s="222"/>
      <c r="H184" s="256"/>
      <c r="I184" s="237"/>
      <c r="J184" s="208"/>
      <c r="K184" s="208"/>
      <c r="L184" s="208"/>
      <c r="M184" s="208"/>
      <c r="N184" s="208"/>
      <c r="O184" s="208"/>
      <c r="P184" s="208"/>
      <c r="Q184" s="208"/>
      <c r="R184" s="208"/>
      <c r="S184" s="208"/>
      <c r="T184" s="208"/>
      <c r="U184" s="208"/>
      <c r="V184" s="208"/>
      <c r="W184" s="208"/>
      <c r="X184" s="208"/>
      <c r="Y184" s="208"/>
      <c r="Z184" s="185"/>
      <c r="AA184" s="208"/>
      <c r="AB184" s="185"/>
      <c r="AC184" s="185"/>
      <c r="AD184" s="185"/>
      <c r="AE184" s="185"/>
      <c r="AF184" s="185"/>
      <c r="AG184" s="185"/>
      <c r="AH184" s="185"/>
      <c r="AI184" s="208"/>
      <c r="AJ184" s="189"/>
      <c r="AK184" s="208"/>
      <c r="AL184" s="208"/>
      <c r="AM184" s="208"/>
      <c r="AN184" s="208"/>
      <c r="AO184" s="208"/>
      <c r="AV184" s="209"/>
      <c r="AW184" s="207"/>
      <c r="AX184" s="208"/>
      <c r="AY184" s="208"/>
      <c r="AZ184" s="208"/>
      <c r="BA184" s="208"/>
      <c r="BB184" s="208"/>
      <c r="BC184" s="209"/>
    </row>
    <row r="185" spans="2:55" ht="12.75" customHeight="1">
      <c r="B185" s="262"/>
      <c r="C185" s="263"/>
      <c r="D185" s="263"/>
      <c r="E185" s="263"/>
      <c r="F185" s="263"/>
      <c r="G185" s="263"/>
      <c r="H185" s="256"/>
      <c r="I185" s="237"/>
      <c r="J185" s="185"/>
      <c r="K185" s="185"/>
      <c r="L185" s="185"/>
      <c r="M185" s="185"/>
      <c r="N185" s="208"/>
      <c r="O185" s="208"/>
      <c r="P185" s="208"/>
      <c r="Q185" s="208"/>
      <c r="R185" s="208"/>
      <c r="S185" s="208"/>
      <c r="T185" s="208"/>
      <c r="Y185" s="208"/>
      <c r="Z185" s="227"/>
      <c r="AA185" s="208"/>
      <c r="AB185" s="208"/>
      <c r="AC185" s="208"/>
      <c r="AD185" s="208"/>
      <c r="AE185" s="208"/>
      <c r="AF185" s="208"/>
      <c r="AG185" s="208"/>
      <c r="AH185" s="208"/>
      <c r="AI185" s="208"/>
      <c r="AJ185" s="208"/>
      <c r="AK185" s="208"/>
      <c r="AL185" s="208"/>
      <c r="AM185" s="208"/>
      <c r="AN185" s="208"/>
      <c r="AO185" s="208"/>
      <c r="AP185" s="208"/>
      <c r="AQ185" s="208"/>
      <c r="AR185" s="208"/>
      <c r="AS185" s="208"/>
      <c r="AT185" s="179"/>
      <c r="AU185" s="180"/>
      <c r="AV185" s="209"/>
      <c r="AW185" s="207"/>
      <c r="AX185" s="208"/>
      <c r="AY185" s="208"/>
      <c r="AZ185" s="208"/>
      <c r="BA185" s="208"/>
      <c r="BB185" s="208"/>
      <c r="BC185" s="209"/>
    </row>
    <row r="186" spans="2:55" ht="12.75" customHeight="1">
      <c r="B186" s="260"/>
      <c r="C186" s="176"/>
      <c r="D186" s="176"/>
      <c r="E186" s="176"/>
      <c r="F186" s="176"/>
      <c r="G186" s="213"/>
      <c r="H186" s="256"/>
      <c r="I186" s="237"/>
      <c r="J186" s="189" t="s">
        <v>265</v>
      </c>
      <c r="K186" s="208"/>
      <c r="L186" s="208"/>
      <c r="M186" s="227" t="s">
        <v>95</v>
      </c>
      <c r="N186" s="418">
        <f>AD183</f>
        <v>28.003501627114776</v>
      </c>
      <c r="O186" s="418"/>
      <c r="P186" s="418"/>
      <c r="Q186" s="418"/>
      <c r="R186" s="418"/>
      <c r="S186" s="418"/>
      <c r="T186" s="236" t="s">
        <v>226</v>
      </c>
      <c r="U186" s="533">
        <v>0.32</v>
      </c>
      <c r="V186" s="533"/>
      <c r="W186" s="533"/>
      <c r="Y186" s="208"/>
      <c r="Z186" s="227" t="s">
        <v>95</v>
      </c>
      <c r="AA186" s="208"/>
      <c r="AB186" s="185"/>
      <c r="AC186" s="185"/>
      <c r="AD186" s="534">
        <f>(N186*U186^2)/8</f>
        <v>0.35844482082706913</v>
      </c>
      <c r="AE186" s="534"/>
      <c r="AF186" s="534"/>
      <c r="AG186" s="534"/>
      <c r="AH186" s="534"/>
      <c r="AI186" s="534"/>
      <c r="AJ186" s="534"/>
      <c r="AK186" s="208"/>
      <c r="AL186" s="227" t="s">
        <v>95</v>
      </c>
      <c r="AM186" s="208"/>
      <c r="AN186" s="617">
        <f>AD186</f>
        <v>0.35844482082706913</v>
      </c>
      <c r="AO186" s="617"/>
      <c r="AP186" s="617"/>
      <c r="AQ186" s="617"/>
      <c r="AR186" s="617"/>
      <c r="AS186" s="617"/>
      <c r="AT186" s="617"/>
      <c r="AU186" s="180"/>
      <c r="AV186" s="209"/>
      <c r="AW186" s="207"/>
      <c r="AX186" s="208"/>
      <c r="AY186" s="208"/>
      <c r="AZ186" s="208"/>
      <c r="BA186" s="208"/>
      <c r="BB186" s="208"/>
      <c r="BC186" s="209"/>
    </row>
    <row r="187" spans="2:55" ht="12.75" customHeight="1">
      <c r="B187" s="260"/>
      <c r="C187" s="176"/>
      <c r="D187" s="176"/>
      <c r="E187" s="176"/>
      <c r="F187" s="176"/>
      <c r="G187" s="213"/>
      <c r="H187" s="256"/>
      <c r="I187" s="237"/>
      <c r="J187" s="189"/>
      <c r="K187" s="208"/>
      <c r="L187" s="208"/>
      <c r="M187" s="227"/>
      <c r="N187" s="227"/>
      <c r="O187" s="227"/>
      <c r="P187" s="227"/>
      <c r="Q187" s="227"/>
      <c r="R187" s="226">
        <v>8</v>
      </c>
      <c r="S187" s="208"/>
      <c r="T187" s="240"/>
      <c r="U187" s="240"/>
      <c r="V187" s="240"/>
      <c r="W187" s="208"/>
      <c r="X187" s="208"/>
      <c r="Y187" s="208"/>
      <c r="Z187" s="227"/>
      <c r="AA187" s="208"/>
      <c r="AB187" s="185"/>
      <c r="AC187" s="185"/>
      <c r="AD187" s="185"/>
      <c r="AE187" s="185"/>
      <c r="AF187" s="185"/>
      <c r="AG187" s="185"/>
      <c r="AH187" s="185"/>
      <c r="AI187" s="185"/>
      <c r="AJ187" s="185"/>
      <c r="AK187" s="185"/>
      <c r="AL187" s="208"/>
      <c r="AM187" s="208"/>
      <c r="AN187" s="208"/>
      <c r="AO187" s="208"/>
      <c r="AP187" s="208"/>
      <c r="AQ187" s="208"/>
      <c r="AR187" s="208"/>
      <c r="AS187" s="208"/>
      <c r="AT187" s="179"/>
      <c r="AU187" s="180"/>
      <c r="AV187" s="209"/>
      <c r="AW187" s="207"/>
      <c r="AX187" s="208"/>
      <c r="AY187" s="208"/>
      <c r="AZ187" s="208"/>
      <c r="BA187" s="208"/>
      <c r="BB187" s="208"/>
      <c r="BC187" s="209"/>
    </row>
    <row r="188" spans="2:55" ht="12.75" customHeight="1">
      <c r="B188" s="260"/>
      <c r="C188" s="176"/>
      <c r="D188" s="176"/>
      <c r="E188" s="176"/>
      <c r="F188" s="176"/>
      <c r="G188" s="213"/>
      <c r="H188" s="256"/>
      <c r="I188" s="237"/>
      <c r="J188" s="189" t="s">
        <v>248</v>
      </c>
      <c r="K188" s="208"/>
      <c r="L188" s="236" t="s">
        <v>249</v>
      </c>
      <c r="M188" s="227"/>
      <c r="N188" s="227" t="s">
        <v>95</v>
      </c>
      <c r="O188" s="227"/>
      <c r="P188" s="536">
        <v>1</v>
      </c>
      <c r="Q188" s="536"/>
      <c r="R188" s="536"/>
      <c r="S188" s="536"/>
      <c r="T188" s="239" t="s">
        <v>97</v>
      </c>
      <c r="U188" s="537">
        <f>V177</f>
        <v>64</v>
      </c>
      <c r="V188" s="537"/>
      <c r="W188" s="537"/>
      <c r="X188" s="537"/>
      <c r="Y188" s="537"/>
      <c r="Z188" s="227" t="s">
        <v>95</v>
      </c>
      <c r="AA188" s="208"/>
      <c r="AB188" s="185"/>
      <c r="AC188" s="185"/>
      <c r="AD188" s="538">
        <f>(P188*U188^2)/T189</f>
        <v>682.66666666666663</v>
      </c>
      <c r="AE188" s="538"/>
      <c r="AF188" s="538"/>
      <c r="AG188" s="538"/>
      <c r="AH188" s="538"/>
      <c r="AI188" s="538"/>
      <c r="AJ188" s="538"/>
      <c r="AK188" s="185"/>
      <c r="AL188" s="208"/>
      <c r="AM188" s="208"/>
      <c r="AN188" s="208"/>
      <c r="AO188" s="208"/>
      <c r="AP188" s="208"/>
      <c r="AQ188" s="208"/>
      <c r="AR188" s="208"/>
      <c r="AS188" s="208"/>
      <c r="AT188" s="179"/>
      <c r="AU188" s="180"/>
      <c r="AV188" s="209"/>
      <c r="AW188" s="207"/>
      <c r="AX188" s="208"/>
      <c r="AY188" s="208"/>
      <c r="AZ188" s="208"/>
      <c r="BA188" s="208"/>
      <c r="BB188" s="208"/>
      <c r="BC188" s="209"/>
    </row>
    <row r="189" spans="2:55" ht="12.75" customHeight="1">
      <c r="B189" s="260"/>
      <c r="C189" s="176"/>
      <c r="D189" s="176"/>
      <c r="E189" s="176"/>
      <c r="F189" s="176"/>
      <c r="G189" s="213"/>
      <c r="H189" s="256"/>
      <c r="I189" s="237"/>
      <c r="J189" s="208"/>
      <c r="K189" s="208"/>
      <c r="L189" s="208">
        <v>6</v>
      </c>
      <c r="M189" s="208"/>
      <c r="N189" s="208"/>
      <c r="O189" s="208"/>
      <c r="P189" s="208"/>
      <c r="Q189" s="208"/>
      <c r="R189" s="185"/>
      <c r="S189" s="208"/>
      <c r="T189" s="208">
        <v>6</v>
      </c>
      <c r="U189" s="208"/>
      <c r="V189" s="208"/>
      <c r="W189" s="208"/>
      <c r="X189" s="208"/>
      <c r="Y189" s="208"/>
      <c r="Z189" s="227"/>
      <c r="AA189" s="208"/>
      <c r="AB189" s="208"/>
      <c r="AC189" s="208"/>
      <c r="AD189" s="208"/>
      <c r="AE189" s="208"/>
      <c r="AF189" s="208"/>
      <c r="AG189" s="208"/>
      <c r="AH189" s="208"/>
      <c r="AI189" s="208"/>
      <c r="AJ189" s="208"/>
      <c r="AK189" s="208"/>
      <c r="AL189" s="208"/>
      <c r="AM189" s="208"/>
      <c r="AN189" s="208"/>
      <c r="AO189" s="208"/>
      <c r="AP189" s="208"/>
      <c r="AQ189" s="185"/>
      <c r="AR189" s="185"/>
      <c r="AS189" s="185"/>
      <c r="AT189" s="185"/>
      <c r="AU189" s="185"/>
      <c r="AV189" s="209"/>
      <c r="AW189" s="207"/>
      <c r="AX189" s="208"/>
      <c r="AY189" s="208"/>
      <c r="AZ189" s="208"/>
      <c r="BA189" s="208"/>
      <c r="BB189" s="208"/>
      <c r="BC189" s="209"/>
    </row>
    <row r="190" spans="2:55" ht="12.75" customHeight="1">
      <c r="B190" s="260"/>
      <c r="C190" s="176"/>
      <c r="D190" s="176"/>
      <c r="E190" s="176"/>
      <c r="F190" s="176"/>
      <c r="G190" s="213"/>
      <c r="H190" s="256"/>
      <c r="I190" s="237"/>
      <c r="J190" s="205" t="s">
        <v>268</v>
      </c>
      <c r="K190" s="208"/>
      <c r="L190" s="208"/>
      <c r="M190" s="208"/>
      <c r="N190" s="227" t="s">
        <v>95</v>
      </c>
      <c r="O190" s="189" t="s">
        <v>269</v>
      </c>
      <c r="P190" s="208"/>
      <c r="Q190" s="227" t="s">
        <v>169</v>
      </c>
      <c r="R190" s="208" t="s">
        <v>117</v>
      </c>
      <c r="S190" s="208"/>
      <c r="T190" s="208"/>
      <c r="U190" s="208"/>
      <c r="V190" s="208"/>
      <c r="W190" s="208"/>
      <c r="X190" s="208"/>
      <c r="Y190" s="208"/>
      <c r="Z190" s="227" t="s">
        <v>95</v>
      </c>
      <c r="AA190" s="208"/>
      <c r="AB190" s="208"/>
      <c r="AC190" s="602">
        <f>AN186*1000000</f>
        <v>358444.82082706911</v>
      </c>
      <c r="AD190" s="602"/>
      <c r="AE190" s="602"/>
      <c r="AF190" s="602"/>
      <c r="AG190" s="602"/>
      <c r="AH190" s="602"/>
      <c r="AI190" s="602"/>
      <c r="AJ190" s="208"/>
      <c r="AK190" s="208"/>
      <c r="AL190" s="208"/>
      <c r="AM190" s="185"/>
      <c r="AN190" s="227" t="s">
        <v>95</v>
      </c>
      <c r="AO190" s="476">
        <f>(AC190/AC191)/1000</f>
        <v>0.52506565550840212</v>
      </c>
      <c r="AP190" s="476"/>
      <c r="AQ190" s="476"/>
      <c r="AR190" s="476"/>
      <c r="AS190" s="476"/>
      <c r="AT190" s="476"/>
      <c r="AU190" s="476"/>
      <c r="AV190" s="535"/>
      <c r="AW190" s="207"/>
      <c r="AX190" s="208"/>
      <c r="AY190" s="208"/>
      <c r="AZ190" s="208"/>
      <c r="BA190" s="208"/>
      <c r="BB190" s="208"/>
      <c r="BC190" s="209"/>
    </row>
    <row r="191" spans="2:55" ht="12.75" customHeight="1">
      <c r="B191" s="260"/>
      <c r="C191" s="176"/>
      <c r="D191" s="176"/>
      <c r="E191" s="176"/>
      <c r="F191" s="176"/>
      <c r="G191" s="213"/>
      <c r="H191" s="256"/>
      <c r="I191" s="237"/>
      <c r="J191" s="208"/>
      <c r="K191" s="208"/>
      <c r="L191" s="208"/>
      <c r="M191" s="208"/>
      <c r="N191" s="208"/>
      <c r="O191" s="208"/>
      <c r="P191" s="208"/>
      <c r="Q191" s="208"/>
      <c r="R191" s="208"/>
      <c r="S191" s="208"/>
      <c r="T191" s="208"/>
      <c r="U191" s="208"/>
      <c r="V191" s="208"/>
      <c r="W191" s="208"/>
      <c r="X191" s="208"/>
      <c r="Y191" s="208"/>
      <c r="Z191" s="227"/>
      <c r="AA191" s="208"/>
      <c r="AB191" s="208"/>
      <c r="AC191" s="603">
        <f>AD188</f>
        <v>682.66666666666663</v>
      </c>
      <c r="AD191" s="603"/>
      <c r="AE191" s="603"/>
      <c r="AF191" s="603"/>
      <c r="AG191" s="603"/>
      <c r="AH191" s="603"/>
      <c r="AI191" s="603"/>
      <c r="AJ191" s="208"/>
      <c r="AK191" s="208"/>
      <c r="AL191" s="208"/>
      <c r="AM191" s="208"/>
      <c r="AN191" s="208"/>
      <c r="AO191" s="208"/>
      <c r="AP191" s="208"/>
      <c r="AQ191" s="208"/>
      <c r="AR191" s="208"/>
      <c r="AS191" s="208"/>
      <c r="AT191" s="179"/>
      <c r="AU191" s="180"/>
      <c r="AV191" s="209"/>
      <c r="AW191" s="207"/>
      <c r="AX191" s="185"/>
      <c r="AY191" s="185"/>
      <c r="AZ191" s="185"/>
      <c r="BA191" s="208"/>
      <c r="BB191" s="208"/>
      <c r="BC191" s="209"/>
    </row>
    <row r="192" spans="2:55" ht="12.75" customHeight="1">
      <c r="B192" s="260"/>
      <c r="C192" s="176"/>
      <c r="D192" s="176"/>
      <c r="E192" s="176"/>
      <c r="F192" s="176"/>
      <c r="G192" s="213"/>
      <c r="H192" s="256"/>
      <c r="I192" s="237"/>
      <c r="J192" s="185"/>
      <c r="K192" s="208"/>
      <c r="L192" s="208"/>
      <c r="M192" s="208"/>
      <c r="N192" s="208"/>
      <c r="O192" s="208"/>
      <c r="P192" s="208"/>
      <c r="Q192" s="208"/>
      <c r="R192" s="208"/>
      <c r="S192" s="208"/>
      <c r="T192" s="208"/>
      <c r="U192" s="208"/>
      <c r="V192" s="208"/>
      <c r="W192" s="208"/>
      <c r="AD192" s="185"/>
      <c r="AE192" s="185"/>
      <c r="AF192" s="185"/>
      <c r="AG192" s="185"/>
      <c r="AH192" s="185"/>
      <c r="AI192" s="208"/>
      <c r="AJ192" s="208"/>
      <c r="AK192" s="208"/>
      <c r="AL192" s="208"/>
      <c r="AM192" s="208"/>
      <c r="AN192" s="208"/>
      <c r="AO192" s="208"/>
      <c r="AP192" s="208"/>
      <c r="AQ192" s="208"/>
      <c r="AR192" s="185"/>
      <c r="AS192" s="185"/>
      <c r="AT192" s="185"/>
      <c r="AU192" s="185"/>
      <c r="AV192" s="201"/>
      <c r="AW192" s="207"/>
      <c r="AX192" s="208"/>
      <c r="AY192" s="208"/>
      <c r="AZ192" s="208"/>
      <c r="BA192" s="208"/>
      <c r="BB192" s="208"/>
      <c r="BC192" s="209"/>
    </row>
    <row r="193" spans="2:55" ht="12.75" customHeight="1">
      <c r="B193" s="260"/>
      <c r="C193" s="176"/>
      <c r="D193" s="176"/>
      <c r="E193" s="176"/>
      <c r="F193" s="176"/>
      <c r="G193" s="213"/>
      <c r="H193" s="256"/>
      <c r="I193" s="237"/>
      <c r="J193" s="189" t="s">
        <v>227</v>
      </c>
      <c r="K193" s="208"/>
      <c r="L193" s="208"/>
      <c r="M193" s="208"/>
      <c r="N193" s="208"/>
      <c r="O193" s="208"/>
      <c r="P193" s="208"/>
      <c r="Q193" s="208"/>
      <c r="R193" s="208"/>
      <c r="S193" s="208"/>
      <c r="T193" s="208"/>
      <c r="U193" s="208"/>
      <c r="V193" s="208"/>
      <c r="W193" s="208"/>
      <c r="X193" s="208"/>
      <c r="Y193" s="208"/>
      <c r="Z193" s="227" t="s">
        <v>95</v>
      </c>
      <c r="AA193" s="476">
        <f>AO190</f>
        <v>0.52506565550840212</v>
      </c>
      <c r="AB193" s="476"/>
      <c r="AC193" s="476"/>
      <c r="AD193" s="476"/>
      <c r="AE193" s="476"/>
      <c r="AF193" s="476"/>
      <c r="AG193" s="476"/>
      <c r="AH193" s="535"/>
      <c r="AI193" s="241" t="s">
        <v>169</v>
      </c>
      <c r="AJ193" s="476">
        <f>AN174</f>
        <v>16.666666666666668</v>
      </c>
      <c r="AK193" s="476"/>
      <c r="AL193" s="476"/>
      <c r="AM193" s="476"/>
      <c r="AN193" s="476"/>
      <c r="AO193" s="535"/>
      <c r="AP193" s="227" t="s">
        <v>95</v>
      </c>
      <c r="AQ193" s="467">
        <f>AA193/AJ193*100</f>
        <v>3.1503939330504127</v>
      </c>
      <c r="AR193" s="467"/>
      <c r="AS193" s="467"/>
      <c r="AT193" s="467"/>
      <c r="AU193" s="467"/>
      <c r="AV193" s="611"/>
      <c r="AW193" s="420" t="str">
        <f>IF(AR190&lt;100,  "PASS", "FAIL")</f>
        <v>PASS</v>
      </c>
      <c r="AX193" s="420"/>
      <c r="AY193" s="420"/>
      <c r="AZ193" s="420"/>
      <c r="BA193" s="420"/>
      <c r="BB193" s="420"/>
      <c r="BC193" s="420"/>
    </row>
    <row r="194" spans="2:55" ht="12.75" customHeight="1">
      <c r="B194" s="260"/>
      <c r="C194" s="176"/>
      <c r="D194" s="176"/>
      <c r="E194" s="176"/>
      <c r="F194" s="176"/>
      <c r="G194" s="213"/>
      <c r="H194" s="256"/>
      <c r="I194" s="237"/>
      <c r="J194" s="213" t="s">
        <v>218</v>
      </c>
      <c r="K194" s="180"/>
      <c r="L194" s="180"/>
      <c r="M194" s="180"/>
      <c r="N194" s="180"/>
      <c r="O194" s="180"/>
      <c r="P194" s="208"/>
      <c r="Q194" s="208"/>
      <c r="R194" s="208"/>
      <c r="S194" s="208"/>
      <c r="T194" s="208"/>
      <c r="U194" s="208"/>
      <c r="V194" s="208"/>
      <c r="W194" s="208"/>
      <c r="X194" s="208"/>
      <c r="Y194" s="208"/>
      <c r="Z194" s="208"/>
      <c r="AA194" s="208"/>
      <c r="AB194" s="214"/>
      <c r="AC194" s="208"/>
      <c r="AD194" s="214"/>
      <c r="AE194" s="214"/>
      <c r="AF194" s="208"/>
      <c r="AG194" s="208"/>
      <c r="AH194" s="208"/>
      <c r="AI194" s="208"/>
      <c r="AJ194" s="208"/>
      <c r="AK194" s="208"/>
      <c r="AL194" s="208"/>
      <c r="AM194" s="208"/>
      <c r="AN194" s="208"/>
      <c r="AO194" s="208"/>
      <c r="AP194" s="208"/>
      <c r="AQ194" s="208"/>
      <c r="AR194" s="208"/>
      <c r="AS194" s="208"/>
      <c r="AT194" s="179"/>
      <c r="AU194" s="180"/>
      <c r="AV194" s="201"/>
      <c r="AW194" s="207"/>
      <c r="AX194" s="185"/>
      <c r="AY194" s="185"/>
      <c r="AZ194" s="185"/>
      <c r="BA194" s="185"/>
      <c r="BB194" s="185"/>
      <c r="BC194" s="209"/>
    </row>
    <row r="195" spans="2:55" ht="12.75" customHeight="1">
      <c r="B195" s="260"/>
      <c r="C195" s="176"/>
      <c r="D195" s="176"/>
      <c r="E195" s="176"/>
      <c r="F195" s="176"/>
      <c r="G195" s="213"/>
      <c r="H195" s="256"/>
      <c r="I195" s="237"/>
      <c r="J195" s="180"/>
      <c r="K195" s="180"/>
      <c r="L195" s="180"/>
      <c r="M195" s="180"/>
      <c r="N195" s="180"/>
      <c r="O195" s="180"/>
      <c r="P195" s="205" t="s">
        <v>270</v>
      </c>
      <c r="Q195" s="214"/>
      <c r="R195" s="180"/>
      <c r="S195" s="180"/>
      <c r="T195" s="215"/>
      <c r="U195" s="243" t="s">
        <v>95</v>
      </c>
      <c r="V195" s="601">
        <f>AM160</f>
        <v>33</v>
      </c>
      <c r="W195" s="601"/>
      <c r="X195" s="601"/>
      <c r="Y195" s="601"/>
      <c r="Z195" s="601"/>
      <c r="AA195" s="601"/>
      <c r="AB195" s="214"/>
      <c r="AC195" s="216" t="s">
        <v>95</v>
      </c>
      <c r="AD195" s="214"/>
      <c r="AE195" s="214"/>
      <c r="AF195" s="476">
        <f>V195/V196</f>
        <v>22</v>
      </c>
      <c r="AG195" s="476"/>
      <c r="AH195" s="476"/>
      <c r="AI195" s="476"/>
      <c r="AJ195" s="476"/>
      <c r="AK195" s="476"/>
      <c r="AL195" s="208"/>
      <c r="AM195" s="208"/>
      <c r="AN195" s="208"/>
      <c r="AO195" s="208"/>
      <c r="AP195" s="208"/>
      <c r="AQ195" s="208"/>
      <c r="AR195" s="208"/>
      <c r="AS195" s="208"/>
      <c r="AT195" s="179"/>
      <c r="AU195" s="180"/>
      <c r="AV195" s="201"/>
      <c r="AW195" s="207"/>
      <c r="AX195" s="208"/>
      <c r="AY195" s="208"/>
      <c r="AZ195" s="208"/>
      <c r="BA195" s="208"/>
      <c r="BB195" s="208"/>
      <c r="BC195" s="242"/>
    </row>
    <row r="196" spans="2:55" ht="12.75" customHeight="1">
      <c r="B196" s="260"/>
      <c r="C196" s="176"/>
      <c r="D196" s="176"/>
      <c r="E196" s="176"/>
      <c r="F196" s="176"/>
      <c r="G196" s="213"/>
      <c r="H196" s="256"/>
      <c r="I196" s="237"/>
      <c r="J196" s="180"/>
      <c r="K196" s="180"/>
      <c r="L196" s="180"/>
      <c r="M196" s="180"/>
      <c r="N196" s="180"/>
      <c r="O196" s="180"/>
      <c r="P196" s="180"/>
      <c r="Q196" s="214"/>
      <c r="R196" s="180" t="s">
        <v>217</v>
      </c>
      <c r="S196" s="180"/>
      <c r="T196" s="215"/>
      <c r="U196" s="180"/>
      <c r="V196" s="400">
        <v>1.5</v>
      </c>
      <c r="W196" s="400"/>
      <c r="X196" s="400"/>
      <c r="Y196" s="400"/>
      <c r="Z196" s="400"/>
      <c r="AA196" s="400"/>
      <c r="AB196" s="180"/>
      <c r="AC196" s="180"/>
      <c r="AD196" s="180"/>
      <c r="AE196" s="214"/>
      <c r="AF196" s="214"/>
      <c r="AG196" s="180"/>
      <c r="AH196" s="180"/>
      <c r="AI196" s="180"/>
      <c r="AJ196" s="180"/>
      <c r="AK196" s="180"/>
      <c r="AL196" s="208"/>
      <c r="AM196" s="208"/>
      <c r="AN196" s="208"/>
      <c r="AO196" s="208"/>
      <c r="AP196" s="208"/>
      <c r="AQ196" s="208"/>
      <c r="AR196" s="208"/>
      <c r="AS196" s="208"/>
      <c r="AT196" s="179"/>
      <c r="AU196" s="180"/>
      <c r="AV196" s="201"/>
      <c r="AW196" s="207"/>
      <c r="AX196" s="208"/>
      <c r="AY196" s="208"/>
      <c r="AZ196" s="208"/>
      <c r="BA196" s="208"/>
      <c r="BB196" s="208"/>
      <c r="BC196" s="242"/>
    </row>
    <row r="197" spans="2:55" ht="12.75" customHeight="1">
      <c r="B197" s="260"/>
      <c r="C197" s="176"/>
      <c r="D197" s="176"/>
      <c r="E197" s="176"/>
      <c r="F197" s="176"/>
      <c r="G197" s="213"/>
      <c r="H197" s="256"/>
      <c r="I197" s="237"/>
      <c r="J197" s="180"/>
      <c r="K197" s="180"/>
      <c r="L197" s="180"/>
      <c r="M197" s="180"/>
      <c r="N197" s="180"/>
      <c r="O197" s="180"/>
      <c r="P197" s="180"/>
      <c r="Q197" s="214"/>
      <c r="R197" s="180"/>
      <c r="S197" s="180"/>
      <c r="T197" s="215"/>
      <c r="U197" s="180"/>
      <c r="V197" s="180"/>
      <c r="W197" s="180"/>
      <c r="X197" s="180"/>
      <c r="Y197" s="180"/>
      <c r="Z197" s="180"/>
      <c r="AA197" s="180"/>
      <c r="AB197" s="180"/>
      <c r="AC197" s="180"/>
      <c r="AD197" s="180"/>
      <c r="AE197" s="214"/>
      <c r="AF197" s="214"/>
      <c r="AG197" s="180"/>
      <c r="AH197" s="180"/>
      <c r="AI197" s="180"/>
      <c r="AJ197" s="180"/>
      <c r="AK197" s="180"/>
      <c r="AL197" s="208"/>
      <c r="AM197" s="208"/>
      <c r="AN197" s="208"/>
      <c r="AO197" s="208"/>
      <c r="AP197" s="208"/>
      <c r="AQ197" s="208"/>
      <c r="AR197" s="208"/>
      <c r="AS197" s="208"/>
      <c r="AT197" s="179"/>
      <c r="AU197" s="180"/>
      <c r="AV197" s="201"/>
      <c r="AW197" s="207"/>
      <c r="AX197" s="208"/>
      <c r="AY197" s="208"/>
      <c r="AZ197" s="208"/>
      <c r="BA197" s="208"/>
      <c r="BB197" s="208"/>
      <c r="BC197" s="242"/>
    </row>
    <row r="198" spans="2:55" ht="12.75" customHeight="1">
      <c r="B198" s="260"/>
      <c r="C198" s="176"/>
      <c r="D198" s="176"/>
      <c r="E198" s="176"/>
      <c r="F198" s="176"/>
      <c r="G198" s="213"/>
      <c r="H198" s="256"/>
      <c r="I198" s="237"/>
      <c r="J198" s="180"/>
      <c r="K198" s="208"/>
      <c r="L198" s="208"/>
      <c r="M198" s="208"/>
      <c r="N198" s="208"/>
      <c r="O198" s="208"/>
      <c r="P198" s="208"/>
      <c r="Q198" s="205"/>
      <c r="R198" s="208"/>
      <c r="S198" s="208"/>
      <c r="T198" s="208"/>
      <c r="U198" s="208"/>
      <c r="V198" s="208"/>
      <c r="W198" s="208"/>
      <c r="X198" s="208"/>
      <c r="Y198" s="208"/>
      <c r="Z198" s="208"/>
      <c r="AA198" s="208"/>
      <c r="AB198" s="208"/>
      <c r="AC198" s="208"/>
      <c r="AD198" s="208"/>
      <c r="AE198" s="208"/>
      <c r="AF198" s="208"/>
      <c r="AG198" s="208"/>
      <c r="AH198" s="208"/>
      <c r="AI198" s="208"/>
      <c r="AJ198" s="189"/>
      <c r="AK198" s="208"/>
      <c r="AL198" s="208"/>
      <c r="AM198" s="208"/>
      <c r="AN198" s="208"/>
      <c r="AO198" s="208"/>
      <c r="AP198" s="208"/>
      <c r="AQ198" s="208"/>
      <c r="AR198" s="208"/>
      <c r="AS198" s="208"/>
      <c r="AT198" s="179"/>
      <c r="AU198" s="180"/>
      <c r="AV198" s="201"/>
      <c r="AW198" s="207"/>
      <c r="AX198" s="208"/>
      <c r="AY198" s="208"/>
      <c r="AZ198" s="208"/>
      <c r="BA198" s="208"/>
      <c r="BB198" s="208"/>
      <c r="BC198" s="242"/>
    </row>
    <row r="199" spans="2:55" ht="12.75" customHeight="1">
      <c r="B199" s="260"/>
      <c r="C199" s="176"/>
      <c r="D199" s="176"/>
      <c r="E199" s="176"/>
      <c r="F199" s="176"/>
      <c r="G199" s="213"/>
      <c r="H199" s="256"/>
      <c r="I199" s="237"/>
      <c r="J199" s="205" t="s">
        <v>271</v>
      </c>
      <c r="K199" s="180"/>
      <c r="L199" s="180"/>
      <c r="M199" s="180"/>
      <c r="N199" s="208"/>
      <c r="O199" s="208" t="s">
        <v>224</v>
      </c>
      <c r="P199" s="208"/>
      <c r="Q199" s="205" t="s">
        <v>272</v>
      </c>
      <c r="R199" s="208"/>
      <c r="S199" s="244"/>
      <c r="T199" s="244"/>
      <c r="U199" s="208" t="s">
        <v>225</v>
      </c>
      <c r="V199" s="189" t="s">
        <v>273</v>
      </c>
      <c r="X199" s="227" t="s">
        <v>95</v>
      </c>
      <c r="Y199" s="600">
        <f>AD183</f>
        <v>28.003501627114776</v>
      </c>
      <c r="Z199" s="600"/>
      <c r="AA199" s="600"/>
      <c r="AB199" s="600"/>
      <c r="AC199" s="600"/>
      <c r="AD199" s="600"/>
      <c r="AE199" s="236" t="s">
        <v>97</v>
      </c>
      <c r="AF199" s="402">
        <f>(AM161)/1000</f>
        <v>0.32</v>
      </c>
      <c r="AG199" s="402"/>
      <c r="AH199" s="402"/>
      <c r="AI199" s="402"/>
      <c r="AJ199" s="241" t="s">
        <v>95</v>
      </c>
      <c r="AK199" s="208"/>
      <c r="AL199" s="477">
        <f>((Y199*AF199)/Y200)</f>
        <v>4.4805602603383639</v>
      </c>
      <c r="AM199" s="477"/>
      <c r="AN199" s="477"/>
      <c r="AO199" s="477"/>
      <c r="AP199" s="477"/>
      <c r="AQ199" s="477"/>
      <c r="AR199" s="477"/>
      <c r="AS199" s="477"/>
      <c r="AT199" s="179"/>
      <c r="AU199" s="180"/>
      <c r="AV199" s="201"/>
      <c r="AW199" s="207"/>
      <c r="AX199" s="208"/>
      <c r="AY199" s="208"/>
      <c r="AZ199" s="208"/>
      <c r="BA199" s="208"/>
      <c r="BB199" s="208"/>
      <c r="BC199" s="242"/>
    </row>
    <row r="200" spans="2:55" ht="12.75" customHeight="1">
      <c r="B200" s="260"/>
      <c r="C200" s="176"/>
      <c r="D200" s="176"/>
      <c r="E200" s="176"/>
      <c r="F200" s="176"/>
      <c r="G200" s="213"/>
      <c r="H200" s="256"/>
      <c r="I200" s="237"/>
      <c r="J200" s="439" t="s">
        <v>219</v>
      </c>
      <c r="K200" s="439"/>
      <c r="L200" s="180"/>
      <c r="M200" s="180"/>
      <c r="N200" s="208"/>
      <c r="O200" s="208"/>
      <c r="P200" s="208"/>
      <c r="Q200" s="208"/>
      <c r="R200" s="208"/>
      <c r="S200" s="337">
        <v>2</v>
      </c>
      <c r="T200" s="337"/>
      <c r="U200" s="208"/>
      <c r="V200" s="208"/>
      <c r="W200" s="208"/>
      <c r="X200" s="208"/>
      <c r="Y200" s="471">
        <v>2</v>
      </c>
      <c r="Z200" s="471"/>
      <c r="AA200" s="471"/>
      <c r="AB200" s="471"/>
      <c r="AC200" s="471"/>
      <c r="AD200" s="471"/>
      <c r="AE200" s="471"/>
      <c r="AF200" s="471"/>
      <c r="AG200" s="471"/>
      <c r="AH200" s="471"/>
      <c r="AI200" s="471"/>
      <c r="AJ200" s="189"/>
      <c r="AK200" s="208"/>
      <c r="AL200" s="208"/>
      <c r="AM200" s="208"/>
      <c r="AN200" s="208"/>
      <c r="AO200" s="208"/>
      <c r="AP200" s="208"/>
      <c r="AQ200" s="208"/>
      <c r="AR200" s="208"/>
      <c r="AS200" s="208"/>
      <c r="AT200" s="179"/>
      <c r="AU200" s="180"/>
      <c r="AV200" s="201"/>
      <c r="AW200" s="207"/>
      <c r="AX200" s="208"/>
      <c r="AY200" s="208"/>
      <c r="AZ200" s="208"/>
      <c r="BA200" s="208"/>
      <c r="BB200" s="208"/>
      <c r="BC200" s="242"/>
    </row>
    <row r="201" spans="2:55" ht="12.75" customHeight="1">
      <c r="B201" s="260"/>
      <c r="C201" s="176"/>
      <c r="D201" s="176"/>
      <c r="E201" s="176"/>
      <c r="F201" s="176"/>
      <c r="G201" s="213"/>
      <c r="H201" s="256"/>
      <c r="I201" s="237"/>
      <c r="J201" s="208"/>
      <c r="K201" s="208"/>
      <c r="L201" s="208"/>
      <c r="M201" s="208"/>
      <c r="N201" s="208"/>
      <c r="O201" s="208"/>
      <c r="P201" s="208"/>
      <c r="Q201" s="208"/>
      <c r="R201" s="208"/>
      <c r="S201" s="208"/>
      <c r="T201" s="208"/>
      <c r="U201" s="208"/>
      <c r="V201" s="208"/>
      <c r="W201" s="208"/>
      <c r="X201" s="208"/>
      <c r="Y201" s="208"/>
      <c r="Z201" s="208"/>
      <c r="AA201" s="208"/>
      <c r="AB201" s="208"/>
      <c r="AC201" s="208"/>
      <c r="AD201" s="208"/>
      <c r="AE201" s="208"/>
      <c r="AF201" s="208"/>
      <c r="AG201" s="208"/>
      <c r="AH201" s="208"/>
      <c r="AI201" s="208"/>
      <c r="AJ201" s="208"/>
      <c r="AK201" s="208"/>
      <c r="AL201" s="208"/>
      <c r="AM201" s="208"/>
      <c r="AN201" s="208"/>
      <c r="AO201" s="208"/>
      <c r="AP201" s="208"/>
      <c r="AQ201" s="208"/>
      <c r="AR201" s="208"/>
      <c r="AS201" s="208"/>
      <c r="AT201" s="208"/>
      <c r="AU201" s="208"/>
      <c r="AV201" s="242"/>
      <c r="AW201" s="207"/>
      <c r="AX201" s="208"/>
      <c r="AY201" s="208"/>
      <c r="AZ201" s="208"/>
      <c r="BA201" s="208"/>
      <c r="BB201" s="208"/>
      <c r="BC201" s="242"/>
    </row>
    <row r="202" spans="2:55" ht="12.75" customHeight="1">
      <c r="B202" s="260"/>
      <c r="C202" s="176"/>
      <c r="D202" s="176"/>
      <c r="E202" s="176"/>
      <c r="F202" s="176"/>
      <c r="G202" s="213"/>
      <c r="H202" s="256"/>
      <c r="I202" s="237"/>
      <c r="J202" s="208" t="s">
        <v>274</v>
      </c>
      <c r="K202" s="208"/>
      <c r="L202" s="227" t="s">
        <v>95</v>
      </c>
      <c r="M202" s="208"/>
      <c r="N202" s="539">
        <f>AL199</f>
        <v>4.4805602603383639</v>
      </c>
      <c r="O202" s="539"/>
      <c r="P202" s="539"/>
      <c r="Q202" s="539"/>
      <c r="R202" s="539"/>
      <c r="S202" s="539"/>
      <c r="T202" s="539"/>
      <c r="U202" s="539"/>
      <c r="V202" s="208"/>
      <c r="W202" s="227" t="s">
        <v>95</v>
      </c>
      <c r="X202" s="208"/>
      <c r="Y202" s="418">
        <f>N202/(N203*S203)*1000</f>
        <v>7.0008754067786935E-2</v>
      </c>
      <c r="Z202" s="418"/>
      <c r="AA202" s="418"/>
      <c r="AB202" s="418"/>
      <c r="AC202" s="418"/>
      <c r="AD202" s="418"/>
      <c r="AE202" s="418"/>
      <c r="AF202" s="214"/>
      <c r="AG202" s="180"/>
      <c r="AH202" s="180"/>
      <c r="AI202" s="180"/>
      <c r="AJ202" s="180"/>
      <c r="AK202" s="180"/>
      <c r="AL202" s="180"/>
      <c r="AM202" s="245"/>
      <c r="AN202" s="245"/>
      <c r="AO202" s="180"/>
      <c r="AP202" s="180"/>
      <c r="AQ202" s="180"/>
      <c r="AR202" s="180"/>
      <c r="AS202" s="180"/>
      <c r="AT202" s="180"/>
      <c r="AU202" s="180"/>
      <c r="AV202" s="201"/>
      <c r="AW202" s="207"/>
      <c r="AX202" s="208"/>
      <c r="AY202" s="208"/>
      <c r="AZ202" s="208"/>
      <c r="BA202" s="208"/>
      <c r="BB202" s="208"/>
      <c r="BC202" s="242"/>
    </row>
    <row r="203" spans="2:55" ht="12.75" customHeight="1">
      <c r="B203" s="260"/>
      <c r="C203" s="176"/>
      <c r="D203" s="176"/>
      <c r="E203" s="176"/>
      <c r="F203" s="176"/>
      <c r="G203" s="213"/>
      <c r="H203" s="256"/>
      <c r="I203" s="237"/>
      <c r="J203" s="208"/>
      <c r="K203" s="208"/>
      <c r="L203" s="180"/>
      <c r="M203" s="180"/>
      <c r="N203" s="419">
        <v>1000</v>
      </c>
      <c r="O203" s="419"/>
      <c r="P203" s="419"/>
      <c r="Q203" s="419"/>
      <c r="R203" s="208" t="s">
        <v>97</v>
      </c>
      <c r="S203" s="419">
        <f>V156</f>
        <v>64</v>
      </c>
      <c r="T203" s="471"/>
      <c r="U203" s="471"/>
      <c r="V203" s="180"/>
      <c r="W203" s="180"/>
      <c r="X203" s="180"/>
      <c r="Y203" s="208"/>
      <c r="Z203" s="208"/>
      <c r="AA203" s="208"/>
      <c r="AB203" s="208"/>
      <c r="AC203" s="208"/>
      <c r="AD203" s="208"/>
      <c r="AE203" s="208"/>
      <c r="AF203" s="208"/>
      <c r="AG203" s="208"/>
      <c r="AH203" s="208"/>
      <c r="AI203" s="208"/>
      <c r="AJ203" s="208"/>
      <c r="AK203" s="208"/>
      <c r="AL203" s="208"/>
      <c r="AM203" s="176"/>
      <c r="AN203" s="176"/>
      <c r="AO203" s="208"/>
      <c r="AP203" s="208"/>
      <c r="AQ203" s="208"/>
      <c r="AR203" s="208"/>
      <c r="AS203" s="208"/>
      <c r="AT203" s="180"/>
      <c r="AU203" s="180"/>
      <c r="AV203" s="201"/>
      <c r="AW203" s="207"/>
      <c r="AX203" s="208"/>
      <c r="AY203" s="208"/>
      <c r="AZ203" s="208"/>
      <c r="BA203" s="208"/>
      <c r="BB203" s="208"/>
      <c r="BC203" s="242"/>
    </row>
    <row r="204" spans="2:55" ht="12.75" customHeight="1">
      <c r="B204" s="260"/>
      <c r="C204" s="176"/>
      <c r="D204" s="176"/>
      <c r="E204" s="176"/>
      <c r="F204" s="176"/>
      <c r="G204" s="213"/>
      <c r="H204" s="256"/>
      <c r="I204" s="237"/>
      <c r="J204" s="180" t="s">
        <v>245</v>
      </c>
      <c r="K204" s="176"/>
      <c r="L204" s="176"/>
      <c r="M204" s="176"/>
      <c r="N204" s="176"/>
      <c r="O204" s="176"/>
      <c r="P204" s="176"/>
      <c r="Q204" s="176"/>
      <c r="R204" s="176"/>
      <c r="S204" s="176"/>
      <c r="T204" s="176"/>
      <c r="U204" s="176"/>
      <c r="V204" s="176"/>
      <c r="W204" s="176"/>
      <c r="X204" s="176"/>
      <c r="Y204" s="208"/>
      <c r="Z204" s="208"/>
      <c r="AA204" s="208"/>
      <c r="AB204" s="208"/>
      <c r="AC204" s="208"/>
      <c r="AD204" s="208"/>
      <c r="AE204" s="208"/>
      <c r="AF204" s="176"/>
      <c r="AG204" s="418">
        <f>Y202</f>
        <v>7.0008754067786935E-2</v>
      </c>
      <c r="AH204" s="418"/>
      <c r="AI204" s="418"/>
      <c r="AJ204" s="418"/>
      <c r="AK204" s="418"/>
      <c r="AL204" s="418"/>
      <c r="AM204" s="418"/>
      <c r="AN204" s="176"/>
      <c r="AO204" s="208" t="s">
        <v>95</v>
      </c>
      <c r="AP204" s="467">
        <f>(AG204/AG205)*100</f>
        <v>0.31822160939903155</v>
      </c>
      <c r="AQ204" s="467"/>
      <c r="AR204" s="467"/>
      <c r="AS204" s="467"/>
      <c r="AT204" s="467"/>
      <c r="AU204" s="467"/>
      <c r="AV204" s="201"/>
      <c r="AW204" s="420" t="str">
        <f>IF(AP204&lt;100,  "PASS", "FAIL")</f>
        <v>PASS</v>
      </c>
      <c r="AX204" s="420"/>
      <c r="AY204" s="420"/>
      <c r="AZ204" s="420"/>
      <c r="BA204" s="420"/>
      <c r="BB204" s="420"/>
      <c r="BC204" s="420"/>
    </row>
    <row r="205" spans="2:55" ht="12.75" customHeight="1">
      <c r="B205" s="264"/>
      <c r="C205" s="247"/>
      <c r="D205" s="247"/>
      <c r="E205" s="247"/>
      <c r="F205" s="247"/>
      <c r="G205" s="265"/>
      <c r="H205" s="266"/>
      <c r="I205" s="246"/>
      <c r="J205" s="244"/>
      <c r="K205" s="247"/>
      <c r="L205" s="247"/>
      <c r="M205" s="247"/>
      <c r="N205" s="247"/>
      <c r="O205" s="247"/>
      <c r="P205" s="247"/>
      <c r="Q205" s="247"/>
      <c r="R205" s="247"/>
      <c r="S205" s="247"/>
      <c r="T205" s="247"/>
      <c r="U205" s="247"/>
      <c r="V205" s="247"/>
      <c r="W205" s="247"/>
      <c r="X205" s="247"/>
      <c r="Y205" s="236"/>
      <c r="Z205" s="236"/>
      <c r="AA205" s="236"/>
      <c r="AB205" s="236"/>
      <c r="AC205" s="236"/>
      <c r="AD205" s="236"/>
      <c r="AE205" s="236"/>
      <c r="AF205" s="247"/>
      <c r="AG205" s="601">
        <f>AF195</f>
        <v>22</v>
      </c>
      <c r="AH205" s="601"/>
      <c r="AI205" s="601"/>
      <c r="AJ205" s="601"/>
      <c r="AK205" s="601"/>
      <c r="AL205" s="601"/>
      <c r="AM205" s="601"/>
      <c r="AN205" s="247"/>
      <c r="AO205" s="236"/>
      <c r="AP205" s="236"/>
      <c r="AQ205" s="236"/>
      <c r="AR205" s="236"/>
      <c r="AS205" s="236"/>
      <c r="AT205" s="236"/>
      <c r="AU205" s="244"/>
      <c r="AV205" s="248"/>
      <c r="AW205" s="249"/>
      <c r="AX205" s="250"/>
      <c r="AY205" s="250"/>
      <c r="AZ205" s="250"/>
      <c r="BA205" s="250"/>
      <c r="BB205" s="250"/>
      <c r="BC205" s="251"/>
    </row>
    <row r="206" spans="2:55" ht="12.75" customHeight="1">
      <c r="B206" s="101"/>
      <c r="C206" s="102"/>
      <c r="D206" s="102"/>
      <c r="E206" s="102"/>
      <c r="F206" s="102"/>
      <c r="G206" s="102"/>
      <c r="H206" s="102"/>
      <c r="I206" s="102"/>
      <c r="J206" s="102"/>
      <c r="K206" s="102"/>
      <c r="L206" s="102"/>
      <c r="M206" s="102"/>
      <c r="N206" s="102"/>
      <c r="O206" s="320"/>
      <c r="P206" s="320"/>
      <c r="Q206" s="320"/>
      <c r="R206" s="320"/>
      <c r="S206" s="320"/>
      <c r="T206" s="320"/>
      <c r="U206" s="321"/>
      <c r="V206" s="478" t="s">
        <v>0</v>
      </c>
      <c r="W206" s="479"/>
      <c r="X206" s="479"/>
      <c r="Y206" s="479"/>
      <c r="Z206" s="479"/>
      <c r="AA206" s="479"/>
      <c r="AB206" s="479"/>
      <c r="AC206" s="479"/>
      <c r="AD206" s="479"/>
      <c r="AE206" s="479"/>
      <c r="AF206" s="479"/>
      <c r="AG206" s="479"/>
      <c r="AH206" s="479"/>
      <c r="AI206" s="479"/>
      <c r="AJ206" s="480"/>
      <c r="AK206" s="395" t="s">
        <v>1</v>
      </c>
      <c r="AL206" s="396"/>
      <c r="AM206" s="396"/>
      <c r="AN206" s="396"/>
      <c r="AO206" s="396"/>
      <c r="AP206" s="379" t="str">
        <f>$AP$2</f>
        <v>BB----</v>
      </c>
      <c r="AQ206" s="379"/>
      <c r="AR206" s="379"/>
      <c r="AS206" s="379"/>
      <c r="AT206" s="379"/>
      <c r="AU206" s="379"/>
      <c r="AV206" s="379"/>
      <c r="AW206" s="379"/>
      <c r="AX206" s="379"/>
      <c r="AY206" s="379"/>
      <c r="AZ206" s="379"/>
      <c r="BA206" s="379"/>
      <c r="BB206" s="379"/>
      <c r="BC206" s="380"/>
    </row>
    <row r="207" spans="2:55" ht="12.75" customHeight="1">
      <c r="B207" s="103"/>
      <c r="C207" s="104"/>
      <c r="D207" s="104"/>
      <c r="E207" s="104"/>
      <c r="F207" s="104"/>
      <c r="G207" s="104"/>
      <c r="H207" s="104"/>
      <c r="I207" s="104"/>
      <c r="J207" s="104"/>
      <c r="K207" s="104"/>
      <c r="L207" s="104"/>
      <c r="M207" s="104"/>
      <c r="N207" s="104"/>
      <c r="O207" s="322"/>
      <c r="P207" s="322"/>
      <c r="Q207" s="322"/>
      <c r="R207" s="322"/>
      <c r="S207" s="322"/>
      <c r="T207" s="322"/>
      <c r="U207" s="323"/>
      <c r="V207" s="481"/>
      <c r="W207" s="482"/>
      <c r="X207" s="482"/>
      <c r="Y207" s="482"/>
      <c r="Z207" s="482"/>
      <c r="AA207" s="482"/>
      <c r="AB207" s="482"/>
      <c r="AC207" s="482"/>
      <c r="AD207" s="482"/>
      <c r="AE207" s="482"/>
      <c r="AF207" s="482"/>
      <c r="AG207" s="482"/>
      <c r="AH207" s="482"/>
      <c r="AI207" s="482"/>
      <c r="AJ207" s="483"/>
      <c r="AK207" s="397"/>
      <c r="AL207" s="398"/>
      <c r="AM207" s="398"/>
      <c r="AN207" s="398"/>
      <c r="AO207" s="398"/>
      <c r="AP207" s="381"/>
      <c r="AQ207" s="381"/>
      <c r="AR207" s="381"/>
      <c r="AS207" s="381"/>
      <c r="AT207" s="381"/>
      <c r="AU207" s="381"/>
      <c r="AV207" s="381"/>
      <c r="AW207" s="381"/>
      <c r="AX207" s="381"/>
      <c r="AY207" s="381"/>
      <c r="AZ207" s="381"/>
      <c r="BA207" s="381"/>
      <c r="BB207" s="381"/>
      <c r="BC207" s="382"/>
    </row>
    <row r="208" spans="2:55" ht="12.75" customHeight="1">
      <c r="B208" s="103"/>
      <c r="C208" s="104"/>
      <c r="D208" s="104"/>
      <c r="E208" s="104"/>
      <c r="F208" s="104"/>
      <c r="G208" s="104"/>
      <c r="H208" s="104"/>
      <c r="I208" s="104"/>
      <c r="J208" s="104"/>
      <c r="K208" s="104"/>
      <c r="L208" s="104"/>
      <c r="M208" s="104"/>
      <c r="N208" s="104"/>
      <c r="O208" s="322"/>
      <c r="P208" s="322"/>
      <c r="Q208" s="322"/>
      <c r="R208" s="322"/>
      <c r="S208" s="322"/>
      <c r="T208" s="322"/>
      <c r="U208" s="323"/>
      <c r="V208" s="481"/>
      <c r="W208" s="482"/>
      <c r="X208" s="482"/>
      <c r="Y208" s="482"/>
      <c r="Z208" s="482"/>
      <c r="AA208" s="482"/>
      <c r="AB208" s="482"/>
      <c r="AC208" s="482"/>
      <c r="AD208" s="482"/>
      <c r="AE208" s="482"/>
      <c r="AF208" s="482"/>
      <c r="AG208" s="482"/>
      <c r="AH208" s="482"/>
      <c r="AI208" s="482"/>
      <c r="AJ208" s="483"/>
      <c r="AK208" s="358" t="s">
        <v>2</v>
      </c>
      <c r="AL208" s="359"/>
      <c r="AM208" s="359"/>
      <c r="AN208" s="359"/>
      <c r="AO208" s="359"/>
      <c r="AP208" s="381" t="str">
        <f>$AP$4</f>
        <v>TITLE</v>
      </c>
      <c r="AQ208" s="381"/>
      <c r="AR208" s="381"/>
      <c r="AS208" s="381"/>
      <c r="AT208" s="381"/>
      <c r="AU208" s="381"/>
      <c r="AV208" s="381"/>
      <c r="AW208" s="381"/>
      <c r="AX208" s="381"/>
      <c r="AY208" s="381"/>
      <c r="AZ208" s="381"/>
      <c r="BA208" s="381"/>
      <c r="BB208" s="381"/>
      <c r="BC208" s="382"/>
    </row>
    <row r="209" spans="2:55" ht="12.75" customHeight="1">
      <c r="B209" s="103"/>
      <c r="C209" s="104"/>
      <c r="D209" s="104"/>
      <c r="E209" s="104"/>
      <c r="F209" s="104"/>
      <c r="G209" s="104"/>
      <c r="H209" s="104"/>
      <c r="I209" s="104"/>
      <c r="J209" s="104"/>
      <c r="K209" s="104"/>
      <c r="L209" s="104"/>
      <c r="M209" s="104"/>
      <c r="N209" s="104"/>
      <c r="O209" s="322"/>
      <c r="P209" s="322"/>
      <c r="Q209" s="322"/>
      <c r="R209" s="322"/>
      <c r="S209" s="322"/>
      <c r="T209" s="322"/>
      <c r="U209" s="323"/>
      <c r="V209" s="481"/>
      <c r="W209" s="482"/>
      <c r="X209" s="482"/>
      <c r="Y209" s="482"/>
      <c r="Z209" s="482"/>
      <c r="AA209" s="482"/>
      <c r="AB209" s="482"/>
      <c r="AC209" s="482"/>
      <c r="AD209" s="482"/>
      <c r="AE209" s="482"/>
      <c r="AF209" s="482"/>
      <c r="AG209" s="482"/>
      <c r="AH209" s="482"/>
      <c r="AI209" s="482"/>
      <c r="AJ209" s="483"/>
      <c r="AK209" s="358"/>
      <c r="AL209" s="359"/>
      <c r="AM209" s="359"/>
      <c r="AN209" s="359"/>
      <c r="AO209" s="359"/>
      <c r="AP209" s="381"/>
      <c r="AQ209" s="381"/>
      <c r="AR209" s="381"/>
      <c r="AS209" s="381"/>
      <c r="AT209" s="381"/>
      <c r="AU209" s="381"/>
      <c r="AV209" s="381"/>
      <c r="AW209" s="381"/>
      <c r="AX209" s="381"/>
      <c r="AY209" s="381"/>
      <c r="AZ209" s="381"/>
      <c r="BA209" s="381"/>
      <c r="BB209" s="381"/>
      <c r="BC209" s="382"/>
    </row>
    <row r="210" spans="2:55" ht="12.75" customHeight="1">
      <c r="B210" s="103"/>
      <c r="C210" s="104"/>
      <c r="D210" s="104"/>
      <c r="E210" s="104"/>
      <c r="F210" s="104"/>
      <c r="G210" s="104"/>
      <c r="H210" s="104"/>
      <c r="I210" s="104"/>
      <c r="J210" s="104"/>
      <c r="K210" s="104"/>
      <c r="L210" s="104"/>
      <c r="M210" s="104"/>
      <c r="N210" s="104"/>
      <c r="O210" s="322"/>
      <c r="P210" s="322"/>
      <c r="Q210" s="322"/>
      <c r="R210" s="322"/>
      <c r="S210" s="322"/>
      <c r="T210" s="322"/>
      <c r="U210" s="323"/>
      <c r="V210" s="481"/>
      <c r="W210" s="482"/>
      <c r="X210" s="482"/>
      <c r="Y210" s="482"/>
      <c r="Z210" s="482"/>
      <c r="AA210" s="482"/>
      <c r="AB210" s="482"/>
      <c r="AC210" s="482"/>
      <c r="AD210" s="482"/>
      <c r="AE210" s="482"/>
      <c r="AF210" s="482"/>
      <c r="AG210" s="482"/>
      <c r="AH210" s="482"/>
      <c r="AI210" s="482"/>
      <c r="AJ210" s="483"/>
      <c r="AK210" s="401" t="s">
        <v>3</v>
      </c>
      <c r="AL210" s="401"/>
      <c r="AM210" s="401"/>
      <c r="AN210" s="401"/>
      <c r="AO210" s="401"/>
      <c r="AP210" s="381">
        <f>AP142+1</f>
        <v>4</v>
      </c>
      <c r="AQ210" s="381"/>
      <c r="AR210" s="381"/>
      <c r="AS210" s="381"/>
      <c r="AT210" s="381"/>
      <c r="AU210" s="381"/>
      <c r="AV210" s="381"/>
      <c r="AW210" s="381"/>
      <c r="AX210" s="381"/>
      <c r="AY210" s="381"/>
      <c r="AZ210" s="381"/>
      <c r="BA210" s="381"/>
      <c r="BB210" s="381"/>
      <c r="BC210" s="382"/>
    </row>
    <row r="211" spans="2:55" ht="12.75" customHeight="1">
      <c r="B211" s="103"/>
      <c r="C211" s="104"/>
      <c r="D211" s="104"/>
      <c r="E211" s="104"/>
      <c r="F211" s="104"/>
      <c r="G211" s="104"/>
      <c r="H211" s="104"/>
      <c r="I211" s="104"/>
      <c r="J211" s="104"/>
      <c r="K211" s="104"/>
      <c r="L211" s="104"/>
      <c r="M211" s="104"/>
      <c r="N211" s="104"/>
      <c r="O211" s="322"/>
      <c r="P211" s="322"/>
      <c r="Q211" s="322"/>
      <c r="R211" s="322"/>
      <c r="S211" s="322"/>
      <c r="T211" s="322"/>
      <c r="U211" s="323"/>
      <c r="V211" s="481"/>
      <c r="W211" s="482"/>
      <c r="X211" s="482"/>
      <c r="Y211" s="482"/>
      <c r="Z211" s="482"/>
      <c r="AA211" s="482"/>
      <c r="AB211" s="482"/>
      <c r="AC211" s="482"/>
      <c r="AD211" s="482"/>
      <c r="AE211" s="482"/>
      <c r="AF211" s="482"/>
      <c r="AG211" s="482"/>
      <c r="AH211" s="482"/>
      <c r="AI211" s="482"/>
      <c r="AJ211" s="483"/>
      <c r="AK211" s="401" t="s">
        <v>4</v>
      </c>
      <c r="AL211" s="401"/>
      <c r="AM211" s="401"/>
      <c r="AN211" s="401"/>
      <c r="AO211" s="401"/>
      <c r="AP211" s="383">
        <f ca="1">$AP$7</f>
        <v>45928</v>
      </c>
      <c r="AQ211" s="383"/>
      <c r="AR211" s="383"/>
      <c r="AS211" s="383"/>
      <c r="AT211" s="383"/>
      <c r="AU211" s="383"/>
      <c r="AV211" s="383"/>
      <c r="AW211" s="383"/>
      <c r="AX211" s="383"/>
      <c r="AY211" s="383"/>
      <c r="AZ211" s="383"/>
      <c r="BA211" s="383"/>
      <c r="BB211" s="383"/>
      <c r="BC211" s="384"/>
    </row>
    <row r="212" spans="2:55" ht="12.75" customHeight="1">
      <c r="B212" s="103"/>
      <c r="C212" s="104"/>
      <c r="D212" s="104"/>
      <c r="E212" s="104"/>
      <c r="F212" s="104"/>
      <c r="G212" s="104"/>
      <c r="H212" s="104"/>
      <c r="I212" s="104"/>
      <c r="J212" s="104"/>
      <c r="K212" s="104"/>
      <c r="L212" s="104"/>
      <c r="M212" s="104"/>
      <c r="N212" s="104"/>
      <c r="O212" s="322"/>
      <c r="P212" s="322"/>
      <c r="Q212" s="322"/>
      <c r="R212" s="322"/>
      <c r="S212" s="322"/>
      <c r="T212" s="322"/>
      <c r="U212" s="323"/>
      <c r="V212" s="481"/>
      <c r="W212" s="482"/>
      <c r="X212" s="482"/>
      <c r="Y212" s="482"/>
      <c r="Z212" s="482"/>
      <c r="AA212" s="482"/>
      <c r="AB212" s="482"/>
      <c r="AC212" s="482"/>
      <c r="AD212" s="482"/>
      <c r="AE212" s="482"/>
      <c r="AF212" s="482"/>
      <c r="AG212" s="482"/>
      <c r="AH212" s="482"/>
      <c r="AI212" s="482"/>
      <c r="AJ212" s="483"/>
      <c r="AK212" s="401" t="s">
        <v>5</v>
      </c>
      <c r="AL212" s="401"/>
      <c r="AM212" s="401"/>
      <c r="AN212" s="401"/>
      <c r="AO212" s="401"/>
      <c r="AP212" s="381" t="str">
        <f>$AP$8</f>
        <v>AB</v>
      </c>
      <c r="AQ212" s="381"/>
      <c r="AR212" s="381"/>
      <c r="AS212" s="381"/>
      <c r="AT212" s="381"/>
      <c r="AU212" s="381"/>
      <c r="AV212" s="381"/>
      <c r="AW212" s="381"/>
      <c r="AX212" s="381"/>
      <c r="AY212" s="381"/>
      <c r="AZ212" s="381"/>
      <c r="BA212" s="381"/>
      <c r="BB212" s="381"/>
      <c r="BC212" s="382"/>
    </row>
    <row r="213" spans="2:55" ht="12.75" customHeight="1">
      <c r="B213" s="105"/>
      <c r="C213" s="106"/>
      <c r="D213" s="106"/>
      <c r="E213" s="106"/>
      <c r="F213" s="106"/>
      <c r="G213" s="106"/>
      <c r="H213" s="106"/>
      <c r="I213" s="106"/>
      <c r="J213" s="106"/>
      <c r="K213" s="106"/>
      <c r="L213" s="106"/>
      <c r="M213" s="106"/>
      <c r="N213" s="106"/>
      <c r="O213" s="324"/>
      <c r="P213" s="324"/>
      <c r="Q213" s="324"/>
      <c r="R213" s="324"/>
      <c r="S213" s="324"/>
      <c r="T213" s="324"/>
      <c r="U213" s="325"/>
      <c r="V213" s="484"/>
      <c r="W213" s="485"/>
      <c r="X213" s="485"/>
      <c r="Y213" s="485"/>
      <c r="Z213" s="485"/>
      <c r="AA213" s="485"/>
      <c r="AB213" s="485"/>
      <c r="AC213" s="485"/>
      <c r="AD213" s="485"/>
      <c r="AE213" s="485"/>
      <c r="AF213" s="485"/>
      <c r="AG213" s="485"/>
      <c r="AH213" s="485"/>
      <c r="AI213" s="485"/>
      <c r="AJ213" s="486"/>
      <c r="AK213" s="460" t="s">
        <v>6</v>
      </c>
      <c r="AL213" s="460"/>
      <c r="AM213" s="460"/>
      <c r="AN213" s="460"/>
      <c r="AO213" s="460"/>
      <c r="AP213" s="386" t="str">
        <f>$AP$9</f>
        <v xml:space="preserve">CAT I / II </v>
      </c>
      <c r="AQ213" s="386"/>
      <c r="AR213" s="386"/>
      <c r="AS213" s="386"/>
      <c r="AT213" s="386"/>
      <c r="AU213" s="386"/>
      <c r="AV213" s="386"/>
      <c r="AW213" s="386"/>
      <c r="AX213" s="386"/>
      <c r="AY213" s="386"/>
      <c r="AZ213" s="386"/>
      <c r="BA213" s="386"/>
      <c r="BB213" s="386"/>
      <c r="BC213" s="387"/>
    </row>
    <row r="214" spans="2:55" ht="12.75" customHeight="1">
      <c r="B214" s="360" t="s">
        <v>7</v>
      </c>
      <c r="C214" s="361"/>
      <c r="D214" s="361"/>
      <c r="E214" s="361"/>
      <c r="F214" s="361"/>
      <c r="G214" s="361"/>
      <c r="H214" s="361"/>
      <c r="I214" s="361"/>
      <c r="J214" s="361"/>
      <c r="K214" s="361"/>
      <c r="L214" s="361"/>
      <c r="M214" s="361"/>
      <c r="N214" s="361"/>
      <c r="O214" s="361"/>
      <c r="P214" s="361"/>
      <c r="Q214" s="361"/>
      <c r="R214" s="361"/>
      <c r="S214" s="361"/>
      <c r="T214" s="361"/>
      <c r="U214" s="361"/>
      <c r="V214" s="361"/>
      <c r="W214" s="361"/>
      <c r="X214" s="361"/>
      <c r="Y214" s="361"/>
      <c r="Z214" s="361"/>
      <c r="AA214" s="361"/>
      <c r="AB214" s="361"/>
      <c r="AC214" s="361"/>
      <c r="AD214" s="361"/>
      <c r="AE214" s="361"/>
      <c r="AF214" s="361"/>
      <c r="AG214" s="361"/>
      <c r="AH214" s="361"/>
      <c r="AI214" s="361"/>
      <c r="AJ214" s="361"/>
      <c r="AK214" s="361"/>
      <c r="AL214" s="361"/>
      <c r="AM214" s="361"/>
      <c r="AN214" s="361"/>
      <c r="AO214" s="361"/>
      <c r="AP214" s="361"/>
      <c r="AQ214" s="361"/>
      <c r="AR214" s="361"/>
      <c r="AS214" s="361"/>
      <c r="AT214" s="361"/>
      <c r="AU214" s="361"/>
      <c r="AV214" s="361"/>
      <c r="AW214" s="361"/>
      <c r="AX214" s="361"/>
      <c r="AY214" s="361"/>
      <c r="AZ214" s="361"/>
      <c r="BA214" s="361"/>
      <c r="BB214" s="361"/>
      <c r="BC214" s="362"/>
    </row>
    <row r="215" spans="2:55" ht="12.75" customHeight="1">
      <c r="B215" s="363"/>
      <c r="C215" s="364"/>
      <c r="D215" s="364"/>
      <c r="E215" s="364"/>
      <c r="F215" s="364"/>
      <c r="G215" s="364"/>
      <c r="H215" s="364"/>
      <c r="I215" s="364"/>
      <c r="J215" s="364"/>
      <c r="K215" s="364"/>
      <c r="L215" s="364"/>
      <c r="M215" s="364"/>
      <c r="N215" s="364"/>
      <c r="O215" s="364"/>
      <c r="P215" s="364"/>
      <c r="Q215" s="364"/>
      <c r="R215" s="364"/>
      <c r="S215" s="364"/>
      <c r="T215" s="364"/>
      <c r="U215" s="364"/>
      <c r="V215" s="364"/>
      <c r="W215" s="364"/>
      <c r="X215" s="364"/>
      <c r="Y215" s="364"/>
      <c r="Z215" s="364"/>
      <c r="AA215" s="364"/>
      <c r="AB215" s="364"/>
      <c r="AC215" s="364"/>
      <c r="AD215" s="364"/>
      <c r="AE215" s="364"/>
      <c r="AF215" s="364"/>
      <c r="AG215" s="364"/>
      <c r="AH215" s="364"/>
      <c r="AI215" s="364"/>
      <c r="AJ215" s="364"/>
      <c r="AK215" s="364"/>
      <c r="AL215" s="364"/>
      <c r="AM215" s="364"/>
      <c r="AN215" s="364"/>
      <c r="AO215" s="364"/>
      <c r="AP215" s="364"/>
      <c r="AQ215" s="364"/>
      <c r="AR215" s="364"/>
      <c r="AS215" s="364"/>
      <c r="AT215" s="364"/>
      <c r="AU215" s="364"/>
      <c r="AV215" s="364"/>
      <c r="AW215" s="364"/>
      <c r="AX215" s="364"/>
      <c r="AY215" s="364"/>
      <c r="AZ215" s="364"/>
      <c r="BA215" s="364"/>
      <c r="BB215" s="364"/>
      <c r="BC215" s="365"/>
    </row>
    <row r="216" spans="2:55" ht="12.75" customHeight="1">
      <c r="B216" s="376"/>
      <c r="C216" s="377"/>
      <c r="D216" s="377"/>
      <c r="E216" s="377"/>
      <c r="F216" s="377"/>
      <c r="G216" s="377"/>
      <c r="H216" s="377"/>
      <c r="I216" s="377"/>
      <c r="J216" s="377"/>
      <c r="K216" s="377"/>
      <c r="L216" s="377"/>
      <c r="M216" s="377"/>
      <c r="N216" s="377"/>
      <c r="O216" s="377"/>
      <c r="P216" s="377"/>
      <c r="Q216" s="377"/>
      <c r="R216" s="377"/>
      <c r="S216" s="377"/>
      <c r="T216" s="377"/>
      <c r="U216" s="377"/>
      <c r="V216" s="377"/>
      <c r="W216" s="377"/>
      <c r="X216" s="377"/>
      <c r="Y216" s="377"/>
      <c r="Z216" s="377"/>
      <c r="AA216" s="377"/>
      <c r="AB216" s="377"/>
      <c r="AC216" s="377"/>
      <c r="AD216" s="377"/>
      <c r="AE216" s="377"/>
      <c r="AF216" s="377"/>
      <c r="AG216" s="377"/>
      <c r="AH216" s="377"/>
      <c r="AI216" s="377"/>
      <c r="AJ216" s="377"/>
      <c r="AK216" s="377"/>
      <c r="AL216" s="377"/>
      <c r="AM216" s="377"/>
      <c r="AN216" s="377"/>
      <c r="AO216" s="377"/>
      <c r="AP216" s="377"/>
      <c r="AQ216" s="377"/>
      <c r="AR216" s="377"/>
      <c r="AS216" s="377"/>
      <c r="AT216" s="377"/>
      <c r="AU216" s="377"/>
      <c r="AV216" s="377"/>
      <c r="AW216" s="377"/>
      <c r="AX216" s="377"/>
      <c r="AY216" s="377"/>
      <c r="AZ216" s="377"/>
      <c r="BA216" s="377"/>
      <c r="BB216" s="377"/>
      <c r="BC216" s="378"/>
    </row>
    <row r="217" spans="2:55" ht="12.75" customHeight="1">
      <c r="B217" s="428" t="s">
        <v>8</v>
      </c>
      <c r="C217" s="428"/>
      <c r="D217" s="428"/>
      <c r="E217" s="428"/>
      <c r="F217" s="428"/>
      <c r="G217" s="428"/>
      <c r="H217" s="428"/>
      <c r="I217" s="267"/>
      <c r="J217" s="268" t="s">
        <v>98</v>
      </c>
      <c r="K217" s="268"/>
      <c r="L217" s="268"/>
      <c r="M217" s="268"/>
      <c r="N217" s="268"/>
      <c r="O217" s="268"/>
      <c r="P217" s="268"/>
      <c r="Q217" s="268"/>
      <c r="R217" s="268"/>
      <c r="S217" s="268"/>
      <c r="T217" s="268"/>
      <c r="U217" s="269"/>
      <c r="V217" s="269"/>
      <c r="W217" s="269"/>
      <c r="X217" s="269"/>
      <c r="Y217" s="269"/>
      <c r="Z217" s="269"/>
      <c r="AA217" s="269"/>
      <c r="AB217" s="269"/>
      <c r="AC217" s="269"/>
      <c r="AD217" s="269"/>
      <c r="AE217" s="269"/>
      <c r="AF217" s="269"/>
      <c r="AG217" s="269"/>
      <c r="AH217" s="269"/>
      <c r="AI217" s="269"/>
      <c r="AJ217" s="269"/>
      <c r="AK217" s="269"/>
      <c r="AL217" s="269"/>
      <c r="AM217" s="269"/>
      <c r="AN217" s="269"/>
      <c r="AO217" s="269"/>
      <c r="AP217" s="197"/>
      <c r="AQ217" s="197"/>
      <c r="AR217" s="197"/>
      <c r="AS217" s="197"/>
      <c r="AT217" s="197"/>
      <c r="AU217" s="197"/>
      <c r="AV217" s="198"/>
      <c r="AW217" s="429" t="s">
        <v>9</v>
      </c>
      <c r="AX217" s="429"/>
      <c r="AY217" s="429"/>
      <c r="AZ217" s="429"/>
      <c r="BA217" s="429"/>
      <c r="BB217" s="429"/>
      <c r="BC217" s="429"/>
    </row>
    <row r="218" spans="2:55" ht="12.75" customHeight="1">
      <c r="B218" s="267"/>
      <c r="C218" s="269"/>
      <c r="D218" s="269"/>
      <c r="E218" s="269"/>
      <c r="F218" s="269"/>
      <c r="G218" s="253"/>
      <c r="H218" s="254"/>
      <c r="I218" s="260"/>
      <c r="J218" s="181" t="s">
        <v>223</v>
      </c>
      <c r="K218" s="175"/>
      <c r="L218" s="175"/>
      <c r="M218" s="175"/>
      <c r="N218" s="175"/>
      <c r="O218" s="175"/>
      <c r="P218" s="175"/>
      <c r="Q218" s="175"/>
      <c r="R218" s="175"/>
      <c r="S218" s="175"/>
      <c r="T218" s="175"/>
      <c r="U218" s="176"/>
      <c r="V218" s="176"/>
      <c r="W218" s="176"/>
      <c r="X218" s="176"/>
      <c r="Y218" s="176"/>
      <c r="Z218" s="176"/>
      <c r="AA218" s="176"/>
      <c r="AB218" s="176"/>
      <c r="AC218" s="176"/>
      <c r="AD218" s="176"/>
      <c r="AE218" s="176"/>
      <c r="AF218" s="176"/>
      <c r="AG218" s="176"/>
      <c r="AH218" s="176"/>
      <c r="AI218" s="176"/>
      <c r="AJ218" s="176"/>
      <c r="AK218" s="176"/>
      <c r="AL218" s="176"/>
      <c r="AM218" s="176"/>
      <c r="AN218" s="176"/>
      <c r="AO218" s="176"/>
      <c r="AP218" s="180"/>
      <c r="AQ218" s="180"/>
      <c r="AR218" s="180"/>
      <c r="AS218" s="180"/>
      <c r="AT218" s="180"/>
      <c r="AU218" s="180"/>
      <c r="AV218" s="201"/>
      <c r="AW218" s="202"/>
      <c r="AX218" s="203"/>
      <c r="AY218" s="203"/>
      <c r="AZ218" s="203"/>
      <c r="BA218" s="203"/>
      <c r="BB218" s="203"/>
      <c r="BC218" s="276"/>
    </row>
    <row r="219" spans="2:55" ht="12.75" customHeight="1">
      <c r="B219" s="260"/>
      <c r="C219" s="176"/>
      <c r="D219" s="176"/>
      <c r="E219" s="176"/>
      <c r="F219" s="176"/>
      <c r="G219" s="213"/>
      <c r="H219" s="256"/>
      <c r="I219" s="260"/>
      <c r="J219" s="489" t="s">
        <v>209</v>
      </c>
      <c r="K219" s="489"/>
      <c r="L219" s="489"/>
      <c r="M219" s="489"/>
      <c r="N219" s="489"/>
      <c r="O219" s="489"/>
      <c r="P219" s="489"/>
      <c r="Q219" s="489"/>
      <c r="R219" s="489"/>
      <c r="S219" s="180"/>
      <c r="T219" s="180"/>
      <c r="U219" s="180"/>
      <c r="V219" s="180"/>
      <c r="W219" s="180"/>
      <c r="X219" s="180"/>
      <c r="Y219" s="180"/>
      <c r="Z219" s="180"/>
      <c r="AA219" s="180"/>
      <c r="AB219" s="180"/>
      <c r="AC219" s="180"/>
      <c r="AD219" s="208" t="s">
        <v>95</v>
      </c>
      <c r="AE219" s="180"/>
      <c r="AF219" s="605">
        <f>V155</f>
        <v>15.764100000000001</v>
      </c>
      <c r="AG219" s="606"/>
      <c r="AH219" s="606"/>
      <c r="AI219" s="606"/>
      <c r="AJ219" s="606"/>
      <c r="AK219" s="607"/>
      <c r="AL219" s="270"/>
      <c r="AM219" s="271"/>
      <c r="AN219" s="208"/>
      <c r="AO219" s="208"/>
      <c r="AP219" s="208"/>
      <c r="AQ219" s="208"/>
      <c r="AR219" s="208"/>
      <c r="AS219" s="208"/>
      <c r="AT219" s="180"/>
      <c r="AU219" s="180"/>
      <c r="AV219" s="201"/>
      <c r="AW219" s="207"/>
      <c r="AX219" s="208"/>
      <c r="AY219" s="208"/>
      <c r="AZ219" s="208"/>
      <c r="BA219" s="208"/>
      <c r="BB219" s="208"/>
      <c r="BC219" s="242"/>
    </row>
    <row r="220" spans="2:55" ht="12.75" customHeight="1">
      <c r="B220" s="260"/>
      <c r="C220" s="176"/>
      <c r="D220" s="176"/>
      <c r="E220" s="176"/>
      <c r="F220" s="176"/>
      <c r="G220" s="213"/>
      <c r="H220" s="256"/>
      <c r="I220" s="260"/>
      <c r="J220" s="180"/>
      <c r="K220" s="180"/>
      <c r="L220" s="180"/>
      <c r="M220" s="180"/>
      <c r="N220" s="180"/>
      <c r="O220" s="180"/>
      <c r="P220" s="180"/>
      <c r="Q220" s="180"/>
      <c r="R220" s="180"/>
      <c r="S220" s="180"/>
      <c r="T220" s="180"/>
      <c r="U220" s="208"/>
      <c r="V220" s="208"/>
      <c r="W220" s="208"/>
      <c r="X220" s="208"/>
      <c r="Y220" s="208"/>
      <c r="Z220" s="208"/>
      <c r="AA220" s="208"/>
      <c r="AB220" s="208"/>
      <c r="AC220" s="208"/>
      <c r="AD220" s="208"/>
      <c r="AE220" s="208"/>
      <c r="AF220" s="208"/>
      <c r="AG220" s="208"/>
      <c r="AH220" s="208"/>
      <c r="AI220" s="208"/>
      <c r="AJ220" s="189"/>
      <c r="AK220" s="208"/>
      <c r="AL220" s="270"/>
      <c r="AM220" s="271"/>
      <c r="AN220" s="271"/>
      <c r="AO220" s="176"/>
      <c r="AP220" s="180"/>
      <c r="AQ220" s="180"/>
      <c r="AR220" s="180"/>
      <c r="AS220" s="180"/>
      <c r="AT220" s="180"/>
      <c r="AU220" s="180"/>
      <c r="AV220" s="201"/>
      <c r="AW220" s="207"/>
      <c r="AX220" s="208"/>
      <c r="AY220" s="208"/>
      <c r="AZ220" s="208"/>
      <c r="BA220" s="208"/>
      <c r="BB220" s="208"/>
      <c r="BC220" s="242"/>
    </row>
    <row r="221" spans="2:55" ht="12.75" customHeight="1">
      <c r="B221" s="260"/>
      <c r="C221" s="176"/>
      <c r="D221" s="176"/>
      <c r="E221" s="176"/>
      <c r="F221" s="176"/>
      <c r="G221" s="213"/>
      <c r="H221" s="256"/>
      <c r="I221" s="260"/>
      <c r="J221" s="180" t="s">
        <v>99</v>
      </c>
      <c r="K221" s="208"/>
      <c r="L221" s="208"/>
      <c r="M221" s="208"/>
      <c r="N221" s="208"/>
      <c r="O221" s="208"/>
      <c r="P221" s="208"/>
      <c r="Q221" s="208"/>
      <c r="R221" s="208"/>
      <c r="S221" s="208"/>
      <c r="T221" s="208"/>
      <c r="U221" s="208"/>
      <c r="V221" s="608">
        <f>V152</f>
        <v>294.3</v>
      </c>
      <c r="W221" s="609"/>
      <c r="X221" s="609"/>
      <c r="Y221" s="609"/>
      <c r="Z221" s="610"/>
      <c r="AA221" s="208"/>
      <c r="AB221" s="208"/>
      <c r="AC221" s="208"/>
      <c r="AD221" s="208" t="s">
        <v>95</v>
      </c>
      <c r="AE221" s="208"/>
      <c r="AF221" s="473">
        <f>V221/V222/1000</f>
        <v>1.8669001084743182E-2</v>
      </c>
      <c r="AG221" s="474"/>
      <c r="AH221" s="474"/>
      <c r="AI221" s="474"/>
      <c r="AJ221" s="474"/>
      <c r="AK221" s="475"/>
      <c r="AL221" s="208"/>
      <c r="AM221" s="176"/>
      <c r="AN221" s="176"/>
      <c r="AO221" s="176"/>
      <c r="AP221" s="208"/>
      <c r="AQ221" s="208"/>
      <c r="AR221" s="208"/>
      <c r="AS221" s="180"/>
      <c r="AT221" s="180"/>
      <c r="AU221" s="180"/>
      <c r="AV221" s="201"/>
      <c r="AW221" s="207"/>
      <c r="AX221" s="208"/>
      <c r="AY221" s="208"/>
      <c r="AZ221" s="208"/>
      <c r="BA221" s="208"/>
      <c r="BB221" s="208"/>
      <c r="BC221" s="242"/>
    </row>
    <row r="222" spans="2:55" ht="12.75" customHeight="1">
      <c r="B222" s="260"/>
      <c r="C222" s="176"/>
      <c r="D222" s="176"/>
      <c r="E222" s="176"/>
      <c r="F222" s="176"/>
      <c r="G222" s="213"/>
      <c r="H222" s="256"/>
      <c r="I222" s="260"/>
      <c r="J222" s="176"/>
      <c r="K222" s="208"/>
      <c r="L222" s="208"/>
      <c r="M222" s="208"/>
      <c r="N222" s="208"/>
      <c r="O222" s="208"/>
      <c r="P222" s="208"/>
      <c r="Q222" s="208"/>
      <c r="R222" s="208"/>
      <c r="S222" s="208"/>
      <c r="T222" s="208"/>
      <c r="U222" s="208"/>
      <c r="V222" s="516">
        <f>AF219</f>
        <v>15.764100000000001</v>
      </c>
      <c r="W222" s="517"/>
      <c r="X222" s="517"/>
      <c r="Y222" s="517"/>
      <c r="Z222" s="518"/>
      <c r="AA222" s="208"/>
      <c r="AB222" s="208"/>
      <c r="AC222" s="208"/>
      <c r="AD222" s="208"/>
      <c r="AE222" s="208"/>
      <c r="AF222" s="208"/>
      <c r="AG222" s="208"/>
      <c r="AH222" s="208"/>
      <c r="AI222" s="208"/>
      <c r="AJ222" s="208"/>
      <c r="AK222" s="208"/>
      <c r="AL222" s="208"/>
      <c r="AM222" s="176"/>
      <c r="AN222" s="176"/>
      <c r="AO222" s="176"/>
      <c r="AP222" s="180"/>
      <c r="AQ222" s="180"/>
      <c r="AR222" s="180"/>
      <c r="AS222" s="180"/>
      <c r="AT222" s="180"/>
      <c r="AU222" s="180"/>
      <c r="AV222" s="201"/>
      <c r="AW222" s="207"/>
      <c r="AX222" s="208"/>
      <c r="AY222" s="208"/>
      <c r="AZ222" s="208"/>
      <c r="BA222" s="208"/>
      <c r="BB222" s="208"/>
      <c r="BC222" s="242"/>
    </row>
    <row r="223" spans="2:55" ht="12.75" customHeight="1">
      <c r="B223" s="260"/>
      <c r="C223" s="176"/>
      <c r="D223" s="176"/>
      <c r="E223" s="176"/>
      <c r="F223" s="176"/>
      <c r="G223" s="213"/>
      <c r="H223" s="256"/>
      <c r="I223" s="260"/>
      <c r="J223" s="208"/>
      <c r="K223" s="169"/>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55"/>
      <c r="AK223" s="155"/>
      <c r="AL223" s="155"/>
      <c r="AM223" s="208"/>
      <c r="AN223" s="208"/>
      <c r="AO223" s="208"/>
      <c r="AP223" s="208"/>
      <c r="AQ223" s="208"/>
      <c r="AR223" s="208"/>
      <c r="AS223" s="208"/>
      <c r="AT223" s="208"/>
      <c r="AU223" s="208"/>
      <c r="AV223" s="208"/>
      <c r="AW223" s="207"/>
    </row>
    <row r="224" spans="2:55" ht="12.75" customHeight="1">
      <c r="B224" s="260"/>
      <c r="C224" s="176"/>
      <c r="D224" s="176"/>
      <c r="E224" s="176"/>
      <c r="F224" s="176"/>
      <c r="G224" s="213"/>
      <c r="H224" s="256"/>
      <c r="I224" s="260"/>
      <c r="AW224" s="207"/>
    </row>
    <row r="225" spans="2:55" ht="12.75" customHeight="1">
      <c r="B225" s="260"/>
      <c r="C225" s="176"/>
      <c r="D225" s="176"/>
      <c r="E225" s="176"/>
      <c r="F225" s="176"/>
      <c r="G225" s="213"/>
      <c r="H225" s="256"/>
      <c r="I225" s="260"/>
      <c r="J225" s="180" t="s">
        <v>298</v>
      </c>
      <c r="K225" s="208"/>
      <c r="L225" s="180"/>
      <c r="M225" s="180"/>
      <c r="N225" s="180"/>
      <c r="O225" s="180"/>
      <c r="P225" s="180"/>
      <c r="Q225" s="180"/>
      <c r="R225" s="180"/>
      <c r="S225" s="180"/>
      <c r="T225" s="180"/>
      <c r="U225" s="180"/>
      <c r="V225" s="180"/>
      <c r="W225" s="180"/>
      <c r="X225" s="180"/>
      <c r="Y225" s="208"/>
      <c r="Z225" s="208"/>
      <c r="AA225" s="208"/>
      <c r="AB225" s="208"/>
      <c r="AC225" s="208"/>
      <c r="AD225" s="208"/>
      <c r="AE225" s="208"/>
      <c r="AF225" s="208"/>
      <c r="AG225" s="600">
        <f>AF221</f>
        <v>1.8669001084743182E-2</v>
      </c>
      <c r="AH225" s="600"/>
      <c r="AI225" s="600"/>
      <c r="AJ225" s="600"/>
      <c r="AK225" s="600"/>
      <c r="AL225" s="600"/>
      <c r="AM225" s="176"/>
      <c r="AN225" s="176"/>
      <c r="AO225" s="208" t="s">
        <v>95</v>
      </c>
      <c r="AP225" s="487">
        <f>(AG225/AG226)*100</f>
        <v>66.666666666666657</v>
      </c>
      <c r="AQ225" s="487"/>
      <c r="AR225" s="487"/>
      <c r="AS225" s="487"/>
      <c r="AT225" s="180"/>
      <c r="AU225" s="180"/>
      <c r="AV225" s="201"/>
      <c r="AW225" s="420" t="str">
        <f>IF(AP225&lt;100,  "PASS", "FAIL")</f>
        <v>PASS</v>
      </c>
      <c r="AX225" s="420"/>
      <c r="AY225" s="420"/>
      <c r="AZ225" s="420"/>
      <c r="BA225" s="420"/>
      <c r="BB225" s="420"/>
      <c r="BC225" s="420"/>
    </row>
    <row r="226" spans="2:55" ht="12.75" customHeight="1">
      <c r="B226" s="260"/>
      <c r="C226" s="176"/>
      <c r="D226" s="176"/>
      <c r="E226" s="176"/>
      <c r="F226" s="176"/>
      <c r="G226" s="213"/>
      <c r="H226" s="256"/>
      <c r="I226" s="260"/>
      <c r="J226" s="176"/>
      <c r="K226" s="176"/>
      <c r="L226" s="176"/>
      <c r="M226" s="176"/>
      <c r="N226" s="176"/>
      <c r="O226" s="176"/>
      <c r="P226" s="176"/>
      <c r="Q226" s="176"/>
      <c r="R226" s="176"/>
      <c r="S226" s="176"/>
      <c r="T226" s="176"/>
      <c r="U226" s="176"/>
      <c r="V226" s="176"/>
      <c r="W226" s="176"/>
      <c r="X226" s="176"/>
      <c r="Y226" s="208"/>
      <c r="Z226" s="208"/>
      <c r="AA226" s="208"/>
      <c r="AB226" s="176"/>
      <c r="AC226" s="176"/>
      <c r="AD226" s="176"/>
      <c r="AE226" s="176"/>
      <c r="AF226" s="176"/>
      <c r="AG226" s="418">
        <f>AB172/1000</f>
        <v>2.8003501627114777E-2</v>
      </c>
      <c r="AH226" s="418"/>
      <c r="AI226" s="418"/>
      <c r="AJ226" s="418"/>
      <c r="AK226" s="418"/>
      <c r="AL226" s="418"/>
      <c r="AM226" s="176"/>
      <c r="AN226" s="176"/>
      <c r="AO226" s="176"/>
      <c r="AP226" s="180"/>
      <c r="AQ226" s="180"/>
      <c r="AR226" s="180"/>
      <c r="AS226" s="180"/>
      <c r="AT226" s="180"/>
      <c r="AU226" s="180"/>
      <c r="AV226" s="201"/>
      <c r="AW226" s="207"/>
      <c r="AX226" s="208"/>
      <c r="AY226" s="208"/>
      <c r="AZ226" s="208"/>
      <c r="BA226" s="208"/>
      <c r="BB226" s="208"/>
      <c r="BC226" s="242"/>
    </row>
    <row r="227" spans="2:55" ht="12.75" customHeight="1">
      <c r="B227" s="260"/>
      <c r="C227" s="176"/>
      <c r="D227" s="176"/>
      <c r="E227" s="176"/>
      <c r="F227" s="176"/>
      <c r="G227" s="213"/>
      <c r="H227" s="256"/>
      <c r="I227" s="260"/>
      <c r="J227" s="181" t="s">
        <v>223</v>
      </c>
      <c r="K227" s="176"/>
      <c r="L227" s="176"/>
      <c r="M227" s="176"/>
      <c r="N227" s="176"/>
      <c r="O227" s="176"/>
      <c r="P227" s="176"/>
      <c r="Q227" s="176"/>
      <c r="R227" s="176"/>
      <c r="S227" s="176"/>
      <c r="T227" s="176"/>
      <c r="U227" s="176"/>
      <c r="V227" s="176"/>
      <c r="W227" s="176"/>
      <c r="X227" s="176"/>
      <c r="Y227" s="176"/>
      <c r="Z227" s="176"/>
      <c r="AA227" s="176"/>
      <c r="AB227" s="176"/>
      <c r="AC227" s="176"/>
      <c r="AD227" s="176"/>
      <c r="AE227" s="176"/>
      <c r="AF227" s="176"/>
      <c r="AG227" s="176"/>
      <c r="AH227" s="176"/>
      <c r="AI227" s="176"/>
      <c r="AJ227" s="176"/>
      <c r="AK227" s="176"/>
      <c r="AL227" s="176"/>
      <c r="AM227" s="176"/>
      <c r="AN227" s="176"/>
      <c r="AO227" s="176"/>
      <c r="AP227" s="180"/>
      <c r="AQ227" s="180"/>
      <c r="AR227" s="180"/>
      <c r="AS227" s="180"/>
      <c r="AT227" s="180"/>
      <c r="AU227" s="180"/>
      <c r="AV227" s="201"/>
      <c r="AW227" s="207"/>
      <c r="AX227" s="208"/>
      <c r="AY227" s="208"/>
      <c r="AZ227" s="208"/>
      <c r="BA227" s="208"/>
      <c r="BB227" s="208"/>
      <c r="BC227" s="242"/>
    </row>
    <row r="228" spans="2:55" ht="12.75" customHeight="1">
      <c r="B228" s="260"/>
      <c r="C228" s="176"/>
      <c r="D228" s="176"/>
      <c r="E228" s="176"/>
      <c r="F228" s="176"/>
      <c r="G228" s="213"/>
      <c r="H228" s="256"/>
      <c r="I228" s="207"/>
      <c r="J228" s="180" t="s">
        <v>220</v>
      </c>
      <c r="K228" s="180"/>
      <c r="L228" s="180"/>
      <c r="M228" s="180"/>
      <c r="N228" s="180"/>
      <c r="O228" s="180"/>
      <c r="P228" s="180"/>
      <c r="Q228" s="180"/>
      <c r="R228" s="180"/>
      <c r="S228" s="469">
        <f>V153*1000</f>
        <v>5610</v>
      </c>
      <c r="T228" s="469"/>
      <c r="U228" s="469"/>
      <c r="V228" s="469"/>
      <c r="W228" s="208" t="s">
        <v>97</v>
      </c>
      <c r="X228" s="469">
        <v>2810</v>
      </c>
      <c r="Y228" s="469"/>
      <c r="Z228" s="469"/>
      <c r="AA228" s="208"/>
      <c r="AB228" s="208"/>
      <c r="AC228" s="208"/>
      <c r="AD228" s="208"/>
      <c r="AE228" s="189"/>
      <c r="AF228" s="270"/>
      <c r="AG228" s="270"/>
      <c r="AH228" s="270"/>
      <c r="AI228" s="270"/>
      <c r="AJ228" s="270"/>
      <c r="AK228" s="270"/>
      <c r="AL228" s="271"/>
      <c r="AM228" s="271"/>
      <c r="AN228" s="271"/>
      <c r="AO228" s="208" t="s">
        <v>95</v>
      </c>
      <c r="AP228" s="528">
        <f>(X228*S228)/1000000</f>
        <v>15.764099999999999</v>
      </c>
      <c r="AQ228" s="528"/>
      <c r="AR228" s="528"/>
      <c r="AS228" s="528"/>
      <c r="AT228" s="528"/>
      <c r="AU228" s="528"/>
      <c r="AV228" s="529"/>
      <c r="AW228" s="207"/>
      <c r="AX228" s="208"/>
      <c r="AY228" s="208"/>
      <c r="AZ228" s="208"/>
      <c r="BA228" s="208"/>
      <c r="BB228" s="208"/>
      <c r="BC228" s="242"/>
    </row>
    <row r="229" spans="2:55" ht="12.75" customHeight="1">
      <c r="B229" s="260"/>
      <c r="C229" s="176"/>
      <c r="D229" s="176"/>
      <c r="E229" s="176"/>
      <c r="F229" s="176"/>
      <c r="G229" s="213"/>
      <c r="H229" s="256"/>
      <c r="I229" s="207"/>
      <c r="J229" s="208"/>
      <c r="K229" s="208"/>
      <c r="L229" s="208"/>
      <c r="M229" s="208"/>
      <c r="N229" s="208"/>
      <c r="O229" s="208"/>
      <c r="P229" s="208"/>
      <c r="Q229" s="208"/>
      <c r="R229" s="208"/>
      <c r="S229" s="208"/>
      <c r="T229" s="439">
        <v>1000000</v>
      </c>
      <c r="U229" s="439"/>
      <c r="V229" s="439"/>
      <c r="W229" s="439"/>
      <c r="X229" s="439"/>
      <c r="Y229" s="439"/>
      <c r="Z229" s="439"/>
      <c r="AA229" s="208"/>
      <c r="AB229" s="208"/>
      <c r="AC229" s="270"/>
      <c r="AD229" s="270"/>
      <c r="AE229" s="270"/>
      <c r="AF229" s="270"/>
      <c r="AG229" s="270"/>
      <c r="AH229" s="270"/>
      <c r="AI229" s="270"/>
      <c r="AJ229" s="270"/>
      <c r="AK229" s="270"/>
      <c r="AL229" s="271"/>
      <c r="AM229" s="271"/>
      <c r="AN229" s="271"/>
      <c r="AO229" s="271"/>
      <c r="AP229" s="180"/>
      <c r="AQ229" s="180"/>
      <c r="AR229" s="180"/>
      <c r="AS229" s="180"/>
      <c r="AT229" s="180"/>
      <c r="AU229" s="180"/>
      <c r="AV229" s="201"/>
      <c r="AW229" s="207"/>
      <c r="AX229" s="208"/>
      <c r="AY229" s="208"/>
      <c r="AZ229" s="208"/>
      <c r="BA229" s="208"/>
      <c r="BB229" s="208"/>
      <c r="BC229" s="242"/>
    </row>
    <row r="230" spans="2:55" ht="12.75" customHeight="1">
      <c r="B230" s="260"/>
      <c r="C230" s="176"/>
      <c r="D230" s="176"/>
      <c r="E230" s="176"/>
      <c r="F230" s="176"/>
      <c r="G230" s="213"/>
      <c r="H230" s="256"/>
      <c r="I230" s="207"/>
      <c r="J230" s="208"/>
      <c r="K230" s="208"/>
      <c r="L230" s="208"/>
      <c r="M230" s="208"/>
      <c r="N230" s="208"/>
      <c r="O230" s="208"/>
      <c r="P230" s="208"/>
      <c r="Q230" s="208"/>
      <c r="R230" s="208"/>
      <c r="S230" s="208"/>
      <c r="T230" s="208"/>
      <c r="U230" s="208"/>
      <c r="V230" s="208"/>
      <c r="W230" s="208"/>
      <c r="X230" s="208"/>
      <c r="Y230" s="208"/>
      <c r="Z230" s="208"/>
      <c r="AA230" s="208"/>
      <c r="AB230" s="208"/>
      <c r="AC230" s="208"/>
      <c r="AD230" s="208"/>
      <c r="AE230" s="208"/>
      <c r="AF230" s="208"/>
      <c r="AG230" s="208"/>
      <c r="AH230" s="208"/>
      <c r="AI230" s="208"/>
      <c r="AJ230" s="208"/>
      <c r="AK230" s="208"/>
      <c r="AL230" s="176"/>
      <c r="AM230" s="176"/>
      <c r="AN230" s="176"/>
      <c r="AO230" s="176"/>
      <c r="AP230" s="180"/>
      <c r="AQ230" s="180"/>
      <c r="AR230" s="180"/>
      <c r="AS230" s="180"/>
      <c r="AT230" s="180"/>
      <c r="AU230" s="180"/>
      <c r="AV230" s="201"/>
      <c r="AW230" s="207"/>
      <c r="AX230" s="208"/>
      <c r="AY230" s="208"/>
      <c r="AZ230" s="208"/>
      <c r="BA230" s="208"/>
      <c r="BB230" s="208"/>
      <c r="BC230" s="242"/>
    </row>
    <row r="231" spans="2:55" ht="12.75" customHeight="1">
      <c r="B231" s="260"/>
      <c r="C231" s="176"/>
      <c r="D231" s="176"/>
      <c r="E231" s="176"/>
      <c r="F231" s="176"/>
      <c r="G231" s="213"/>
      <c r="H231" s="256"/>
      <c r="I231" s="260"/>
      <c r="J231" s="180"/>
      <c r="K231" s="180"/>
      <c r="L231" s="180"/>
      <c r="M231" s="180"/>
      <c r="N231" s="180"/>
      <c r="O231" s="180"/>
      <c r="P231" s="180"/>
      <c r="Q231" s="180"/>
      <c r="R231" s="180"/>
      <c r="S231" s="180"/>
      <c r="T231" s="180"/>
      <c r="U231" s="180"/>
      <c r="V231" s="180"/>
      <c r="W231" s="180"/>
      <c r="X231" s="180"/>
      <c r="Y231" s="180"/>
      <c r="Z231" s="180"/>
      <c r="AA231" s="180"/>
      <c r="AB231" s="180"/>
      <c r="AC231" s="180"/>
      <c r="AD231" s="180"/>
      <c r="AE231" s="180"/>
      <c r="AF231" s="180"/>
      <c r="AG231" s="180"/>
      <c r="AH231" s="180"/>
      <c r="AI231" s="180"/>
      <c r="AJ231" s="180"/>
      <c r="AK231" s="180"/>
      <c r="AL231" s="180"/>
      <c r="AM231" s="180"/>
      <c r="AN231" s="180"/>
      <c r="AO231" s="180"/>
      <c r="AP231" s="180"/>
      <c r="AQ231" s="180"/>
      <c r="AR231" s="180"/>
      <c r="AS231" s="180"/>
      <c r="AT231" s="180"/>
      <c r="AU231" s="180"/>
      <c r="AV231" s="201"/>
      <c r="AW231" s="207"/>
      <c r="AX231" s="208"/>
      <c r="AY231" s="208"/>
      <c r="AZ231" s="208"/>
      <c r="BA231" s="208"/>
      <c r="BB231" s="208"/>
      <c r="BC231" s="242"/>
    </row>
    <row r="232" spans="2:55" ht="12.75" customHeight="1">
      <c r="B232" s="260"/>
      <c r="C232" s="176"/>
      <c r="D232" s="176"/>
      <c r="E232" s="176"/>
      <c r="F232" s="176"/>
      <c r="G232" s="213"/>
      <c r="H232" s="256"/>
      <c r="I232" s="260"/>
      <c r="J232" s="189" t="s">
        <v>222</v>
      </c>
      <c r="K232" s="208"/>
      <c r="L232" s="208"/>
      <c r="M232" s="208"/>
      <c r="N232" s="208"/>
      <c r="O232" s="208"/>
      <c r="P232" s="208"/>
      <c r="Q232" s="208"/>
      <c r="R232" s="208"/>
      <c r="S232" s="208"/>
      <c r="T232" s="208"/>
      <c r="U232" s="601">
        <f>AM159</f>
        <v>32</v>
      </c>
      <c r="V232" s="601"/>
      <c r="W232" s="601"/>
      <c r="X232" s="601"/>
      <c r="Y232" s="601"/>
      <c r="Z232" s="601"/>
      <c r="AA232" s="227" t="s">
        <v>95</v>
      </c>
      <c r="AB232" s="208"/>
      <c r="AC232" s="208"/>
      <c r="AD232" s="208"/>
      <c r="AE232" s="476">
        <f>U232/U233</f>
        <v>21.333333333333332</v>
      </c>
      <c r="AF232" s="476"/>
      <c r="AG232" s="476"/>
      <c r="AH232" s="476"/>
      <c r="AI232" s="476"/>
      <c r="AJ232" s="476"/>
      <c r="AK232" s="476"/>
      <c r="AL232" s="476"/>
      <c r="AM232" s="208"/>
      <c r="AN232" s="208"/>
      <c r="AO232" s="208"/>
      <c r="AP232" s="208"/>
      <c r="AQ232" s="208"/>
      <c r="AR232" s="208"/>
      <c r="AS232" s="208"/>
      <c r="AT232" s="208"/>
      <c r="AU232" s="208"/>
      <c r="AV232" s="242"/>
      <c r="AW232" s="207"/>
      <c r="AX232" s="208"/>
      <c r="AY232" s="208"/>
      <c r="AZ232" s="208"/>
      <c r="BA232" s="208"/>
      <c r="BB232" s="208"/>
      <c r="BC232" s="242"/>
    </row>
    <row r="233" spans="2:55" ht="12.75" customHeight="1">
      <c r="B233" s="260"/>
      <c r="C233" s="176"/>
      <c r="D233" s="176"/>
      <c r="E233" s="176"/>
      <c r="F233" s="176"/>
      <c r="G233" s="213"/>
      <c r="H233" s="256"/>
      <c r="I233" s="260"/>
      <c r="J233" s="208"/>
      <c r="K233" s="208"/>
      <c r="L233" s="208"/>
      <c r="M233" s="208"/>
      <c r="N233" s="208"/>
      <c r="O233" s="208"/>
      <c r="P233" s="208"/>
      <c r="Q233" s="208"/>
      <c r="R233" s="208"/>
      <c r="S233" s="208"/>
      <c r="T233" s="208"/>
      <c r="U233" s="471">
        <v>1.5</v>
      </c>
      <c r="V233" s="471"/>
      <c r="W233" s="471"/>
      <c r="X233" s="471"/>
      <c r="Y233" s="471"/>
      <c r="Z233" s="471"/>
      <c r="AA233" s="208"/>
      <c r="AB233" s="208"/>
      <c r="AC233" s="208"/>
      <c r="AD233" s="208"/>
      <c r="AE233" s="208"/>
      <c r="AF233" s="208"/>
      <c r="AG233" s="208"/>
      <c r="AH233" s="208"/>
      <c r="AI233" s="208"/>
      <c r="AJ233" s="208"/>
      <c r="AK233" s="208"/>
      <c r="AL233" s="208"/>
      <c r="AM233" s="176"/>
      <c r="AN233" s="176"/>
      <c r="AO233" s="176"/>
      <c r="AP233" s="180"/>
      <c r="AQ233" s="180"/>
      <c r="AR233" s="180"/>
      <c r="AS233" s="180"/>
      <c r="AT233" s="180"/>
      <c r="AU233" s="180"/>
      <c r="AV233" s="201"/>
      <c r="AW233" s="207"/>
      <c r="AX233" s="208"/>
      <c r="AY233" s="208"/>
      <c r="AZ233" s="208"/>
      <c r="BA233" s="208"/>
      <c r="BB233" s="208"/>
      <c r="BC233" s="242"/>
    </row>
    <row r="234" spans="2:55" ht="12.75" customHeight="1">
      <c r="B234" s="260"/>
      <c r="C234" s="176"/>
      <c r="D234" s="176"/>
      <c r="E234" s="176"/>
      <c r="F234" s="176"/>
      <c r="G234" s="213"/>
      <c r="H234" s="256"/>
      <c r="I234" s="207"/>
      <c r="J234" s="208"/>
      <c r="K234" s="208"/>
      <c r="L234" s="208"/>
      <c r="M234" s="208"/>
      <c r="N234" s="208"/>
      <c r="O234" s="208"/>
      <c r="P234" s="208"/>
      <c r="Q234" s="208"/>
      <c r="R234" s="208"/>
      <c r="S234" s="208"/>
      <c r="T234" s="208"/>
      <c r="U234" s="208"/>
      <c r="V234" s="208"/>
      <c r="W234" s="208"/>
      <c r="X234" s="208"/>
      <c r="Y234" s="208"/>
      <c r="Z234" s="208"/>
      <c r="AA234" s="208"/>
      <c r="AB234" s="208"/>
      <c r="AC234" s="208"/>
      <c r="AD234" s="208"/>
      <c r="AE234" s="208"/>
      <c r="AF234" s="208"/>
      <c r="AG234" s="208"/>
      <c r="AH234" s="208"/>
      <c r="AI234" s="208"/>
      <c r="AJ234" s="208"/>
      <c r="AK234" s="208"/>
      <c r="AL234" s="208"/>
      <c r="AM234" s="208"/>
      <c r="AN234" s="208"/>
      <c r="AO234" s="208"/>
      <c r="AP234" s="208"/>
      <c r="AQ234" s="208"/>
      <c r="AR234" s="208"/>
      <c r="AS234" s="208"/>
      <c r="AT234" s="208"/>
      <c r="AU234" s="208"/>
      <c r="AV234" s="242"/>
      <c r="AW234" s="207"/>
      <c r="AX234" s="208"/>
      <c r="AY234" s="208"/>
      <c r="AZ234" s="208"/>
      <c r="BA234" s="208"/>
      <c r="BB234" s="208"/>
      <c r="BC234" s="242"/>
    </row>
    <row r="235" spans="2:55" ht="12.75" customHeight="1">
      <c r="B235" s="260"/>
      <c r="C235" s="176"/>
      <c r="D235" s="176"/>
      <c r="E235" s="176"/>
      <c r="F235" s="176"/>
      <c r="G235" s="213"/>
      <c r="H235" s="256"/>
      <c r="I235" s="260"/>
      <c r="J235" s="208"/>
      <c r="K235" s="208"/>
      <c r="L235" s="208"/>
      <c r="M235" s="208"/>
      <c r="N235" s="208"/>
      <c r="O235" s="208"/>
      <c r="P235" s="208"/>
      <c r="Q235" s="208"/>
      <c r="R235" s="208"/>
      <c r="S235" s="208"/>
      <c r="T235" s="208"/>
      <c r="U235" s="208"/>
      <c r="V235" s="208"/>
      <c r="W235" s="208"/>
      <c r="X235" s="208"/>
      <c r="Y235" s="208"/>
      <c r="Z235" s="208"/>
      <c r="AA235" s="208"/>
      <c r="AB235" s="208"/>
      <c r="AC235" s="208"/>
      <c r="AD235" s="208"/>
      <c r="AE235" s="208"/>
      <c r="AF235" s="208"/>
      <c r="AG235" s="208"/>
      <c r="AH235" s="208"/>
      <c r="AI235" s="208"/>
      <c r="AJ235" s="208"/>
      <c r="AK235" s="208"/>
      <c r="AL235" s="208"/>
      <c r="AM235" s="208"/>
      <c r="AN235" s="208"/>
      <c r="AO235" s="208"/>
      <c r="AP235" s="208"/>
      <c r="AQ235" s="208"/>
      <c r="AR235" s="208"/>
      <c r="AS235" s="208"/>
      <c r="AT235" s="208"/>
      <c r="AU235" s="208"/>
      <c r="AV235" s="242"/>
      <c r="AW235" s="207"/>
      <c r="AX235" s="208"/>
      <c r="AY235" s="208"/>
      <c r="AZ235" s="208"/>
      <c r="BA235" s="208"/>
      <c r="BB235" s="208"/>
      <c r="BC235" s="242"/>
    </row>
    <row r="236" spans="2:55" ht="12.75" customHeight="1">
      <c r="B236" s="260"/>
      <c r="C236" s="176"/>
      <c r="D236" s="176"/>
      <c r="E236" s="176"/>
      <c r="F236" s="176"/>
      <c r="G236" s="213"/>
      <c r="H236" s="256"/>
      <c r="I236" s="260"/>
      <c r="J236" s="180" t="s">
        <v>297</v>
      </c>
      <c r="K236" s="180"/>
      <c r="L236" s="180"/>
      <c r="M236" s="180"/>
      <c r="N236" s="180"/>
      <c r="O236" s="180"/>
      <c r="P236" s="180"/>
      <c r="Q236" s="180"/>
      <c r="R236" s="180"/>
      <c r="S236" s="180"/>
      <c r="T236" s="180"/>
      <c r="U236" s="180"/>
      <c r="V236" s="180"/>
      <c r="W236" s="180"/>
      <c r="X236" s="208"/>
      <c r="Y236" s="208"/>
      <c r="Z236" s="208"/>
      <c r="AA236" s="208"/>
      <c r="AB236" s="208"/>
      <c r="AC236" s="208"/>
      <c r="AD236" s="208"/>
      <c r="AE236" s="600">
        <f>AG225</f>
        <v>1.8669001084743182E-2</v>
      </c>
      <c r="AF236" s="600"/>
      <c r="AG236" s="600"/>
      <c r="AH236" s="600"/>
      <c r="AI236" s="600"/>
      <c r="AJ236" s="600"/>
      <c r="AK236" s="600"/>
      <c r="AL236" s="176"/>
      <c r="AM236" s="176"/>
      <c r="AN236" s="176"/>
      <c r="AO236" s="208" t="s">
        <v>95</v>
      </c>
      <c r="AP236" s="487">
        <f>(AE236/AE237)*100</f>
        <v>8.7510942584733672E-2</v>
      </c>
      <c r="AQ236" s="487"/>
      <c r="AR236" s="487"/>
      <c r="AS236" s="487"/>
      <c r="AT236" s="180"/>
      <c r="AU236" s="180"/>
      <c r="AV236" s="201"/>
      <c r="AW236" s="420" t="str">
        <f>IF(AP236&lt;100,  "PASS", "FAIL")</f>
        <v>PASS</v>
      </c>
      <c r="AX236" s="420"/>
      <c r="AY236" s="420"/>
      <c r="AZ236" s="420"/>
      <c r="BA236" s="420"/>
      <c r="BB236" s="420"/>
      <c r="BC236" s="420"/>
    </row>
    <row r="237" spans="2:55" ht="12.75" customHeight="1">
      <c r="B237" s="260"/>
      <c r="C237" s="176"/>
      <c r="D237" s="176"/>
      <c r="E237" s="176"/>
      <c r="F237" s="176"/>
      <c r="G237" s="213"/>
      <c r="H237" s="256"/>
      <c r="I237" s="260"/>
      <c r="J237" s="176"/>
      <c r="K237" s="176"/>
      <c r="L237" s="176"/>
      <c r="M237" s="176"/>
      <c r="N237" s="176"/>
      <c r="O237" s="176"/>
      <c r="P237" s="176"/>
      <c r="Q237" s="176"/>
      <c r="R237" s="176"/>
      <c r="S237" s="176"/>
      <c r="T237" s="176"/>
      <c r="U237" s="176"/>
      <c r="V237" s="176"/>
      <c r="W237" s="176"/>
      <c r="X237" s="208"/>
      <c r="Y237" s="208"/>
      <c r="Z237" s="208"/>
      <c r="AA237" s="176"/>
      <c r="AB237" s="176"/>
      <c r="AC237" s="176"/>
      <c r="AD237" s="176"/>
      <c r="AE237" s="476">
        <f>AE232</f>
        <v>21.333333333333332</v>
      </c>
      <c r="AF237" s="476"/>
      <c r="AG237" s="476"/>
      <c r="AH237" s="476"/>
      <c r="AI237" s="476"/>
      <c r="AJ237" s="476"/>
      <c r="AK237" s="476"/>
      <c r="AL237" s="176"/>
      <c r="AM237" s="176"/>
      <c r="AN237" s="176"/>
      <c r="AO237" s="176"/>
      <c r="AP237" s="180"/>
      <c r="AQ237" s="180"/>
      <c r="AR237" s="180"/>
      <c r="AS237" s="180"/>
      <c r="AT237" s="180"/>
      <c r="AU237" s="180"/>
      <c r="AV237" s="201"/>
      <c r="AW237" s="207"/>
      <c r="AX237" s="208"/>
      <c r="AY237" s="208"/>
      <c r="AZ237" s="208"/>
      <c r="BA237" s="208"/>
      <c r="BB237" s="208"/>
      <c r="BC237" s="242"/>
    </row>
    <row r="238" spans="2:55" ht="12.75" customHeight="1">
      <c r="B238" s="260"/>
      <c r="C238" s="176"/>
      <c r="D238" s="176"/>
      <c r="E238" s="176"/>
      <c r="F238" s="176"/>
      <c r="G238" s="213"/>
      <c r="H238" s="256"/>
      <c r="I238" s="260"/>
      <c r="J238" s="176"/>
      <c r="K238" s="176"/>
      <c r="L238" s="176"/>
      <c r="M238" s="176"/>
      <c r="N238" s="176"/>
      <c r="O238" s="176"/>
      <c r="P238" s="176"/>
      <c r="Q238" s="176"/>
      <c r="R238" s="176"/>
      <c r="S238" s="176"/>
      <c r="T238" s="176"/>
      <c r="U238" s="176"/>
      <c r="V238" s="176"/>
      <c r="W238" s="176"/>
      <c r="X238" s="208"/>
      <c r="Y238" s="208"/>
      <c r="Z238" s="208"/>
      <c r="AA238" s="176"/>
      <c r="AB238" s="176"/>
      <c r="AC238" s="176"/>
      <c r="AD238" s="176"/>
      <c r="AE238" s="176"/>
      <c r="AF238" s="176"/>
      <c r="AG238" s="176"/>
      <c r="AH238" s="176"/>
      <c r="AI238" s="176"/>
      <c r="AJ238" s="176"/>
      <c r="AK238" s="176"/>
      <c r="AL238" s="176"/>
      <c r="AM238" s="176"/>
      <c r="AN238" s="176"/>
      <c r="AO238" s="176"/>
      <c r="AP238" s="180"/>
      <c r="AQ238" s="180"/>
      <c r="AR238" s="180"/>
      <c r="AS238" s="180"/>
      <c r="AT238" s="180"/>
      <c r="AU238" s="180"/>
      <c r="AV238" s="201"/>
      <c r="AW238" s="207"/>
      <c r="AX238" s="208"/>
      <c r="AY238" s="208"/>
      <c r="AZ238" s="208"/>
      <c r="BA238" s="208"/>
      <c r="BB238" s="208"/>
      <c r="BC238" s="242"/>
    </row>
    <row r="239" spans="2:55" ht="12.75" customHeight="1">
      <c r="B239" s="540" t="s">
        <v>230</v>
      </c>
      <c r="C239" s="541"/>
      <c r="D239" s="541"/>
      <c r="E239" s="541"/>
      <c r="F239" s="541"/>
      <c r="G239" s="541"/>
      <c r="H239" s="542"/>
      <c r="I239" s="260"/>
      <c r="J239" s="273" t="s">
        <v>229</v>
      </c>
      <c r="K239" s="176"/>
      <c r="L239" s="176"/>
      <c r="M239" s="176"/>
      <c r="N239" s="176"/>
      <c r="O239" s="176"/>
      <c r="P239" s="176"/>
      <c r="Q239" s="176"/>
      <c r="R239" s="176"/>
      <c r="S239" s="176"/>
      <c r="T239" s="176"/>
      <c r="U239" s="176"/>
      <c r="V239" s="176"/>
      <c r="W239" s="176"/>
      <c r="X239" s="176"/>
      <c r="Y239" s="176"/>
      <c r="Z239" s="176"/>
      <c r="AA239" s="176"/>
      <c r="AB239" s="176"/>
      <c r="AC239" s="176"/>
      <c r="AD239" s="176"/>
      <c r="AE239" s="176"/>
      <c r="AF239" s="176"/>
      <c r="AG239" s="176"/>
      <c r="AH239" s="176"/>
      <c r="AI239" s="176"/>
      <c r="AJ239" s="176"/>
      <c r="AK239" s="176"/>
      <c r="AL239" s="176"/>
      <c r="AM239" s="176"/>
      <c r="AN239" s="176"/>
      <c r="AO239" s="176"/>
      <c r="AP239" s="180"/>
      <c r="AQ239" s="180"/>
      <c r="AR239" s="180"/>
      <c r="AS239" s="180"/>
      <c r="AT239" s="180"/>
      <c r="AU239" s="180"/>
      <c r="AV239" s="201"/>
      <c r="AW239" s="207"/>
      <c r="AX239" s="208"/>
      <c r="AY239" s="208"/>
      <c r="AZ239" s="208"/>
      <c r="BA239" s="208"/>
      <c r="BB239" s="208"/>
      <c r="BC239" s="242"/>
    </row>
    <row r="240" spans="2:55" ht="12.75" customHeight="1">
      <c r="B240" s="260"/>
      <c r="C240" s="176"/>
      <c r="D240" s="176"/>
      <c r="E240" s="176"/>
      <c r="F240" s="176"/>
      <c r="G240" s="213"/>
      <c r="H240" s="256"/>
      <c r="I240" s="260"/>
      <c r="J240" s="273"/>
      <c r="K240" s="176"/>
      <c r="L240" s="176"/>
      <c r="M240" s="176"/>
      <c r="N240" s="176"/>
      <c r="O240" s="176"/>
      <c r="P240" s="176"/>
      <c r="Q240" s="176"/>
      <c r="R240" s="176"/>
      <c r="S240" s="176"/>
      <c r="T240" s="176"/>
      <c r="U240" s="176"/>
      <c r="V240" s="176"/>
      <c r="W240" s="176"/>
      <c r="X240" s="176"/>
      <c r="Y240" s="176"/>
      <c r="Z240" s="176"/>
      <c r="AA240" s="176"/>
      <c r="AB240" s="176"/>
      <c r="AC240" s="176"/>
      <c r="AD240" s="176"/>
      <c r="AE240" s="176"/>
      <c r="AF240" s="176"/>
      <c r="AG240" s="176"/>
      <c r="AH240" s="176"/>
      <c r="AI240" s="176"/>
      <c r="AJ240" s="176"/>
      <c r="AK240" s="176"/>
      <c r="AL240" s="176"/>
      <c r="AM240" s="176"/>
      <c r="AN240" s="176"/>
      <c r="AO240" s="176"/>
      <c r="AP240" s="180"/>
      <c r="AQ240" s="180"/>
      <c r="AR240" s="180"/>
      <c r="AS240" s="180"/>
      <c r="AT240" s="180"/>
      <c r="AU240" s="180"/>
      <c r="AV240" s="201"/>
      <c r="AW240" s="207"/>
      <c r="AX240" s="208"/>
      <c r="AY240" s="208"/>
      <c r="AZ240" s="208"/>
      <c r="BA240" s="208"/>
      <c r="BB240" s="208"/>
      <c r="BC240" s="242"/>
    </row>
    <row r="241" spans="2:55" ht="12.75" customHeight="1">
      <c r="B241" s="260"/>
      <c r="C241" s="176"/>
      <c r="D241" s="176"/>
      <c r="E241" s="176"/>
      <c r="F241" s="176"/>
      <c r="G241" s="213"/>
      <c r="H241" s="256"/>
      <c r="I241" s="260"/>
      <c r="J241" s="273" t="s">
        <v>241</v>
      </c>
      <c r="K241" s="176"/>
      <c r="L241" s="176"/>
      <c r="M241" s="176"/>
      <c r="N241" s="176"/>
      <c r="O241" s="176"/>
      <c r="P241" s="176"/>
      <c r="Q241" s="176"/>
      <c r="R241" s="176"/>
      <c r="S241" s="176"/>
      <c r="T241" s="176"/>
      <c r="U241" s="176"/>
      <c r="V241" s="176"/>
      <c r="W241" s="176"/>
      <c r="X241" s="176"/>
      <c r="Y241" s="176"/>
      <c r="Z241" s="176"/>
      <c r="AA241" s="176"/>
      <c r="AB241" s="176"/>
      <c r="AC241" s="176"/>
      <c r="AD241" s="176"/>
      <c r="AE241" s="176"/>
      <c r="AF241" s="176"/>
      <c r="AG241" s="176"/>
      <c r="AH241" s="176"/>
      <c r="AI241" s="176"/>
      <c r="AJ241" s="176"/>
      <c r="AK241" s="176"/>
      <c r="AL241" s="176"/>
      <c r="AM241" s="176"/>
      <c r="AN241" s="176"/>
      <c r="AO241" s="176"/>
      <c r="AP241" s="180"/>
      <c r="AQ241" s="180"/>
      <c r="AR241" s="180"/>
      <c r="AS241" s="180"/>
      <c r="AT241" s="180"/>
      <c r="AU241" s="180"/>
      <c r="AV241" s="201"/>
      <c r="AW241" s="207"/>
      <c r="AX241" s="208"/>
      <c r="AY241" s="208"/>
      <c r="AZ241" s="208"/>
      <c r="BA241" s="208"/>
      <c r="BB241" s="208"/>
      <c r="BC241" s="242"/>
    </row>
    <row r="242" spans="2:55" ht="12.75" customHeight="1">
      <c r="B242" s="260"/>
      <c r="C242" s="176"/>
      <c r="D242" s="176"/>
      <c r="E242" s="176"/>
      <c r="F242" s="176"/>
      <c r="G242" s="213"/>
      <c r="H242" s="256"/>
      <c r="I242" s="260"/>
      <c r="J242" s="273"/>
      <c r="K242" s="176"/>
      <c r="L242" s="176"/>
      <c r="M242" s="176"/>
      <c r="N242" s="176"/>
      <c r="O242" s="176"/>
      <c r="P242" s="176"/>
      <c r="Q242" s="176"/>
      <c r="R242" s="176"/>
      <c r="S242" s="176"/>
      <c r="T242" s="176"/>
      <c r="U242" s="176"/>
      <c r="V242" s="176"/>
      <c r="W242" s="176"/>
      <c r="X242" s="176"/>
      <c r="Y242" s="176"/>
      <c r="Z242" s="176"/>
      <c r="AA242" s="176"/>
      <c r="AB242" s="176"/>
      <c r="AC242" s="176"/>
      <c r="AD242" s="176"/>
      <c r="AE242" s="176"/>
      <c r="AF242" s="176"/>
      <c r="AG242" s="176"/>
      <c r="AH242" s="176"/>
      <c r="AI242" s="176"/>
      <c r="AJ242" s="176"/>
      <c r="AK242" s="176"/>
      <c r="AL242" s="176"/>
      <c r="AM242" s="176"/>
      <c r="AN242" s="176"/>
      <c r="AO242" s="176"/>
      <c r="AP242" s="180"/>
      <c r="AQ242" s="180"/>
      <c r="AR242" s="180"/>
      <c r="AS242" s="180"/>
      <c r="AT242" s="180"/>
      <c r="AU242" s="180"/>
      <c r="AV242" s="201"/>
      <c r="AW242" s="207"/>
      <c r="AX242" s="208"/>
      <c r="AY242" s="208"/>
      <c r="AZ242" s="208"/>
      <c r="BA242" s="208"/>
      <c r="BB242" s="208"/>
      <c r="BC242" s="242"/>
    </row>
    <row r="243" spans="2:55" ht="12.75" customHeight="1">
      <c r="B243" s="260"/>
      <c r="C243" s="176"/>
      <c r="D243" s="176"/>
      <c r="E243" s="176"/>
      <c r="F243" s="176"/>
      <c r="G243" s="213"/>
      <c r="H243" s="256"/>
      <c r="I243" s="260"/>
      <c r="J243" s="205" t="s">
        <v>276</v>
      </c>
      <c r="K243" s="247"/>
      <c r="L243" s="247"/>
      <c r="M243" s="176"/>
      <c r="N243" s="176"/>
      <c r="O243" s="176" t="s">
        <v>232</v>
      </c>
      <c r="P243" s="468" t="s">
        <v>233</v>
      </c>
      <c r="Q243" s="468"/>
      <c r="R243" s="468"/>
      <c r="S243" s="176"/>
      <c r="T243" s="176" t="s">
        <v>234</v>
      </c>
      <c r="U243" s="176"/>
      <c r="V243" s="176"/>
      <c r="W243" s="176" t="s">
        <v>236</v>
      </c>
      <c r="X243" s="419">
        <v>1000</v>
      </c>
      <c r="Y243" s="419"/>
      <c r="Z243" s="419"/>
      <c r="AA243" s="419"/>
      <c r="AB243" s="176"/>
      <c r="AC243" s="176" t="s">
        <v>235</v>
      </c>
      <c r="AD243" s="419">
        <f>0.064*1000</f>
        <v>64</v>
      </c>
      <c r="AE243" s="419"/>
      <c r="AF243" s="419"/>
      <c r="AG243" s="419"/>
      <c r="AH243" s="176"/>
      <c r="AI243" s="176"/>
      <c r="AJ243" s="176" t="s">
        <v>237</v>
      </c>
      <c r="AK243" s="470">
        <f>(X243*AD243^3)/12</f>
        <v>21845333.333333332</v>
      </c>
      <c r="AL243" s="470"/>
      <c r="AM243" s="470"/>
      <c r="AN243" s="470"/>
      <c r="AO243" s="470"/>
      <c r="AP243" s="470"/>
      <c r="AQ243" s="470"/>
      <c r="AR243" s="470"/>
      <c r="AS243" s="180"/>
      <c r="AT243" s="180"/>
      <c r="AU243" s="180"/>
      <c r="AV243" s="201"/>
      <c r="AW243" s="207"/>
      <c r="AX243" s="208"/>
      <c r="AY243" s="208"/>
      <c r="AZ243" s="208"/>
      <c r="BA243" s="208"/>
      <c r="BB243" s="208"/>
      <c r="BC243" s="242"/>
    </row>
    <row r="244" spans="2:55" ht="12.75" customHeight="1">
      <c r="B244" s="260"/>
      <c r="C244" s="176"/>
      <c r="D244" s="176"/>
      <c r="E244" s="176"/>
      <c r="F244" s="176"/>
      <c r="G244" s="213"/>
      <c r="H244" s="256"/>
      <c r="I244" s="260"/>
      <c r="J244" s="176"/>
      <c r="K244" s="273" t="s">
        <v>231</v>
      </c>
      <c r="L244" s="176"/>
      <c r="M244" s="176"/>
      <c r="N244" s="176"/>
      <c r="O244" s="176"/>
      <c r="P244" s="343">
        <v>12</v>
      </c>
      <c r="Q244" s="343"/>
      <c r="R244" s="343"/>
      <c r="S244" s="176"/>
      <c r="T244" s="176"/>
      <c r="U244" s="176"/>
      <c r="V244" s="176"/>
      <c r="W244" s="176"/>
      <c r="X244" s="176"/>
      <c r="Y244" s="176"/>
      <c r="Z244" s="176"/>
      <c r="AA244" s="176"/>
      <c r="AB244" s="176"/>
      <c r="AC244" s="176"/>
      <c r="AD244" s="176"/>
      <c r="AE244" s="176"/>
      <c r="AF244" s="176"/>
      <c r="AG244" s="176"/>
      <c r="AH244" s="176"/>
      <c r="AI244" s="176"/>
      <c r="AJ244" s="176" t="s">
        <v>238</v>
      </c>
      <c r="AK244" s="471" t="s">
        <v>239</v>
      </c>
      <c r="AL244" s="471"/>
      <c r="AM244" s="471"/>
      <c r="AN244" s="471"/>
      <c r="AO244" s="471"/>
      <c r="AP244" s="471"/>
      <c r="AQ244" s="471"/>
      <c r="AR244" s="471"/>
      <c r="AS244" s="180"/>
      <c r="AT244" s="180"/>
      <c r="AU244" s="180"/>
      <c r="AV244" s="201"/>
      <c r="AW244" s="207"/>
      <c r="AX244" s="208"/>
      <c r="AY244" s="208"/>
      <c r="AZ244" s="208"/>
      <c r="BA244" s="208"/>
      <c r="BB244" s="208"/>
      <c r="BC244" s="242"/>
    </row>
    <row r="245" spans="2:55" ht="12.75" customHeight="1">
      <c r="B245" s="260"/>
      <c r="C245" s="176"/>
      <c r="D245" s="176"/>
      <c r="E245" s="176"/>
      <c r="F245" s="176"/>
      <c r="G245" s="213"/>
      <c r="H245" s="256"/>
      <c r="I245" s="260"/>
      <c r="J245" s="176"/>
      <c r="K245" s="176"/>
      <c r="L245" s="176"/>
      <c r="M245" s="176"/>
      <c r="N245" s="176"/>
      <c r="O245" s="176"/>
      <c r="P245" s="176"/>
      <c r="Q245" s="176"/>
      <c r="R245" s="176"/>
      <c r="S245" s="176"/>
      <c r="T245" s="176"/>
      <c r="U245" s="176"/>
      <c r="V245" s="176"/>
      <c r="W245" s="176"/>
      <c r="X245" s="176"/>
      <c r="Y245" s="176"/>
      <c r="Z245" s="176"/>
      <c r="AA245" s="176"/>
      <c r="AB245" s="176"/>
      <c r="AC245" s="176"/>
      <c r="AD245" s="176"/>
      <c r="AE245" s="176"/>
      <c r="AF245" s="176"/>
      <c r="AG245" s="176"/>
      <c r="AH245" s="176"/>
      <c r="AI245" s="176"/>
      <c r="AJ245" s="176"/>
      <c r="AK245" s="176"/>
      <c r="AL245" s="176"/>
      <c r="AM245" s="176"/>
      <c r="AN245" s="176"/>
      <c r="AO245" s="176"/>
      <c r="AP245" s="180"/>
      <c r="AQ245" s="180"/>
      <c r="AR245" s="180"/>
      <c r="AS245" s="180"/>
      <c r="AT245" s="180"/>
      <c r="AU245" s="180"/>
      <c r="AV245" s="201"/>
      <c r="AW245" s="207"/>
      <c r="AX245" s="208"/>
      <c r="AY245" s="208"/>
      <c r="AZ245" s="208"/>
      <c r="BA245" s="208"/>
      <c r="BB245" s="208"/>
      <c r="BC245" s="242"/>
    </row>
    <row r="246" spans="2:55" ht="12.75" customHeight="1">
      <c r="B246" s="260"/>
      <c r="C246" s="176"/>
      <c r="D246" s="176"/>
      <c r="E246" s="176"/>
      <c r="F246" s="176"/>
      <c r="G246" s="213"/>
      <c r="H246" s="256"/>
      <c r="I246" s="260"/>
      <c r="J246" s="176" t="s">
        <v>240</v>
      </c>
      <c r="K246" s="274" t="s">
        <v>95</v>
      </c>
      <c r="L246" s="238">
        <v>5</v>
      </c>
      <c r="M246" s="247" t="s">
        <v>97</v>
      </c>
      <c r="N246" s="543">
        <f>Y199</f>
        <v>28.003501627114776</v>
      </c>
      <c r="O246" s="543"/>
      <c r="P246" s="543"/>
      <c r="Q246" s="543"/>
      <c r="R246" s="543"/>
      <c r="S246" s="247" t="s">
        <v>97</v>
      </c>
      <c r="T246" s="544">
        <f>U186*1000</f>
        <v>320</v>
      </c>
      <c r="U246" s="544"/>
      <c r="V246" s="544"/>
      <c r="W246" s="544"/>
      <c r="X246" s="275">
        <v>4</v>
      </c>
      <c r="Y246" s="176"/>
      <c r="Z246" s="274" t="s">
        <v>95</v>
      </c>
      <c r="AA246" s="176"/>
      <c r="AB246" s="490">
        <f>(L246*N246*T246^4)/(L247*P247*U247)</f>
        <v>0.17502188516946734</v>
      </c>
      <c r="AC246" s="490"/>
      <c r="AD246" s="490"/>
      <c r="AE246" s="490"/>
      <c r="AF246" s="490"/>
      <c r="AG246" s="490"/>
      <c r="AH246" s="490"/>
      <c r="AI246" s="490"/>
      <c r="AJ246" s="180"/>
      <c r="AK246" s="180"/>
      <c r="AL246" s="180"/>
      <c r="AM246" s="180"/>
      <c r="AN246" s="180"/>
      <c r="AO246" s="180"/>
      <c r="AP246" s="180"/>
      <c r="AQ246" s="180"/>
      <c r="AR246" s="180"/>
      <c r="AS246" s="180"/>
      <c r="AT246" s="180"/>
      <c r="AU246" s="180"/>
      <c r="AV246" s="201"/>
      <c r="AW246" s="207"/>
      <c r="AX246" s="208"/>
      <c r="AY246" s="208"/>
      <c r="AZ246" s="208"/>
      <c r="BA246" s="208"/>
      <c r="BB246" s="208"/>
      <c r="BC246" s="242"/>
    </row>
    <row r="247" spans="2:55" ht="12.75" customHeight="1">
      <c r="B247" s="260"/>
      <c r="C247" s="176"/>
      <c r="D247" s="176"/>
      <c r="E247" s="176"/>
      <c r="F247" s="176"/>
      <c r="G247" s="213"/>
      <c r="H247" s="256"/>
      <c r="I247" s="260"/>
      <c r="J247" s="176"/>
      <c r="K247" s="176"/>
      <c r="L247" s="471">
        <v>384</v>
      </c>
      <c r="M247" s="471"/>
      <c r="N247" s="471"/>
      <c r="O247" s="211" t="s">
        <v>97</v>
      </c>
      <c r="P247" s="469">
        <v>1000</v>
      </c>
      <c r="Q247" s="469"/>
      <c r="R247" s="469"/>
      <c r="S247" s="469"/>
      <c r="T247" s="211" t="s">
        <v>97</v>
      </c>
      <c r="U247" s="470">
        <f>AK243</f>
        <v>21845333.333333332</v>
      </c>
      <c r="V247" s="471"/>
      <c r="W247" s="471"/>
      <c r="X247" s="471"/>
      <c r="Y247" s="176"/>
      <c r="Z247" s="176"/>
      <c r="AA247" s="176"/>
      <c r="AB247" s="176"/>
      <c r="AC247" s="176"/>
      <c r="AD247" s="176"/>
      <c r="AE247" s="176"/>
      <c r="AF247" s="176"/>
      <c r="AG247" s="176"/>
      <c r="AH247" s="176"/>
      <c r="AI247" s="176"/>
      <c r="AJ247" s="176"/>
      <c r="AK247" s="176"/>
      <c r="AL247" s="176"/>
      <c r="AM247" s="176"/>
      <c r="AN247" s="176"/>
      <c r="AO247" s="176"/>
      <c r="AP247" s="180"/>
      <c r="AQ247" s="180"/>
      <c r="AR247" s="180"/>
      <c r="AS247" s="180"/>
      <c r="AT247" s="180"/>
      <c r="AU247" s="180"/>
      <c r="AV247" s="201"/>
      <c r="AW247" s="207"/>
      <c r="AX247" s="208"/>
      <c r="AY247" s="208"/>
      <c r="AZ247" s="208"/>
      <c r="BA247" s="208"/>
      <c r="BB247" s="208"/>
      <c r="BC247" s="242"/>
    </row>
    <row r="248" spans="2:55" ht="12.75" customHeight="1">
      <c r="B248" s="260"/>
      <c r="C248" s="176"/>
      <c r="D248" s="176"/>
      <c r="E248" s="176"/>
      <c r="F248" s="176"/>
      <c r="G248" s="213"/>
      <c r="H248" s="256"/>
      <c r="I248" s="260"/>
      <c r="J248" s="176"/>
      <c r="K248" s="176"/>
      <c r="L248" s="176"/>
      <c r="M248" s="176"/>
      <c r="N248" s="176"/>
      <c r="O248" s="176"/>
      <c r="P248" s="176"/>
      <c r="Q248" s="176"/>
      <c r="R248" s="176"/>
      <c r="S248" s="176"/>
      <c r="T248" s="176"/>
      <c r="U248" s="176"/>
      <c r="V248" s="176"/>
      <c r="W248" s="176"/>
      <c r="X248" s="176"/>
      <c r="Y248" s="176"/>
      <c r="Z248" s="176"/>
      <c r="AA248" s="176"/>
      <c r="AB248" s="176"/>
      <c r="AC248" s="176"/>
      <c r="AD248" s="176"/>
      <c r="AE248" s="176"/>
      <c r="AF248" s="176"/>
      <c r="AG248" s="176"/>
      <c r="AH248" s="176"/>
      <c r="AI248" s="176"/>
      <c r="AJ248" s="176"/>
      <c r="AK248" s="176"/>
      <c r="AL248" s="176"/>
      <c r="AM248" s="176"/>
      <c r="AN248" s="176"/>
      <c r="AO248" s="176"/>
      <c r="AP248" s="180"/>
      <c r="AQ248" s="180"/>
      <c r="AR248" s="180"/>
      <c r="AS248" s="180"/>
      <c r="AT248" s="180"/>
      <c r="AU248" s="180"/>
      <c r="AV248" s="201"/>
      <c r="AW248" s="207"/>
      <c r="AX248" s="208"/>
      <c r="AY248" s="208"/>
      <c r="AZ248" s="208"/>
      <c r="BA248" s="208"/>
      <c r="BB248" s="208"/>
      <c r="BC248" s="242"/>
    </row>
    <row r="249" spans="2:55" ht="12.75" customHeight="1">
      <c r="B249" s="260"/>
      <c r="C249" s="176"/>
      <c r="D249" s="176"/>
      <c r="E249" s="176"/>
      <c r="F249" s="176"/>
      <c r="G249" s="213"/>
      <c r="H249" s="256"/>
      <c r="I249" s="260"/>
      <c r="J249" s="273" t="s">
        <v>242</v>
      </c>
      <c r="K249" s="176"/>
      <c r="L249" s="176"/>
      <c r="M249" s="176"/>
      <c r="N249" s="176"/>
      <c r="O249" s="176"/>
      <c r="P249" s="176"/>
      <c r="Q249" s="176"/>
      <c r="R249" s="176"/>
      <c r="S249" s="176"/>
      <c r="T249" s="176"/>
      <c r="U249" s="176"/>
      <c r="V249" s="176"/>
      <c r="W249" s="176"/>
      <c r="X249" s="176"/>
      <c r="Y249" s="176"/>
      <c r="Z249" s="176"/>
      <c r="AA249" s="176"/>
      <c r="AB249" s="176"/>
      <c r="AC249" s="176"/>
      <c r="AD249" s="176"/>
      <c r="AE249" s="176"/>
      <c r="AF249" s="176"/>
      <c r="AG249" s="176"/>
      <c r="AH249" s="176"/>
      <c r="AI249" s="176"/>
      <c r="AJ249" s="176"/>
      <c r="AK249" s="176"/>
      <c r="AL249" s="176"/>
      <c r="AM249" s="176"/>
      <c r="AN249" s="176"/>
      <c r="AO249" s="176"/>
      <c r="AP249" s="180"/>
      <c r="AQ249" s="180"/>
      <c r="AR249" s="180"/>
      <c r="AS249" s="180"/>
      <c r="AT249" s="180"/>
      <c r="AU249" s="180"/>
      <c r="AV249" s="201"/>
      <c r="AW249" s="207"/>
      <c r="AX249" s="208"/>
      <c r="AY249" s="208"/>
      <c r="AZ249" s="208"/>
      <c r="BA249" s="208"/>
      <c r="BB249" s="208"/>
      <c r="BC249" s="242"/>
    </row>
    <row r="250" spans="2:55" ht="12.75" customHeight="1">
      <c r="B250" s="260"/>
      <c r="C250" s="176"/>
      <c r="D250" s="176"/>
      <c r="E250" s="176"/>
      <c r="F250" s="176"/>
      <c r="G250" s="213"/>
      <c r="H250" s="256"/>
      <c r="I250" s="260"/>
      <c r="J250" s="176"/>
      <c r="K250" s="176"/>
      <c r="L250" s="176"/>
      <c r="M250" s="176"/>
      <c r="N250" s="176"/>
      <c r="O250" s="176"/>
      <c r="P250" s="176"/>
      <c r="Q250" s="176"/>
      <c r="R250" s="176"/>
      <c r="S250" s="176"/>
      <c r="T250" s="176"/>
      <c r="U250" s="176"/>
      <c r="V250" s="176"/>
      <c r="W250" s="176"/>
      <c r="X250" s="176"/>
      <c r="Y250" s="176"/>
      <c r="Z250" s="176"/>
      <c r="AA250" s="176"/>
      <c r="AB250" s="176"/>
      <c r="AC250" s="176"/>
      <c r="AD250" s="176"/>
      <c r="AE250" s="176"/>
      <c r="AF250" s="176"/>
      <c r="AG250" s="176"/>
      <c r="AH250" s="176"/>
      <c r="AI250" s="176"/>
      <c r="AJ250" s="176"/>
      <c r="AK250" s="176"/>
      <c r="AL250" s="176"/>
      <c r="AM250" s="176"/>
      <c r="AN250" s="176"/>
      <c r="AO250" s="176"/>
      <c r="AP250" s="180"/>
      <c r="AQ250" s="180"/>
      <c r="AR250" s="180"/>
      <c r="AS250" s="180"/>
      <c r="AT250" s="180"/>
      <c r="AU250" s="180"/>
      <c r="AV250" s="201"/>
      <c r="AW250" s="207"/>
      <c r="AX250" s="208"/>
      <c r="AY250" s="208"/>
      <c r="AZ250" s="208"/>
      <c r="BA250" s="208"/>
      <c r="BB250" s="208"/>
      <c r="BC250" s="242"/>
    </row>
    <row r="251" spans="2:55" ht="12.75" customHeight="1">
      <c r="B251" s="260"/>
      <c r="C251" s="176"/>
      <c r="D251" s="176"/>
      <c r="E251" s="176"/>
      <c r="F251" s="176"/>
      <c r="G251" s="213"/>
      <c r="H251" s="256"/>
      <c r="I251" s="260"/>
      <c r="J251" s="273" t="s">
        <v>243</v>
      </c>
      <c r="K251" s="176"/>
      <c r="L251" s="176"/>
      <c r="M251" s="176"/>
      <c r="N251" s="274" t="s">
        <v>95</v>
      </c>
      <c r="O251" s="176"/>
      <c r="P251" s="402">
        <f>U186</f>
        <v>0.32</v>
      </c>
      <c r="Q251" s="471"/>
      <c r="R251" s="471"/>
      <c r="S251" s="471"/>
      <c r="T251" s="471"/>
      <c r="U251" s="274" t="s">
        <v>169</v>
      </c>
      <c r="V251" s="471">
        <v>200</v>
      </c>
      <c r="W251" s="471"/>
      <c r="X251" s="471"/>
      <c r="Y251" s="176"/>
      <c r="Z251" s="274" t="s">
        <v>95</v>
      </c>
      <c r="AA251" s="176"/>
      <c r="AB251" s="490">
        <f>(P251*1000)/V251</f>
        <v>1.6</v>
      </c>
      <c r="AC251" s="490"/>
      <c r="AD251" s="490"/>
      <c r="AE251" s="490"/>
      <c r="AF251" s="490"/>
      <c r="AG251" s="490"/>
      <c r="AH251" s="490"/>
      <c r="AI251" s="176"/>
      <c r="AJ251" s="176"/>
      <c r="AK251" s="176"/>
      <c r="AL251" s="176"/>
      <c r="AM251" s="176"/>
      <c r="AN251" s="176"/>
      <c r="AO251" s="176"/>
      <c r="AP251" s="180"/>
      <c r="AQ251" s="180"/>
      <c r="AR251" s="180"/>
      <c r="AS251" s="180"/>
      <c r="AT251" s="180"/>
      <c r="AU251" s="180"/>
      <c r="AV251" s="201"/>
      <c r="AW251" s="207"/>
      <c r="AX251" s="208"/>
      <c r="AY251" s="208"/>
      <c r="AZ251" s="208"/>
      <c r="BA251" s="208"/>
      <c r="BB251" s="208"/>
      <c r="BC251" s="242"/>
    </row>
    <row r="252" spans="2:55" ht="12.75" customHeight="1">
      <c r="B252" s="260"/>
      <c r="C252" s="176"/>
      <c r="D252" s="176"/>
      <c r="E252" s="176"/>
      <c r="F252" s="176"/>
      <c r="G252" s="213"/>
      <c r="H252" s="256"/>
      <c r="I252" s="260"/>
      <c r="J252" s="176"/>
      <c r="K252" s="176"/>
      <c r="L252" s="176"/>
      <c r="M252" s="176"/>
      <c r="N252" s="176"/>
      <c r="O252" s="176"/>
      <c r="P252" s="176"/>
      <c r="Q252" s="176"/>
      <c r="R252" s="176"/>
      <c r="S252" s="176"/>
      <c r="T252" s="176"/>
      <c r="U252" s="176"/>
      <c r="V252" s="176"/>
      <c r="W252" s="176"/>
      <c r="X252" s="176"/>
      <c r="Y252" s="176"/>
      <c r="Z252" s="176"/>
      <c r="AA252" s="176"/>
      <c r="AB252" s="176"/>
      <c r="AC252" s="176"/>
      <c r="AD252" s="176"/>
      <c r="AE252" s="176"/>
      <c r="AF252" s="176"/>
      <c r="AG252" s="176"/>
      <c r="AH252" s="176"/>
      <c r="AI252" s="176"/>
      <c r="AJ252" s="176"/>
      <c r="AK252" s="176"/>
      <c r="AL252" s="176"/>
      <c r="AM252" s="176"/>
      <c r="AN252" s="176"/>
      <c r="AO252" s="176"/>
      <c r="AP252" s="180"/>
      <c r="AQ252" s="180"/>
      <c r="AR252" s="180"/>
      <c r="AS252" s="180"/>
      <c r="AT252" s="180"/>
      <c r="AU252" s="180"/>
      <c r="AV252" s="201"/>
      <c r="AW252" s="207"/>
      <c r="AX252" s="208"/>
      <c r="AY252" s="208"/>
      <c r="AZ252" s="208"/>
      <c r="BA252" s="208"/>
      <c r="BB252" s="208"/>
      <c r="BC252" s="242"/>
    </row>
    <row r="253" spans="2:55" ht="12.75" customHeight="1">
      <c r="B253" s="260"/>
      <c r="C253" s="176"/>
      <c r="D253" s="176"/>
      <c r="E253" s="176"/>
      <c r="F253" s="176"/>
      <c r="G253" s="213"/>
      <c r="H253" s="256"/>
      <c r="I253" s="260"/>
      <c r="J253" s="176"/>
      <c r="K253" s="176"/>
      <c r="L253" s="176"/>
      <c r="M253" s="176"/>
      <c r="N253" s="176"/>
      <c r="O253" s="176"/>
      <c r="P253" s="176"/>
      <c r="Q253" s="176"/>
      <c r="R253" s="176"/>
      <c r="S253" s="176"/>
      <c r="T253" s="176"/>
      <c r="U253" s="176"/>
      <c r="V253" s="176"/>
      <c r="W253" s="176"/>
      <c r="X253" s="176"/>
      <c r="Y253" s="176"/>
      <c r="Z253" s="176"/>
      <c r="AA253" s="176"/>
      <c r="AB253" s="176"/>
      <c r="AC253" s="176"/>
      <c r="AD253" s="176"/>
      <c r="AE253" s="176"/>
      <c r="AF253" s="176"/>
      <c r="AG253" s="176"/>
      <c r="AH253" s="176"/>
      <c r="AI253" s="176"/>
      <c r="AJ253" s="176"/>
      <c r="AK253" s="176"/>
      <c r="AL253" s="176"/>
      <c r="AM253" s="176"/>
      <c r="AN253" s="176"/>
      <c r="AO253" s="176"/>
      <c r="AP253" s="180"/>
      <c r="AQ253" s="180"/>
      <c r="AR253" s="180"/>
      <c r="AS253" s="180"/>
      <c r="AT253" s="180"/>
      <c r="AU253" s="180"/>
      <c r="AV253" s="201"/>
      <c r="AW253" s="207"/>
      <c r="AX253" s="208"/>
      <c r="AY253" s="208"/>
      <c r="AZ253" s="208"/>
      <c r="BA253" s="208"/>
      <c r="BB253" s="208"/>
      <c r="BC253" s="242"/>
    </row>
    <row r="254" spans="2:55" ht="12.75" customHeight="1">
      <c r="B254" s="260"/>
      <c r="C254" s="176"/>
      <c r="D254" s="176"/>
      <c r="E254" s="176"/>
      <c r="F254" s="176"/>
      <c r="G254" s="213"/>
      <c r="H254" s="256"/>
      <c r="I254" s="260"/>
      <c r="J254" s="273" t="s">
        <v>244</v>
      </c>
      <c r="K254" s="176"/>
      <c r="L254" s="176"/>
      <c r="M254" s="176"/>
      <c r="N254" s="176"/>
      <c r="O254" s="176"/>
      <c r="P254" s="176"/>
      <c r="Q254" s="176"/>
      <c r="R254" s="176"/>
      <c r="S254" s="176"/>
      <c r="T254" s="274" t="s">
        <v>95</v>
      </c>
      <c r="U254" s="176"/>
      <c r="V254" s="490">
        <f>AB246</f>
        <v>0.17502188516946734</v>
      </c>
      <c r="W254" s="490"/>
      <c r="X254" s="490"/>
      <c r="Y254" s="490"/>
      <c r="Z254" s="490"/>
      <c r="AA254" s="274" t="s">
        <v>169</v>
      </c>
      <c r="AB254" s="490">
        <f>AB251</f>
        <v>1.6</v>
      </c>
      <c r="AC254" s="471"/>
      <c r="AD254" s="471"/>
      <c r="AE254" s="471"/>
      <c r="AF254" s="471"/>
      <c r="AG254" s="471"/>
      <c r="AH254" s="471"/>
      <c r="AI254" s="176"/>
      <c r="AJ254" s="274" t="s">
        <v>95</v>
      </c>
      <c r="AK254" s="467">
        <f>(V254/AB254)*100</f>
        <v>10.938867823091709</v>
      </c>
      <c r="AL254" s="467"/>
      <c r="AM254" s="467"/>
      <c r="AN254" s="467"/>
      <c r="AO254" s="467"/>
      <c r="AP254" s="467"/>
      <c r="AQ254" s="467"/>
      <c r="AR254" s="467"/>
      <c r="AS254" s="180"/>
      <c r="AT254" s="180"/>
      <c r="AU254" s="180"/>
      <c r="AV254" s="201"/>
      <c r="AW254" s="420" t="str">
        <f>IF(AP254&lt;100,  "PASS", "FAIL")</f>
        <v>PASS</v>
      </c>
      <c r="AX254" s="420"/>
      <c r="AY254" s="420"/>
      <c r="AZ254" s="420"/>
      <c r="BA254" s="420"/>
      <c r="BB254" s="420"/>
      <c r="BC254" s="420"/>
    </row>
    <row r="255" spans="2:55" ht="12.75" customHeight="1">
      <c r="B255" s="260"/>
      <c r="C255" s="176"/>
      <c r="D255" s="176"/>
      <c r="E255" s="176"/>
      <c r="F255" s="176"/>
      <c r="G255" s="213"/>
      <c r="H255" s="256"/>
      <c r="I255" s="260"/>
      <c r="J255" s="176"/>
      <c r="K255" s="176"/>
      <c r="L255" s="176"/>
      <c r="M255" s="176"/>
      <c r="N255" s="176"/>
      <c r="O255" s="176"/>
      <c r="P255" s="176"/>
      <c r="Q255" s="176"/>
      <c r="R255" s="176"/>
      <c r="S255" s="176"/>
      <c r="T255" s="176"/>
      <c r="U255" s="176"/>
      <c r="V255" s="176"/>
      <c r="W255" s="176"/>
      <c r="X255" s="176"/>
      <c r="Y255" s="176"/>
      <c r="Z255" s="176"/>
      <c r="AA255" s="176"/>
      <c r="AB255" s="176"/>
      <c r="AC255" s="176"/>
      <c r="AD255" s="176"/>
      <c r="AE255" s="176"/>
      <c r="AF255" s="176"/>
      <c r="AG255" s="176"/>
      <c r="AH255" s="176"/>
      <c r="AI255" s="176"/>
      <c r="AJ255" s="176"/>
      <c r="AK255" s="176"/>
      <c r="AL255" s="176"/>
      <c r="AM255" s="176"/>
      <c r="AN255" s="176"/>
      <c r="AO255" s="176"/>
      <c r="AP255" s="180"/>
      <c r="AQ255" s="180"/>
      <c r="AR255" s="180"/>
      <c r="AS255" s="180"/>
      <c r="AT255" s="180"/>
      <c r="AU255" s="180"/>
      <c r="AV255" s="201"/>
      <c r="AW255" s="207"/>
      <c r="AX255" s="208"/>
      <c r="AY255" s="208"/>
      <c r="AZ255" s="208"/>
      <c r="BA255" s="208"/>
      <c r="BB255" s="208"/>
      <c r="BC255" s="242"/>
    </row>
    <row r="256" spans="2:55" ht="12.75" customHeight="1">
      <c r="B256" s="260"/>
      <c r="C256" s="176"/>
      <c r="D256" s="176"/>
      <c r="E256" s="176"/>
      <c r="F256" s="176"/>
      <c r="G256" s="213"/>
      <c r="H256" s="256"/>
      <c r="I256" s="260"/>
      <c r="J256" s="176"/>
      <c r="K256" s="176"/>
      <c r="L256" s="176"/>
      <c r="M256" s="176"/>
      <c r="N256" s="176"/>
      <c r="O256" s="176"/>
      <c r="P256" s="176"/>
      <c r="Q256" s="176"/>
      <c r="R256" s="176"/>
      <c r="S256" s="176"/>
      <c r="T256" s="176"/>
      <c r="U256" s="176"/>
      <c r="V256" s="176"/>
      <c r="W256" s="176"/>
      <c r="X256" s="176"/>
      <c r="Y256" s="176"/>
      <c r="Z256" s="176"/>
      <c r="AA256" s="176"/>
      <c r="AB256" s="176"/>
      <c r="AC256" s="176"/>
      <c r="AD256" s="176"/>
      <c r="AE256" s="176"/>
      <c r="AF256" s="176"/>
      <c r="AG256" s="176"/>
      <c r="AH256" s="176"/>
      <c r="AI256" s="176"/>
      <c r="AJ256" s="176"/>
      <c r="AK256" s="176"/>
      <c r="AL256" s="176"/>
      <c r="AM256" s="176"/>
      <c r="AN256" s="176"/>
      <c r="AO256" s="176"/>
      <c r="AP256" s="180"/>
      <c r="AQ256" s="180"/>
      <c r="AR256" s="180"/>
      <c r="AS256" s="180"/>
      <c r="AT256" s="180"/>
      <c r="AU256" s="180"/>
      <c r="AV256" s="201"/>
      <c r="AW256" s="207"/>
      <c r="AX256" s="208"/>
      <c r="AY256" s="208"/>
      <c r="AZ256" s="208"/>
      <c r="BA256" s="208"/>
      <c r="BB256" s="208"/>
      <c r="BC256" s="242"/>
    </row>
    <row r="257" spans="2:55" ht="12.75" customHeight="1">
      <c r="B257" s="260"/>
      <c r="C257" s="176"/>
      <c r="D257" s="176"/>
      <c r="E257" s="176"/>
      <c r="F257" s="176"/>
      <c r="G257" s="213"/>
      <c r="H257" s="256"/>
      <c r="I257" s="260"/>
      <c r="J257" s="176"/>
      <c r="K257" s="176"/>
      <c r="L257" s="176"/>
      <c r="M257" s="176"/>
      <c r="N257" s="176"/>
      <c r="O257" s="176"/>
      <c r="P257" s="176"/>
      <c r="Q257" s="176"/>
      <c r="R257" s="176"/>
      <c r="S257" s="176"/>
      <c r="T257" s="176"/>
      <c r="U257" s="176"/>
      <c r="V257" s="176"/>
      <c r="W257" s="176"/>
      <c r="X257" s="176"/>
      <c r="Y257" s="176"/>
      <c r="Z257" s="176"/>
      <c r="AA257" s="176"/>
      <c r="AB257" s="176"/>
      <c r="AC257" s="176"/>
      <c r="AD257" s="176"/>
      <c r="AE257" s="176"/>
      <c r="AF257" s="176"/>
      <c r="AG257" s="176"/>
      <c r="AH257" s="176"/>
      <c r="AI257" s="176"/>
      <c r="AJ257" s="176"/>
      <c r="AK257" s="176"/>
      <c r="AL257" s="176"/>
      <c r="AM257" s="176"/>
      <c r="AN257" s="176"/>
      <c r="AO257" s="176"/>
      <c r="AP257" s="180"/>
      <c r="AQ257" s="180"/>
      <c r="AR257" s="180"/>
      <c r="AS257" s="180"/>
      <c r="AT257" s="180"/>
      <c r="AU257" s="180"/>
      <c r="AV257" s="201"/>
      <c r="AW257" s="207"/>
      <c r="AX257" s="208"/>
      <c r="AY257" s="208"/>
      <c r="AZ257" s="208"/>
      <c r="BA257" s="208"/>
      <c r="BB257" s="208"/>
      <c r="BC257" s="242"/>
    </row>
    <row r="258" spans="2:55" ht="12.75" customHeight="1">
      <c r="B258" s="260"/>
      <c r="C258" s="176"/>
      <c r="D258" s="176"/>
      <c r="E258" s="176"/>
      <c r="F258" s="176"/>
      <c r="G258" s="213"/>
      <c r="H258" s="256"/>
      <c r="I258" s="260"/>
      <c r="J258" s="176"/>
      <c r="K258" s="176"/>
      <c r="L258" s="176"/>
      <c r="M258" s="176"/>
      <c r="N258" s="176"/>
      <c r="O258" s="176"/>
      <c r="P258" s="176"/>
      <c r="Q258" s="176"/>
      <c r="R258" s="176"/>
      <c r="S258" s="176"/>
      <c r="T258" s="176"/>
      <c r="U258" s="176"/>
      <c r="V258" s="176"/>
      <c r="W258" s="176"/>
      <c r="X258" s="176"/>
      <c r="Y258" s="176"/>
      <c r="Z258" s="176"/>
      <c r="AA258" s="176"/>
      <c r="AB258" s="176"/>
      <c r="AC258" s="176"/>
      <c r="AD258" s="176"/>
      <c r="AE258" s="176"/>
      <c r="AF258" s="176"/>
      <c r="AG258" s="176"/>
      <c r="AH258" s="176"/>
      <c r="AI258" s="176"/>
      <c r="AJ258" s="176"/>
      <c r="AK258" s="176"/>
      <c r="AL258" s="176"/>
      <c r="AM258" s="176"/>
      <c r="AN258" s="176"/>
      <c r="AO258" s="176"/>
      <c r="AP258" s="180"/>
      <c r="AQ258" s="180"/>
      <c r="AR258" s="180"/>
      <c r="AS258" s="180"/>
      <c r="AT258" s="180"/>
      <c r="AU258" s="180"/>
      <c r="AV258" s="201"/>
      <c r="AW258" s="207"/>
      <c r="AX258" s="208"/>
      <c r="AY258" s="208"/>
      <c r="AZ258" s="208"/>
      <c r="BA258" s="208"/>
      <c r="BB258" s="208"/>
      <c r="BC258" s="242"/>
    </row>
    <row r="259" spans="2:55" ht="12.75" customHeight="1">
      <c r="B259" s="260"/>
      <c r="C259" s="176"/>
      <c r="D259" s="176"/>
      <c r="E259" s="176"/>
      <c r="F259" s="176"/>
      <c r="G259" s="213"/>
      <c r="H259" s="256"/>
      <c r="I259" s="260"/>
      <c r="J259" s="176"/>
      <c r="K259" s="176"/>
      <c r="L259" s="176"/>
      <c r="M259" s="176"/>
      <c r="N259" s="176"/>
      <c r="O259" s="176"/>
      <c r="P259" s="176"/>
      <c r="Q259" s="176"/>
      <c r="R259" s="176"/>
      <c r="S259" s="176"/>
      <c r="T259" s="176"/>
      <c r="U259" s="176"/>
      <c r="V259" s="176"/>
      <c r="W259" s="176"/>
      <c r="X259" s="176"/>
      <c r="Y259" s="176"/>
      <c r="Z259" s="176"/>
      <c r="AA259" s="176"/>
      <c r="AB259" s="176"/>
      <c r="AC259" s="176"/>
      <c r="AD259" s="176"/>
      <c r="AE259" s="176"/>
      <c r="AF259" s="176"/>
      <c r="AG259" s="176"/>
      <c r="AH259" s="176"/>
      <c r="AI259" s="176"/>
      <c r="AJ259" s="176"/>
      <c r="AK259" s="176"/>
      <c r="AL259" s="176"/>
      <c r="AM259" s="176"/>
      <c r="AN259" s="176"/>
      <c r="AO259" s="176"/>
      <c r="AP259" s="180"/>
      <c r="AQ259" s="180"/>
      <c r="AR259" s="180"/>
      <c r="AS259" s="180"/>
      <c r="AT259" s="180"/>
      <c r="AU259" s="180"/>
      <c r="AV259" s="201"/>
      <c r="AW259" s="207"/>
      <c r="AX259" s="208"/>
      <c r="AY259" s="208"/>
      <c r="AZ259" s="208"/>
      <c r="BA259" s="208"/>
      <c r="BB259" s="208"/>
      <c r="BC259" s="242"/>
    </row>
    <row r="260" spans="2:55" ht="12.75" customHeight="1">
      <c r="B260" s="260"/>
      <c r="C260" s="176"/>
      <c r="D260" s="176"/>
      <c r="E260" s="176"/>
      <c r="F260" s="176"/>
      <c r="G260" s="213"/>
      <c r="H260" s="256"/>
      <c r="I260" s="260"/>
      <c r="J260" s="176"/>
      <c r="K260" s="176"/>
      <c r="L260" s="176"/>
      <c r="M260" s="176"/>
      <c r="N260" s="176"/>
      <c r="O260" s="176"/>
      <c r="P260" s="176"/>
      <c r="Q260" s="176"/>
      <c r="R260" s="176"/>
      <c r="S260" s="176"/>
      <c r="T260" s="176"/>
      <c r="U260" s="176"/>
      <c r="V260" s="176"/>
      <c r="W260" s="176"/>
      <c r="X260" s="176"/>
      <c r="Y260" s="176"/>
      <c r="Z260" s="176"/>
      <c r="AA260" s="176"/>
      <c r="AB260" s="176"/>
      <c r="AC260" s="176"/>
      <c r="AD260" s="176"/>
      <c r="AE260" s="176"/>
      <c r="AF260" s="176"/>
      <c r="AG260" s="176"/>
      <c r="AH260" s="176"/>
      <c r="AI260" s="176"/>
      <c r="AJ260" s="176"/>
      <c r="AK260" s="176"/>
      <c r="AL260" s="176"/>
      <c r="AM260" s="176"/>
      <c r="AN260" s="176"/>
      <c r="AO260" s="176"/>
      <c r="AP260" s="180"/>
      <c r="AQ260" s="180"/>
      <c r="AR260" s="180"/>
      <c r="AS260" s="180"/>
      <c r="AT260" s="180"/>
      <c r="AU260" s="180"/>
      <c r="AV260" s="201"/>
      <c r="AW260" s="207"/>
      <c r="AX260" s="208"/>
      <c r="AY260" s="208"/>
      <c r="AZ260" s="208"/>
      <c r="BA260" s="208"/>
      <c r="BB260" s="208"/>
      <c r="BC260" s="242"/>
    </row>
    <row r="261" spans="2:55" ht="12.75" customHeight="1">
      <c r="B261" s="260"/>
      <c r="C261" s="176"/>
      <c r="D261" s="176"/>
      <c r="E261" s="176"/>
      <c r="F261" s="176"/>
      <c r="G261" s="213"/>
      <c r="H261" s="256"/>
      <c r="I261" s="260"/>
      <c r="J261" s="176"/>
      <c r="K261" s="176"/>
      <c r="L261" s="176"/>
      <c r="M261" s="176"/>
      <c r="N261" s="176"/>
      <c r="O261" s="176"/>
      <c r="P261" s="176"/>
      <c r="Q261" s="176"/>
      <c r="R261" s="176"/>
      <c r="S261" s="176"/>
      <c r="T261" s="176"/>
      <c r="U261" s="176"/>
      <c r="V261" s="176"/>
      <c r="W261" s="176"/>
      <c r="X261" s="176"/>
      <c r="Y261" s="176"/>
      <c r="Z261" s="176"/>
      <c r="AA261" s="176"/>
      <c r="AB261" s="176"/>
      <c r="AC261" s="176"/>
      <c r="AD261" s="176"/>
      <c r="AE261" s="176"/>
      <c r="AF261" s="176"/>
      <c r="AG261" s="176"/>
      <c r="AH261" s="176"/>
      <c r="AI261" s="176"/>
      <c r="AJ261" s="176"/>
      <c r="AK261" s="176"/>
      <c r="AL261" s="176"/>
      <c r="AM261" s="176"/>
      <c r="AN261" s="176"/>
      <c r="AO261" s="176"/>
      <c r="AP261" s="180"/>
      <c r="AQ261" s="180"/>
      <c r="AR261" s="180"/>
      <c r="AS261" s="180"/>
      <c r="AT261" s="180"/>
      <c r="AU261" s="180"/>
      <c r="AV261" s="201"/>
      <c r="AW261" s="207"/>
      <c r="AX261" s="208"/>
      <c r="AY261" s="208"/>
      <c r="AZ261" s="208"/>
      <c r="BA261" s="208"/>
      <c r="BB261" s="208"/>
      <c r="BC261" s="242"/>
    </row>
    <row r="262" spans="2:55" ht="12.75" customHeight="1">
      <c r="B262" s="260"/>
      <c r="C262" s="176"/>
      <c r="D262" s="176"/>
      <c r="E262" s="176"/>
      <c r="F262" s="176"/>
      <c r="G262" s="213"/>
      <c r="H262" s="256"/>
      <c r="I262" s="260"/>
      <c r="J262" s="176"/>
      <c r="K262" s="176"/>
      <c r="L262" s="176"/>
      <c r="M262" s="176"/>
      <c r="N262" s="176"/>
      <c r="O262" s="176"/>
      <c r="P262" s="176"/>
      <c r="Q262" s="176"/>
      <c r="R262" s="176"/>
      <c r="S262" s="176"/>
      <c r="T262" s="176"/>
      <c r="U262" s="176"/>
      <c r="V262" s="176"/>
      <c r="W262" s="176"/>
      <c r="X262" s="176"/>
      <c r="Y262" s="176"/>
      <c r="Z262" s="176"/>
      <c r="AA262" s="176"/>
      <c r="AB262" s="176"/>
      <c r="AC262" s="176"/>
      <c r="AD262" s="176"/>
      <c r="AE262" s="176"/>
      <c r="AF262" s="176"/>
      <c r="AG262" s="176"/>
      <c r="AH262" s="176"/>
      <c r="AI262" s="176"/>
      <c r="AJ262" s="176"/>
      <c r="AK262" s="176"/>
      <c r="AL262" s="176"/>
      <c r="AM262" s="176"/>
      <c r="AN262" s="176"/>
      <c r="AO262" s="176"/>
      <c r="AP262" s="180"/>
      <c r="AQ262" s="180"/>
      <c r="AR262" s="180"/>
      <c r="AS262" s="180"/>
      <c r="AT262" s="180"/>
      <c r="AU262" s="180"/>
      <c r="AV262" s="201"/>
      <c r="AW262" s="207"/>
      <c r="AX262" s="208"/>
      <c r="AY262" s="208"/>
      <c r="AZ262" s="208"/>
      <c r="BA262" s="208"/>
      <c r="BB262" s="208"/>
      <c r="BC262" s="242"/>
    </row>
    <row r="263" spans="2:55" ht="12.75" customHeight="1">
      <c r="B263" s="260"/>
      <c r="C263" s="176"/>
      <c r="D263" s="176"/>
      <c r="E263" s="176"/>
      <c r="F263" s="176"/>
      <c r="G263" s="213"/>
      <c r="H263" s="256"/>
      <c r="I263" s="260"/>
      <c r="J263" s="176"/>
      <c r="K263" s="176"/>
      <c r="L263" s="176"/>
      <c r="M263" s="176"/>
      <c r="N263" s="176"/>
      <c r="O263" s="176"/>
      <c r="P263" s="176"/>
      <c r="Q263" s="176"/>
      <c r="R263" s="176"/>
      <c r="S263" s="176"/>
      <c r="T263" s="176"/>
      <c r="U263" s="176"/>
      <c r="V263" s="176"/>
      <c r="W263" s="176"/>
      <c r="X263" s="176"/>
      <c r="Y263" s="176"/>
      <c r="Z263" s="176"/>
      <c r="AA263" s="176"/>
      <c r="AB263" s="176"/>
      <c r="AC263" s="176"/>
      <c r="AD263" s="176"/>
      <c r="AE263" s="176"/>
      <c r="AF263" s="176"/>
      <c r="AG263" s="176"/>
      <c r="AH263" s="176"/>
      <c r="AI263" s="176"/>
      <c r="AJ263" s="176"/>
      <c r="AK263" s="176"/>
      <c r="AL263" s="176"/>
      <c r="AM263" s="176"/>
      <c r="AN263" s="176"/>
      <c r="AO263" s="176"/>
      <c r="AP263" s="180"/>
      <c r="AQ263" s="180"/>
      <c r="AR263" s="180"/>
      <c r="AS263" s="180"/>
      <c r="AT263" s="180"/>
      <c r="AU263" s="180"/>
      <c r="AV263" s="201"/>
      <c r="AW263" s="207"/>
      <c r="AX263" s="208"/>
      <c r="AY263" s="208"/>
      <c r="AZ263" s="208"/>
      <c r="BA263" s="208"/>
      <c r="BB263" s="208"/>
      <c r="BC263" s="242"/>
    </row>
    <row r="264" spans="2:55" ht="12.75" customHeight="1">
      <c r="B264" s="260"/>
      <c r="C264" s="176"/>
      <c r="D264" s="176"/>
      <c r="E264" s="176"/>
      <c r="F264" s="176"/>
      <c r="G264" s="213"/>
      <c r="H264" s="256"/>
      <c r="I264" s="260"/>
      <c r="J264" s="176"/>
      <c r="K264" s="176"/>
      <c r="L264" s="176"/>
      <c r="M264" s="176"/>
      <c r="N264" s="176"/>
      <c r="O264" s="176"/>
      <c r="P264" s="176"/>
      <c r="Q264" s="176"/>
      <c r="R264" s="176"/>
      <c r="S264" s="176"/>
      <c r="T264" s="176"/>
      <c r="U264" s="176"/>
      <c r="V264" s="176"/>
      <c r="W264" s="176"/>
      <c r="X264" s="176"/>
      <c r="Y264" s="176"/>
      <c r="Z264" s="176"/>
      <c r="AA264" s="176"/>
      <c r="AB264" s="176"/>
      <c r="AC264" s="176"/>
      <c r="AD264" s="176"/>
      <c r="AE264" s="176"/>
      <c r="AF264" s="176"/>
      <c r="AG264" s="176"/>
      <c r="AH264" s="176"/>
      <c r="AI264" s="176"/>
      <c r="AJ264" s="176"/>
      <c r="AK264" s="176"/>
      <c r="AL264" s="176"/>
      <c r="AM264" s="176"/>
      <c r="AN264" s="176"/>
      <c r="AO264" s="176"/>
      <c r="AP264" s="180"/>
      <c r="AQ264" s="180"/>
      <c r="AR264" s="180"/>
      <c r="AS264" s="180"/>
      <c r="AT264" s="180"/>
      <c r="AU264" s="180"/>
      <c r="AV264" s="201"/>
      <c r="AW264" s="207"/>
      <c r="AX264" s="208"/>
      <c r="AY264" s="208"/>
      <c r="AZ264" s="208"/>
      <c r="BA264" s="208"/>
      <c r="BB264" s="208"/>
      <c r="BC264" s="242"/>
    </row>
    <row r="265" spans="2:55" ht="12.75" customHeight="1">
      <c r="B265" s="260"/>
      <c r="C265" s="176"/>
      <c r="D265" s="176"/>
      <c r="E265" s="176"/>
      <c r="F265" s="176"/>
      <c r="G265" s="213"/>
      <c r="H265" s="256"/>
      <c r="I265" s="260"/>
      <c r="J265" s="176"/>
      <c r="K265" s="176"/>
      <c r="L265" s="176"/>
      <c r="M265" s="176"/>
      <c r="N265" s="176"/>
      <c r="O265" s="176"/>
      <c r="P265" s="176"/>
      <c r="Q265" s="176"/>
      <c r="R265" s="176"/>
      <c r="S265" s="176"/>
      <c r="T265" s="176"/>
      <c r="U265" s="176"/>
      <c r="V265" s="176"/>
      <c r="W265" s="176"/>
      <c r="X265" s="176"/>
      <c r="Y265" s="176"/>
      <c r="Z265" s="176"/>
      <c r="AA265" s="176"/>
      <c r="AB265" s="176"/>
      <c r="AC265" s="176"/>
      <c r="AD265" s="176"/>
      <c r="AE265" s="176"/>
      <c r="AF265" s="176"/>
      <c r="AG265" s="176"/>
      <c r="AH265" s="176"/>
      <c r="AI265" s="176"/>
      <c r="AJ265" s="176"/>
      <c r="AK265" s="176"/>
      <c r="AL265" s="176"/>
      <c r="AM265" s="176"/>
      <c r="AN265" s="176"/>
      <c r="AO265" s="176"/>
      <c r="AP265" s="180"/>
      <c r="AQ265" s="180"/>
      <c r="AR265" s="180"/>
      <c r="AS265" s="180"/>
      <c r="AT265" s="180"/>
      <c r="AU265" s="180"/>
      <c r="AV265" s="201"/>
      <c r="AW265" s="207"/>
      <c r="AX265" s="208"/>
      <c r="AY265" s="208"/>
      <c r="AZ265" s="208"/>
      <c r="BA265" s="208"/>
      <c r="BB265" s="208"/>
      <c r="BC265" s="242"/>
    </row>
    <row r="266" spans="2:55" ht="12.75" customHeight="1">
      <c r="B266" s="260"/>
      <c r="C266" s="176"/>
      <c r="D266" s="176"/>
      <c r="E266" s="176"/>
      <c r="F266" s="176"/>
      <c r="G266" s="213"/>
      <c r="H266" s="256"/>
      <c r="I266" s="260"/>
      <c r="J266" s="176"/>
      <c r="K266" s="176"/>
      <c r="L266" s="176"/>
      <c r="M266" s="176"/>
      <c r="N266" s="176"/>
      <c r="O266" s="176"/>
      <c r="P266" s="176"/>
      <c r="Q266" s="176"/>
      <c r="R266" s="176"/>
      <c r="S266" s="176"/>
      <c r="T266" s="176"/>
      <c r="U266" s="176"/>
      <c r="V266" s="176"/>
      <c r="W266" s="176"/>
      <c r="X266" s="176"/>
      <c r="Y266" s="176"/>
      <c r="Z266" s="176"/>
      <c r="AA266" s="176"/>
      <c r="AB266" s="176"/>
      <c r="AC266" s="176"/>
      <c r="AD266" s="176"/>
      <c r="AE266" s="176"/>
      <c r="AF266" s="176"/>
      <c r="AG266" s="176"/>
      <c r="AH266" s="176"/>
      <c r="AI266" s="176"/>
      <c r="AJ266" s="176"/>
      <c r="AK266" s="176"/>
      <c r="AL266" s="176"/>
      <c r="AM266" s="176"/>
      <c r="AN266" s="176"/>
      <c r="AO266" s="176"/>
      <c r="AP266" s="180"/>
      <c r="AQ266" s="180"/>
      <c r="AR266" s="180"/>
      <c r="AS266" s="180"/>
      <c r="AT266" s="180"/>
      <c r="AU266" s="180"/>
      <c r="AV266" s="201"/>
      <c r="AW266" s="207"/>
      <c r="AX266" s="208"/>
      <c r="AY266" s="208"/>
      <c r="AZ266" s="208"/>
      <c r="BA266" s="208"/>
      <c r="BB266" s="208"/>
      <c r="BC266" s="242"/>
    </row>
    <row r="267" spans="2:55" ht="12.75" customHeight="1">
      <c r="B267" s="158"/>
      <c r="C267" s="64"/>
      <c r="D267" s="64"/>
      <c r="E267" s="64"/>
      <c r="F267" s="64"/>
      <c r="G267" s="65"/>
      <c r="H267" s="8"/>
      <c r="I267" s="150"/>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41"/>
      <c r="AM267" s="141"/>
      <c r="AN267" s="141"/>
      <c r="AO267" s="163"/>
      <c r="AP267" s="164"/>
      <c r="AQ267" s="164"/>
      <c r="AR267" s="164"/>
      <c r="AS267" s="2"/>
      <c r="AT267" s="2"/>
      <c r="AU267" s="2"/>
      <c r="AV267" s="107"/>
      <c r="AW267" s="4"/>
      <c r="BC267" s="5"/>
    </row>
    <row r="268" spans="2:55" ht="12.75" customHeight="1">
      <c r="B268" s="158"/>
      <c r="C268" s="64"/>
      <c r="D268" s="64"/>
      <c r="E268" s="64"/>
      <c r="F268" s="64"/>
      <c r="G268" s="65"/>
      <c r="H268" s="8"/>
      <c r="I268" s="150"/>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41"/>
      <c r="AM268" s="141"/>
      <c r="AN268" s="141"/>
      <c r="AO268" s="163"/>
      <c r="AP268" s="164"/>
      <c r="AQ268" s="164"/>
      <c r="AR268" s="164"/>
      <c r="AS268" s="2"/>
      <c r="AT268" s="2"/>
      <c r="AU268" s="2"/>
      <c r="AV268" s="107"/>
      <c r="AW268" s="4"/>
      <c r="BC268" s="5"/>
    </row>
    <row r="269" spans="2:55" ht="12.75" customHeight="1">
      <c r="B269" s="158"/>
      <c r="C269" s="64"/>
      <c r="D269" s="64"/>
      <c r="E269" s="64"/>
      <c r="F269" s="64"/>
      <c r="G269" s="65"/>
      <c r="H269" s="8"/>
      <c r="I269" s="150"/>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41"/>
      <c r="AM269" s="141"/>
      <c r="AN269" s="141"/>
      <c r="AO269" s="163"/>
      <c r="AP269" s="164"/>
      <c r="AQ269" s="164"/>
      <c r="AR269" s="164"/>
      <c r="AS269" s="2"/>
      <c r="AT269" s="2"/>
      <c r="AU269" s="2"/>
      <c r="AV269" s="107"/>
      <c r="AW269" s="4"/>
      <c r="BC269" s="5"/>
    </row>
    <row r="270" spans="2:55" ht="12.75" customHeight="1">
      <c r="B270" s="158"/>
      <c r="C270" s="64"/>
      <c r="D270" s="64"/>
      <c r="E270" s="64"/>
      <c r="F270" s="64"/>
      <c r="G270" s="65"/>
      <c r="H270" s="8"/>
      <c r="I270" s="150"/>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41"/>
      <c r="AM270" s="141"/>
      <c r="AN270" s="141"/>
      <c r="AO270" s="163"/>
      <c r="AP270" s="164"/>
      <c r="AQ270" s="164"/>
      <c r="AR270" s="164"/>
      <c r="AS270" s="2"/>
      <c r="AT270" s="2"/>
      <c r="AU270" s="2"/>
      <c r="AV270" s="107"/>
      <c r="AW270" s="4"/>
      <c r="BC270" s="5"/>
    </row>
    <row r="271" spans="2:55" ht="12.75" customHeight="1">
      <c r="B271" s="158"/>
      <c r="C271" s="64"/>
      <c r="D271" s="64"/>
      <c r="E271" s="64"/>
      <c r="F271" s="64"/>
      <c r="G271" s="65"/>
      <c r="H271" s="8"/>
      <c r="I271" s="150"/>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41"/>
      <c r="AM271" s="141"/>
      <c r="AN271" s="141"/>
      <c r="AO271" s="163"/>
      <c r="AP271" s="164"/>
      <c r="AQ271" s="164"/>
      <c r="AR271" s="164"/>
      <c r="AS271" s="2"/>
      <c r="AT271" s="2"/>
      <c r="AU271" s="2"/>
      <c r="AV271" s="107"/>
      <c r="AW271" s="4"/>
      <c r="BC271" s="5"/>
    </row>
    <row r="272" spans="2:55" ht="12.75" customHeight="1">
      <c r="B272" s="158"/>
      <c r="C272" s="64"/>
      <c r="D272" s="64"/>
      <c r="E272" s="64"/>
      <c r="F272" s="64"/>
      <c r="G272" s="65"/>
      <c r="H272" s="8"/>
      <c r="I272" s="150"/>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41"/>
      <c r="AM272" s="141"/>
      <c r="AN272" s="141"/>
      <c r="AO272" s="163"/>
      <c r="AP272" s="164"/>
      <c r="AQ272" s="164"/>
      <c r="AR272" s="164"/>
      <c r="AS272" s="2"/>
      <c r="AT272" s="2"/>
      <c r="AU272" s="2"/>
      <c r="AV272" s="107"/>
      <c r="AW272" s="4"/>
      <c r="BC272" s="5"/>
    </row>
    <row r="273" spans="2:55" ht="12.75" customHeight="1">
      <c r="B273" s="159"/>
      <c r="C273" s="160"/>
      <c r="D273" s="160"/>
      <c r="E273" s="160"/>
      <c r="F273" s="160"/>
      <c r="G273" s="161"/>
      <c r="H273" s="11"/>
      <c r="I273" s="151"/>
      <c r="J273" s="80"/>
      <c r="K273" s="80"/>
      <c r="L273" s="80"/>
      <c r="M273" s="80"/>
      <c r="N273" s="80"/>
      <c r="O273" s="80"/>
      <c r="P273" s="80"/>
      <c r="Q273" s="80"/>
      <c r="R273" s="80"/>
      <c r="S273" s="80"/>
      <c r="T273" s="80"/>
      <c r="U273" s="80"/>
      <c r="V273" s="80"/>
      <c r="W273" s="80"/>
      <c r="X273" s="80"/>
      <c r="Y273" s="80"/>
      <c r="Z273" s="80"/>
      <c r="AA273" s="80"/>
      <c r="AB273" s="80"/>
      <c r="AC273" s="80"/>
      <c r="AD273" s="80"/>
      <c r="AE273" s="80"/>
      <c r="AF273" s="80"/>
      <c r="AG273" s="80"/>
      <c r="AH273" s="80"/>
      <c r="AI273" s="80"/>
      <c r="AJ273" s="80"/>
      <c r="AK273" s="80"/>
      <c r="AL273" s="80"/>
      <c r="AM273" s="80"/>
      <c r="AN273" s="80"/>
      <c r="AO273" s="165"/>
      <c r="AP273" s="166"/>
      <c r="AQ273" s="166"/>
      <c r="AR273" s="166"/>
      <c r="AS273" s="12"/>
      <c r="AT273" s="12"/>
      <c r="AU273" s="12"/>
      <c r="AV273" s="139"/>
      <c r="AW273" s="16"/>
      <c r="AX273" s="17"/>
      <c r="AY273" s="17"/>
      <c r="AZ273" s="17"/>
      <c r="BA273" s="17"/>
      <c r="BB273" s="17"/>
      <c r="BC273" s="18"/>
    </row>
    <row r="274" spans="2:55" ht="12.75" customHeight="1">
      <c r="B274" s="101"/>
      <c r="C274" s="102"/>
      <c r="D274" s="102"/>
      <c r="E274" s="102"/>
      <c r="F274" s="102"/>
      <c r="G274" s="102"/>
      <c r="H274" s="102"/>
      <c r="I274" s="104"/>
      <c r="J274" s="104"/>
      <c r="K274" s="322"/>
      <c r="L274" s="322"/>
      <c r="M274" s="322"/>
      <c r="N274" s="322"/>
      <c r="O274" s="322"/>
      <c r="P274" s="322"/>
      <c r="Q274" s="322"/>
      <c r="R274" s="322"/>
      <c r="S274" s="322"/>
      <c r="T274" s="322"/>
      <c r="U274" s="323"/>
      <c r="V274" s="481" t="s">
        <v>0</v>
      </c>
      <c r="W274" s="482"/>
      <c r="X274" s="482"/>
      <c r="Y274" s="482"/>
      <c r="Z274" s="482"/>
      <c r="AA274" s="482"/>
      <c r="AB274" s="482"/>
      <c r="AC274" s="482"/>
      <c r="AD274" s="482"/>
      <c r="AE274" s="482"/>
      <c r="AF274" s="482"/>
      <c r="AG274" s="482"/>
      <c r="AH274" s="482"/>
      <c r="AI274" s="482"/>
      <c r="AJ274" s="483"/>
      <c r="AK274" s="397" t="s">
        <v>1</v>
      </c>
      <c r="AL274" s="398"/>
      <c r="AM274" s="398"/>
      <c r="AN274" s="398"/>
      <c r="AO274" s="398"/>
      <c r="AP274" s="381" t="str">
        <f>$AP$2</f>
        <v>BB----</v>
      </c>
      <c r="AQ274" s="381"/>
      <c r="AR274" s="381"/>
      <c r="AS274" s="381"/>
      <c r="AT274" s="381"/>
      <c r="AU274" s="381"/>
      <c r="AV274" s="381"/>
      <c r="AW274" s="379"/>
      <c r="AX274" s="379"/>
      <c r="AY274" s="379"/>
      <c r="AZ274" s="379"/>
      <c r="BA274" s="379"/>
      <c r="BB274" s="379"/>
      <c r="BC274" s="380"/>
    </row>
    <row r="275" spans="2:55" ht="12.75" customHeight="1">
      <c r="B275" s="103"/>
      <c r="C275" s="104"/>
      <c r="D275" s="104"/>
      <c r="E275" s="104"/>
      <c r="F275" s="104"/>
      <c r="G275" s="104"/>
      <c r="H275" s="104"/>
      <c r="I275" s="104"/>
      <c r="J275" s="104"/>
      <c r="K275" s="322"/>
      <c r="L275" s="322"/>
      <c r="M275" s="322"/>
      <c r="N275" s="322"/>
      <c r="O275" s="322"/>
      <c r="P275" s="322"/>
      <c r="Q275" s="322"/>
      <c r="R275" s="322"/>
      <c r="S275" s="322"/>
      <c r="T275" s="322"/>
      <c r="U275" s="323"/>
      <c r="V275" s="481"/>
      <c r="W275" s="482"/>
      <c r="X275" s="482"/>
      <c r="Y275" s="482"/>
      <c r="Z275" s="482"/>
      <c r="AA275" s="482"/>
      <c r="AB275" s="482"/>
      <c r="AC275" s="482"/>
      <c r="AD275" s="482"/>
      <c r="AE275" s="482"/>
      <c r="AF275" s="482"/>
      <c r="AG275" s="482"/>
      <c r="AH275" s="482"/>
      <c r="AI275" s="482"/>
      <c r="AJ275" s="483"/>
      <c r="AK275" s="397"/>
      <c r="AL275" s="398"/>
      <c r="AM275" s="398"/>
      <c r="AN275" s="398"/>
      <c r="AO275" s="398"/>
      <c r="AP275" s="381"/>
      <c r="AQ275" s="381"/>
      <c r="AR275" s="381"/>
      <c r="AS275" s="381"/>
      <c r="AT275" s="381"/>
      <c r="AU275" s="381"/>
      <c r="AV275" s="381"/>
      <c r="AW275" s="381"/>
      <c r="AX275" s="381"/>
      <c r="AY275" s="381"/>
      <c r="AZ275" s="381"/>
      <c r="BA275" s="381"/>
      <c r="BB275" s="381"/>
      <c r="BC275" s="382"/>
    </row>
    <row r="276" spans="2:55" ht="12.75" customHeight="1">
      <c r="B276" s="103"/>
      <c r="C276" s="104"/>
      <c r="D276" s="104"/>
      <c r="E276" s="104"/>
      <c r="F276" s="104"/>
      <c r="G276" s="104"/>
      <c r="H276" s="104"/>
      <c r="I276" s="104"/>
      <c r="J276" s="104"/>
      <c r="K276" s="322"/>
      <c r="L276" s="322"/>
      <c r="M276" s="322"/>
      <c r="N276" s="322"/>
      <c r="O276" s="322"/>
      <c r="P276" s="322"/>
      <c r="Q276" s="322"/>
      <c r="R276" s="322"/>
      <c r="S276" s="322"/>
      <c r="T276" s="322"/>
      <c r="U276" s="323"/>
      <c r="V276" s="481"/>
      <c r="W276" s="482"/>
      <c r="X276" s="482"/>
      <c r="Y276" s="482"/>
      <c r="Z276" s="482"/>
      <c r="AA276" s="482"/>
      <c r="AB276" s="482"/>
      <c r="AC276" s="482"/>
      <c r="AD276" s="482"/>
      <c r="AE276" s="482"/>
      <c r="AF276" s="482"/>
      <c r="AG276" s="482"/>
      <c r="AH276" s="482"/>
      <c r="AI276" s="482"/>
      <c r="AJ276" s="483"/>
      <c r="AK276" s="358" t="s">
        <v>2</v>
      </c>
      <c r="AL276" s="359"/>
      <c r="AM276" s="359"/>
      <c r="AN276" s="359"/>
      <c r="AO276" s="359"/>
      <c r="AP276" s="381" t="str">
        <f>$AP$4</f>
        <v>TITLE</v>
      </c>
      <c r="AQ276" s="381"/>
      <c r="AR276" s="381"/>
      <c r="AS276" s="381"/>
      <c r="AT276" s="381"/>
      <c r="AU276" s="381"/>
      <c r="AV276" s="381"/>
      <c r="AW276" s="381"/>
      <c r="AX276" s="381"/>
      <c r="AY276" s="381"/>
      <c r="AZ276" s="381"/>
      <c r="BA276" s="381"/>
      <c r="BB276" s="381"/>
      <c r="BC276" s="382"/>
    </row>
    <row r="277" spans="2:55" ht="12.75" customHeight="1">
      <c r="B277" s="103"/>
      <c r="C277" s="104"/>
      <c r="D277" s="104"/>
      <c r="E277" s="104"/>
      <c r="F277" s="104"/>
      <c r="G277" s="104"/>
      <c r="H277" s="104"/>
      <c r="I277" s="104"/>
      <c r="J277" s="104"/>
      <c r="K277" s="322"/>
      <c r="L277" s="322"/>
      <c r="M277" s="322"/>
      <c r="N277" s="322"/>
      <c r="O277" s="322"/>
      <c r="P277" s="322"/>
      <c r="Q277" s="322"/>
      <c r="R277" s="322"/>
      <c r="S277" s="322"/>
      <c r="T277" s="322"/>
      <c r="U277" s="323"/>
      <c r="V277" s="481"/>
      <c r="W277" s="482"/>
      <c r="X277" s="482"/>
      <c r="Y277" s="482"/>
      <c r="Z277" s="482"/>
      <c r="AA277" s="482"/>
      <c r="AB277" s="482"/>
      <c r="AC277" s="482"/>
      <c r="AD277" s="482"/>
      <c r="AE277" s="482"/>
      <c r="AF277" s="482"/>
      <c r="AG277" s="482"/>
      <c r="AH277" s="482"/>
      <c r="AI277" s="482"/>
      <c r="AJ277" s="483"/>
      <c r="AK277" s="358"/>
      <c r="AL277" s="359"/>
      <c r="AM277" s="359"/>
      <c r="AN277" s="359"/>
      <c r="AO277" s="359"/>
      <c r="AP277" s="381"/>
      <c r="AQ277" s="381"/>
      <c r="AR277" s="381"/>
      <c r="AS277" s="381"/>
      <c r="AT277" s="381"/>
      <c r="AU277" s="381"/>
      <c r="AV277" s="381"/>
      <c r="AW277" s="381"/>
      <c r="AX277" s="381"/>
      <c r="AY277" s="381"/>
      <c r="AZ277" s="381"/>
      <c r="BA277" s="381"/>
      <c r="BB277" s="381"/>
      <c r="BC277" s="382"/>
    </row>
    <row r="278" spans="2:55" ht="12.75" customHeight="1">
      <c r="B278" s="103"/>
      <c r="C278" s="104"/>
      <c r="D278" s="104"/>
      <c r="E278" s="104"/>
      <c r="F278" s="104"/>
      <c r="G278" s="104"/>
      <c r="H278" s="104"/>
      <c r="I278" s="104"/>
      <c r="J278" s="104"/>
      <c r="K278" s="322"/>
      <c r="L278" s="322"/>
      <c r="M278" s="322"/>
      <c r="N278" s="322"/>
      <c r="O278" s="322"/>
      <c r="P278" s="322"/>
      <c r="Q278" s="322"/>
      <c r="R278" s="322"/>
      <c r="S278" s="322"/>
      <c r="T278" s="322"/>
      <c r="U278" s="323"/>
      <c r="V278" s="481"/>
      <c r="W278" s="482"/>
      <c r="X278" s="482"/>
      <c r="Y278" s="482"/>
      <c r="Z278" s="482"/>
      <c r="AA278" s="482"/>
      <c r="AB278" s="482"/>
      <c r="AC278" s="482"/>
      <c r="AD278" s="482"/>
      <c r="AE278" s="482"/>
      <c r="AF278" s="482"/>
      <c r="AG278" s="482"/>
      <c r="AH278" s="482"/>
      <c r="AI278" s="482"/>
      <c r="AJ278" s="483"/>
      <c r="AK278" s="401" t="s">
        <v>3</v>
      </c>
      <c r="AL278" s="401"/>
      <c r="AM278" s="401"/>
      <c r="AN278" s="401"/>
      <c r="AO278" s="401"/>
      <c r="AP278" s="381">
        <f>AP210+1</f>
        <v>5</v>
      </c>
      <c r="AQ278" s="381"/>
      <c r="AR278" s="381"/>
      <c r="AS278" s="381"/>
      <c r="AT278" s="381"/>
      <c r="AU278" s="381"/>
      <c r="AV278" s="381"/>
      <c r="AW278" s="381"/>
      <c r="AX278" s="381"/>
      <c r="AY278" s="381"/>
      <c r="AZ278" s="381"/>
      <c r="BA278" s="381"/>
      <c r="BB278" s="381"/>
      <c r="BC278" s="382"/>
    </row>
    <row r="279" spans="2:55" ht="12.75" customHeight="1">
      <c r="B279" s="103"/>
      <c r="C279" s="104"/>
      <c r="D279" s="104"/>
      <c r="E279" s="104"/>
      <c r="F279" s="104"/>
      <c r="G279" s="104"/>
      <c r="H279" s="104"/>
      <c r="I279" s="104"/>
      <c r="J279" s="104"/>
      <c r="K279" s="322"/>
      <c r="L279" s="322"/>
      <c r="M279" s="322"/>
      <c r="N279" s="322"/>
      <c r="O279" s="322"/>
      <c r="P279" s="322"/>
      <c r="Q279" s="322"/>
      <c r="R279" s="322"/>
      <c r="S279" s="322"/>
      <c r="T279" s="322"/>
      <c r="U279" s="323"/>
      <c r="V279" s="481"/>
      <c r="W279" s="482"/>
      <c r="X279" s="482"/>
      <c r="Y279" s="482"/>
      <c r="Z279" s="482"/>
      <c r="AA279" s="482"/>
      <c r="AB279" s="482"/>
      <c r="AC279" s="482"/>
      <c r="AD279" s="482"/>
      <c r="AE279" s="482"/>
      <c r="AF279" s="482"/>
      <c r="AG279" s="482"/>
      <c r="AH279" s="482"/>
      <c r="AI279" s="482"/>
      <c r="AJ279" s="483"/>
      <c r="AK279" s="401" t="s">
        <v>4</v>
      </c>
      <c r="AL279" s="401"/>
      <c r="AM279" s="401"/>
      <c r="AN279" s="401"/>
      <c r="AO279" s="401"/>
      <c r="AP279" s="383">
        <f ca="1">$AP$7</f>
        <v>45928</v>
      </c>
      <c r="AQ279" s="383"/>
      <c r="AR279" s="383"/>
      <c r="AS279" s="383"/>
      <c r="AT279" s="383"/>
      <c r="AU279" s="383"/>
      <c r="AV279" s="383"/>
      <c r="AW279" s="383"/>
      <c r="AX279" s="383"/>
      <c r="AY279" s="383"/>
      <c r="AZ279" s="383"/>
      <c r="BA279" s="383"/>
      <c r="BB279" s="383"/>
      <c r="BC279" s="384"/>
    </row>
    <row r="280" spans="2:55" ht="12.75" customHeight="1">
      <c r="B280" s="103"/>
      <c r="C280" s="104"/>
      <c r="D280" s="104"/>
      <c r="E280" s="104"/>
      <c r="F280" s="104"/>
      <c r="G280" s="104"/>
      <c r="H280" s="104"/>
      <c r="I280" s="104"/>
      <c r="J280" s="104"/>
      <c r="K280" s="322"/>
      <c r="L280" s="322"/>
      <c r="M280" s="322"/>
      <c r="N280" s="322"/>
      <c r="O280" s="322"/>
      <c r="P280" s="322"/>
      <c r="Q280" s="322"/>
      <c r="R280" s="322"/>
      <c r="S280" s="322"/>
      <c r="T280" s="322"/>
      <c r="U280" s="323"/>
      <c r="V280" s="481"/>
      <c r="W280" s="482"/>
      <c r="X280" s="482"/>
      <c r="Y280" s="482"/>
      <c r="Z280" s="482"/>
      <c r="AA280" s="482"/>
      <c r="AB280" s="482"/>
      <c r="AC280" s="482"/>
      <c r="AD280" s="482"/>
      <c r="AE280" s="482"/>
      <c r="AF280" s="482"/>
      <c r="AG280" s="482"/>
      <c r="AH280" s="482"/>
      <c r="AI280" s="482"/>
      <c r="AJ280" s="483"/>
      <c r="AK280" s="401" t="s">
        <v>5</v>
      </c>
      <c r="AL280" s="401"/>
      <c r="AM280" s="401"/>
      <c r="AN280" s="401"/>
      <c r="AO280" s="401"/>
      <c r="AP280" s="381" t="str">
        <f>$AP$8</f>
        <v>AB</v>
      </c>
      <c r="AQ280" s="381"/>
      <c r="AR280" s="381"/>
      <c r="AS280" s="381"/>
      <c r="AT280" s="381"/>
      <c r="AU280" s="381"/>
      <c r="AV280" s="381"/>
      <c r="AW280" s="381"/>
      <c r="AX280" s="381"/>
      <c r="AY280" s="381"/>
      <c r="AZ280" s="381"/>
      <c r="BA280" s="381"/>
      <c r="BB280" s="381"/>
      <c r="BC280" s="382"/>
    </row>
    <row r="281" spans="2:55" ht="12.75" customHeight="1">
      <c r="B281" s="105"/>
      <c r="C281" s="106"/>
      <c r="D281" s="106"/>
      <c r="E281" s="106"/>
      <c r="F281" s="106"/>
      <c r="G281" s="106"/>
      <c r="H281" s="106"/>
      <c r="I281" s="106"/>
      <c r="J281" s="106"/>
      <c r="K281" s="324"/>
      <c r="L281" s="324"/>
      <c r="M281" s="324"/>
      <c r="N281" s="324"/>
      <c r="O281" s="324"/>
      <c r="P281" s="324"/>
      <c r="Q281" s="324"/>
      <c r="R281" s="324"/>
      <c r="S281" s="324"/>
      <c r="T281" s="324"/>
      <c r="U281" s="325"/>
      <c r="V281" s="484"/>
      <c r="W281" s="485"/>
      <c r="X281" s="485"/>
      <c r="Y281" s="485"/>
      <c r="Z281" s="485"/>
      <c r="AA281" s="485"/>
      <c r="AB281" s="485"/>
      <c r="AC281" s="485"/>
      <c r="AD281" s="485"/>
      <c r="AE281" s="485"/>
      <c r="AF281" s="485"/>
      <c r="AG281" s="485"/>
      <c r="AH281" s="485"/>
      <c r="AI281" s="485"/>
      <c r="AJ281" s="486"/>
      <c r="AK281" s="460" t="s">
        <v>6</v>
      </c>
      <c r="AL281" s="460"/>
      <c r="AM281" s="460"/>
      <c r="AN281" s="460"/>
      <c r="AO281" s="460"/>
      <c r="AP281" s="386" t="str">
        <f>$AP$9</f>
        <v xml:space="preserve">CAT I / II </v>
      </c>
      <c r="AQ281" s="386"/>
      <c r="AR281" s="386"/>
      <c r="AS281" s="386"/>
      <c r="AT281" s="386"/>
      <c r="AU281" s="386"/>
      <c r="AV281" s="386"/>
      <c r="AW281" s="386"/>
      <c r="AX281" s="386"/>
      <c r="AY281" s="386"/>
      <c r="AZ281" s="386"/>
      <c r="BA281" s="386"/>
      <c r="BB281" s="386"/>
      <c r="BC281" s="387"/>
    </row>
    <row r="282" spans="2:55" ht="12.75" customHeight="1">
      <c r="B282" s="360" t="s">
        <v>7</v>
      </c>
      <c r="C282" s="361"/>
      <c r="D282" s="361"/>
      <c r="E282" s="361"/>
      <c r="F282" s="361"/>
      <c r="G282" s="361"/>
      <c r="H282" s="361"/>
      <c r="I282" s="361"/>
      <c r="J282" s="361"/>
      <c r="K282" s="361"/>
      <c r="L282" s="361"/>
      <c r="M282" s="361"/>
      <c r="N282" s="361"/>
      <c r="O282" s="361"/>
      <c r="P282" s="361"/>
      <c r="Q282" s="361"/>
      <c r="R282" s="361"/>
      <c r="S282" s="361"/>
      <c r="T282" s="361"/>
      <c r="U282" s="361"/>
      <c r="V282" s="361"/>
      <c r="W282" s="361"/>
      <c r="X282" s="361"/>
      <c r="Y282" s="361"/>
      <c r="Z282" s="361"/>
      <c r="AA282" s="361"/>
      <c r="AB282" s="361"/>
      <c r="AC282" s="361"/>
      <c r="AD282" s="361"/>
      <c r="AE282" s="361"/>
      <c r="AF282" s="361"/>
      <c r="AG282" s="361"/>
      <c r="AH282" s="361"/>
      <c r="AI282" s="361"/>
      <c r="AJ282" s="361"/>
      <c r="AK282" s="361"/>
      <c r="AL282" s="361"/>
      <c r="AM282" s="361"/>
      <c r="AN282" s="361"/>
      <c r="AO282" s="361"/>
      <c r="AP282" s="361"/>
      <c r="AQ282" s="361"/>
      <c r="AR282" s="361"/>
      <c r="AS282" s="361"/>
      <c r="AT282" s="361"/>
      <c r="AU282" s="361"/>
      <c r="AV282" s="361"/>
      <c r="AW282" s="361"/>
      <c r="AX282" s="361"/>
      <c r="AY282" s="361"/>
      <c r="AZ282" s="361"/>
      <c r="BA282" s="361"/>
      <c r="BB282" s="361"/>
      <c r="BC282" s="362"/>
    </row>
    <row r="283" spans="2:55" ht="12.75" customHeight="1">
      <c r="B283" s="363"/>
      <c r="C283" s="364"/>
      <c r="D283" s="364"/>
      <c r="E283" s="364"/>
      <c r="F283" s="364"/>
      <c r="G283" s="364"/>
      <c r="H283" s="364"/>
      <c r="I283" s="364"/>
      <c r="J283" s="364"/>
      <c r="K283" s="364"/>
      <c r="L283" s="364"/>
      <c r="M283" s="364"/>
      <c r="N283" s="364"/>
      <c r="O283" s="364"/>
      <c r="P283" s="364"/>
      <c r="Q283" s="364"/>
      <c r="R283" s="364"/>
      <c r="S283" s="364"/>
      <c r="T283" s="364"/>
      <c r="U283" s="364"/>
      <c r="V283" s="364"/>
      <c r="W283" s="364"/>
      <c r="X283" s="364"/>
      <c r="Y283" s="364"/>
      <c r="Z283" s="364"/>
      <c r="AA283" s="364"/>
      <c r="AB283" s="364"/>
      <c r="AC283" s="364"/>
      <c r="AD283" s="364"/>
      <c r="AE283" s="364"/>
      <c r="AF283" s="364"/>
      <c r="AG283" s="364"/>
      <c r="AH283" s="364"/>
      <c r="AI283" s="364"/>
      <c r="AJ283" s="364"/>
      <c r="AK283" s="364"/>
      <c r="AL283" s="364"/>
      <c r="AM283" s="364"/>
      <c r="AN283" s="364"/>
      <c r="AO283" s="364"/>
      <c r="AP283" s="364"/>
      <c r="AQ283" s="364"/>
      <c r="AR283" s="364"/>
      <c r="AS283" s="364"/>
      <c r="AT283" s="364"/>
      <c r="AU283" s="364"/>
      <c r="AV283" s="364"/>
      <c r="AW283" s="364"/>
      <c r="AX283" s="364"/>
      <c r="AY283" s="364"/>
      <c r="AZ283" s="364"/>
      <c r="BA283" s="364"/>
      <c r="BB283" s="364"/>
      <c r="BC283" s="365"/>
    </row>
    <row r="284" spans="2:55" ht="12.75" customHeight="1">
      <c r="B284" s="376"/>
      <c r="C284" s="377"/>
      <c r="D284" s="377"/>
      <c r="E284" s="377"/>
      <c r="F284" s="377"/>
      <c r="G284" s="377"/>
      <c r="H284" s="377"/>
      <c r="I284" s="377"/>
      <c r="J284" s="377"/>
      <c r="K284" s="377"/>
      <c r="L284" s="377"/>
      <c r="M284" s="377"/>
      <c r="N284" s="377"/>
      <c r="O284" s="377"/>
      <c r="P284" s="377"/>
      <c r="Q284" s="377"/>
      <c r="R284" s="377"/>
      <c r="S284" s="377"/>
      <c r="T284" s="377"/>
      <c r="U284" s="377"/>
      <c r="V284" s="377"/>
      <c r="W284" s="377"/>
      <c r="X284" s="377"/>
      <c r="Y284" s="377"/>
      <c r="Z284" s="377"/>
      <c r="AA284" s="377"/>
      <c r="AB284" s="377"/>
      <c r="AC284" s="377"/>
      <c r="AD284" s="377"/>
      <c r="AE284" s="377"/>
      <c r="AF284" s="377"/>
      <c r="AG284" s="377"/>
      <c r="AH284" s="377"/>
      <c r="AI284" s="377"/>
      <c r="AJ284" s="377"/>
      <c r="AK284" s="377"/>
      <c r="AL284" s="377"/>
      <c r="AM284" s="377"/>
      <c r="AN284" s="377"/>
      <c r="AO284" s="377"/>
      <c r="AP284" s="377"/>
      <c r="AQ284" s="377"/>
      <c r="AR284" s="377"/>
      <c r="AS284" s="377"/>
      <c r="AT284" s="377"/>
      <c r="AU284" s="377"/>
      <c r="AV284" s="377"/>
      <c r="AW284" s="377"/>
      <c r="AX284" s="377"/>
      <c r="AY284" s="377"/>
      <c r="AZ284" s="377"/>
      <c r="BA284" s="377"/>
      <c r="BB284" s="377"/>
      <c r="BC284" s="378"/>
    </row>
    <row r="285" spans="2:55" ht="12.75" customHeight="1">
      <c r="B285" s="461" t="s">
        <v>8</v>
      </c>
      <c r="C285" s="462"/>
      <c r="D285" s="462"/>
      <c r="E285" s="462"/>
      <c r="F285" s="462"/>
      <c r="G285" s="462"/>
      <c r="H285" s="463"/>
      <c r="I285" s="304"/>
      <c r="J285" s="308"/>
      <c r="K285" s="308"/>
      <c r="L285" s="308"/>
      <c r="M285" s="308"/>
      <c r="N285" s="308"/>
      <c r="O285" s="308"/>
      <c r="P285" s="308"/>
      <c r="Q285" s="308"/>
      <c r="R285" s="308"/>
      <c r="S285" s="308"/>
      <c r="T285" s="308"/>
      <c r="U285" s="308"/>
      <c r="V285" s="308"/>
      <c r="W285" s="308"/>
      <c r="X285" s="308"/>
      <c r="Y285" s="308"/>
      <c r="Z285" s="308"/>
      <c r="AA285" s="308"/>
      <c r="AB285" s="308"/>
      <c r="AC285" s="308"/>
      <c r="AD285" s="308"/>
      <c r="AE285" s="308"/>
      <c r="AF285" s="308"/>
      <c r="AG285" s="308"/>
      <c r="AH285" s="308"/>
      <c r="AI285" s="308"/>
      <c r="AJ285" s="308"/>
      <c r="AK285" s="308"/>
      <c r="AL285" s="308"/>
      <c r="AM285" s="308"/>
      <c r="AN285" s="308"/>
      <c r="AO285" s="197"/>
      <c r="AP285" s="197"/>
      <c r="AQ285" s="197"/>
      <c r="AR285" s="197"/>
      <c r="AS285" s="197"/>
      <c r="AT285" s="197"/>
      <c r="AU285" s="197"/>
      <c r="AV285" s="198"/>
      <c r="AW285" s="403" t="s">
        <v>9</v>
      </c>
      <c r="AX285" s="404"/>
      <c r="AY285" s="404"/>
      <c r="AZ285" s="404"/>
      <c r="BA285" s="404"/>
      <c r="BB285" s="404"/>
      <c r="BC285" s="405"/>
    </row>
    <row r="286" spans="2:55" ht="12.75" customHeight="1">
      <c r="B286" s="309"/>
      <c r="C286" s="310"/>
      <c r="D286" s="310"/>
      <c r="E286" s="310"/>
      <c r="F286" s="310"/>
      <c r="G286" s="310"/>
      <c r="H286" s="311"/>
      <c r="I286" s="312"/>
      <c r="J286" s="245"/>
      <c r="K286" s="245"/>
      <c r="L286" s="245"/>
      <c r="M286" s="245"/>
      <c r="N286" s="245"/>
      <c r="O286" s="245"/>
      <c r="P286" s="245"/>
      <c r="Q286" s="245"/>
      <c r="R286" s="245"/>
      <c r="S286" s="245"/>
      <c r="T286" s="245"/>
      <c r="U286" s="245"/>
      <c r="V286" s="245"/>
      <c r="W286" s="245"/>
      <c r="X286" s="245"/>
      <c r="Y286" s="245"/>
      <c r="Z286" s="245"/>
      <c r="AA286" s="245"/>
      <c r="AB286" s="245"/>
      <c r="AC286" s="245"/>
      <c r="AD286" s="245"/>
      <c r="AE286" s="245"/>
      <c r="AF286" s="245"/>
      <c r="AG286" s="245"/>
      <c r="AH286" s="245"/>
      <c r="AI286" s="245"/>
      <c r="AJ286" s="245"/>
      <c r="AK286" s="245"/>
      <c r="AL286" s="245"/>
      <c r="AM286" s="245"/>
      <c r="AN286" s="245"/>
      <c r="AO286" s="180"/>
      <c r="AP286" s="180"/>
      <c r="AQ286" s="180"/>
      <c r="AR286" s="180"/>
      <c r="AS286" s="180"/>
      <c r="AT286" s="180"/>
      <c r="AU286" s="180"/>
      <c r="AV286" s="201"/>
      <c r="AW286" s="192"/>
      <c r="AX286" s="197"/>
      <c r="AY286" s="197"/>
      <c r="AZ286" s="197"/>
      <c r="BA286" s="197"/>
      <c r="BB286" s="197"/>
      <c r="BC286" s="198"/>
    </row>
    <row r="287" spans="2:55" ht="12.75" customHeight="1">
      <c r="B287" s="260"/>
      <c r="C287" s="176"/>
      <c r="D287" s="176"/>
      <c r="E287" s="176"/>
      <c r="F287" s="176"/>
      <c r="G287" s="213"/>
      <c r="H287" s="256"/>
      <c r="I287" s="237"/>
      <c r="J287" s="184" t="s">
        <v>180</v>
      </c>
      <c r="K287" s="180"/>
      <c r="L287" s="180"/>
      <c r="M287" s="180"/>
      <c r="N287" s="180"/>
      <c r="O287" s="180"/>
      <c r="P287" s="180"/>
      <c r="Q287" s="214"/>
      <c r="R287" s="180"/>
      <c r="S287" s="180"/>
      <c r="T287" s="215"/>
      <c r="U287" s="180"/>
      <c r="V287" s="180"/>
      <c r="W287" s="180"/>
      <c r="X287" s="180"/>
      <c r="Y287" s="214"/>
      <c r="Z287" s="214"/>
      <c r="AA287" s="214"/>
      <c r="AB287" s="214"/>
      <c r="AC287" s="214"/>
      <c r="AD287" s="214"/>
      <c r="AE287" s="214"/>
      <c r="AF287" s="214"/>
      <c r="AG287" s="180"/>
      <c r="AH287" s="180"/>
      <c r="AI287" s="180"/>
      <c r="AJ287" s="180"/>
      <c r="AK287" s="180"/>
      <c r="AL287" s="180"/>
      <c r="AM287" s="245"/>
      <c r="AN287" s="245"/>
      <c r="AO287" s="180"/>
      <c r="AP287" s="180"/>
      <c r="AQ287" s="180"/>
      <c r="AR287" s="180"/>
      <c r="AS287" s="180"/>
      <c r="AT287" s="180"/>
      <c r="AU287" s="180"/>
      <c r="AV287" s="201"/>
      <c r="AW287" s="207"/>
      <c r="AX287" s="208"/>
      <c r="AY287" s="208"/>
      <c r="AZ287" s="208"/>
      <c r="BA287" s="208"/>
      <c r="BB287" s="208"/>
      <c r="BC287" s="242"/>
    </row>
    <row r="288" spans="2:55" ht="12.75" customHeight="1">
      <c r="B288" s="260"/>
      <c r="C288" s="176"/>
      <c r="D288" s="176"/>
      <c r="E288" s="176"/>
      <c r="F288" s="176"/>
      <c r="G288" s="213"/>
      <c r="H288" s="256"/>
      <c r="I288" s="237"/>
      <c r="J288" s="180"/>
      <c r="K288" s="180"/>
      <c r="L288" s="180"/>
      <c r="M288" s="180"/>
      <c r="N288" s="180"/>
      <c r="O288" s="180"/>
      <c r="P288" s="180"/>
      <c r="Q288" s="214"/>
      <c r="R288" s="180"/>
      <c r="S288" s="180"/>
      <c r="T288" s="215"/>
      <c r="U288" s="180"/>
      <c r="V288" s="180"/>
      <c r="W288" s="180"/>
      <c r="X288" s="180"/>
      <c r="Y288" s="214"/>
      <c r="Z288" s="214"/>
      <c r="AA288" s="214"/>
      <c r="AB288" s="214"/>
      <c r="AC288" s="214"/>
      <c r="AD288" s="214"/>
      <c r="AE288" s="214"/>
      <c r="AF288" s="214"/>
      <c r="AG288" s="180"/>
      <c r="AH288" s="180"/>
      <c r="AI288" s="180"/>
      <c r="AJ288" s="180"/>
      <c r="AK288" s="180"/>
      <c r="AL288" s="180"/>
      <c r="AM288" s="245"/>
      <c r="AN288" s="245"/>
      <c r="AR288" s="180"/>
      <c r="AS288" s="180"/>
      <c r="AT288" s="180"/>
      <c r="AU288" s="180"/>
      <c r="AV288" s="201"/>
      <c r="AW288" s="207"/>
      <c r="AX288" s="208"/>
      <c r="AY288" s="208"/>
      <c r="AZ288" s="208"/>
      <c r="BA288" s="208"/>
      <c r="BB288" s="208"/>
      <c r="BC288" s="242"/>
    </row>
    <row r="289" spans="2:86" ht="12.75" customHeight="1">
      <c r="B289" s="260"/>
      <c r="C289" s="176"/>
      <c r="D289" s="176"/>
      <c r="E289" s="176"/>
      <c r="F289" s="176"/>
      <c r="G289" s="213"/>
      <c r="H289" s="256"/>
      <c r="I289" s="237"/>
      <c r="J289" s="189" t="s">
        <v>149</v>
      </c>
      <c r="K289" s="208"/>
      <c r="L289" s="208"/>
      <c r="M289" s="208"/>
      <c r="N289" s="208"/>
      <c r="O289" s="208"/>
      <c r="P289" s="208"/>
      <c r="Q289" s="208"/>
      <c r="R289" s="208"/>
      <c r="S289" s="208"/>
      <c r="T289" s="208"/>
      <c r="U289" s="208"/>
      <c r="V289" s="208"/>
      <c r="W289" s="208"/>
      <c r="X289" s="208"/>
      <c r="Y289" s="208"/>
      <c r="Z289" s="208"/>
      <c r="AA289" s="208"/>
      <c r="AB289" s="208"/>
      <c r="AC289" s="208"/>
      <c r="AD289" s="208"/>
      <c r="AE289" s="208"/>
      <c r="AF289" s="208"/>
      <c r="AG289" s="208"/>
      <c r="AH289" s="208"/>
      <c r="AI289" s="208"/>
      <c r="AJ289" s="189"/>
      <c r="AK289" s="208"/>
      <c r="AL289" s="208"/>
      <c r="AM289" s="208"/>
      <c r="AN289" s="208"/>
      <c r="AO289" s="208"/>
      <c r="AP289" s="208"/>
      <c r="AQ289" s="208"/>
      <c r="AR289" s="208"/>
      <c r="AS289" s="208"/>
      <c r="AT289" s="208"/>
      <c r="AU289" s="180"/>
      <c r="AV289" s="201"/>
      <c r="AW289" s="207"/>
      <c r="AX289" s="208"/>
      <c r="AY289" s="277"/>
      <c r="AZ289" s="277"/>
      <c r="BA289" s="277"/>
      <c r="BB289" s="277"/>
      <c r="BC289" s="278"/>
    </row>
    <row r="290" spans="2:86" ht="12.75" customHeight="1">
      <c r="B290" s="260"/>
      <c r="C290" s="176"/>
      <c r="D290" s="176"/>
      <c r="E290" s="176"/>
      <c r="F290" s="176"/>
      <c r="G290" s="213"/>
      <c r="H290" s="256"/>
      <c r="I290" s="237"/>
      <c r="J290" s="241" t="s">
        <v>325</v>
      </c>
      <c r="K290" s="208"/>
      <c r="L290" s="208"/>
      <c r="M290" s="208"/>
      <c r="N290" s="208"/>
      <c r="O290" s="208"/>
      <c r="P290" s="208"/>
      <c r="Q290" s="208"/>
      <c r="R290" s="208"/>
      <c r="S290" s="208"/>
      <c r="T290" s="208"/>
      <c r="U290" s="208"/>
      <c r="V290" s="208"/>
      <c r="W290" s="208"/>
      <c r="X290" s="208"/>
      <c r="Y290" s="208"/>
      <c r="Z290" s="208"/>
      <c r="AA290" s="208"/>
      <c r="AB290" s="208"/>
      <c r="AC290" s="208"/>
      <c r="AD290" s="208"/>
      <c r="AE290" s="208"/>
      <c r="AF290" s="208"/>
      <c r="AG290" s="208"/>
      <c r="AH290" s="208"/>
      <c r="AI290" s="208"/>
      <c r="AJ290" s="189"/>
      <c r="AK290" s="208"/>
      <c r="AL290" s="208"/>
      <c r="AM290" s="555">
        <f>V151</f>
        <v>30</v>
      </c>
      <c r="AN290" s="556"/>
      <c r="AO290" s="556"/>
      <c r="AQ290" s="208"/>
      <c r="AR290" s="208"/>
      <c r="AS290" s="208"/>
      <c r="AT290" s="208"/>
      <c r="AU290" s="208"/>
      <c r="AV290" s="242"/>
      <c r="AW290" s="207"/>
      <c r="AX290" s="208"/>
      <c r="AY290" s="277"/>
      <c r="AZ290" s="277"/>
      <c r="BA290" s="277"/>
      <c r="BB290" s="277"/>
      <c r="BC290" s="278"/>
      <c r="BD290" s="94"/>
      <c r="BE290" s="94"/>
      <c r="BF290" s="94"/>
      <c r="BG290" s="94"/>
      <c r="BH290" s="94"/>
      <c r="BI290" s="94"/>
      <c r="BJ290" s="94"/>
      <c r="BK290" s="94"/>
      <c r="BL290" s="94"/>
      <c r="BM290" s="94"/>
      <c r="BN290" s="94"/>
      <c r="BO290" s="94"/>
      <c r="BP290" s="94"/>
      <c r="BQ290" s="94"/>
      <c r="BR290" s="94"/>
      <c r="BS290" s="94"/>
      <c r="BT290" s="94"/>
      <c r="BU290" s="94"/>
      <c r="BV290" s="94"/>
      <c r="BW290" s="94"/>
      <c r="BX290" s="94"/>
      <c r="BY290" s="94"/>
      <c r="BZ290" s="94"/>
      <c r="CA290" s="94"/>
      <c r="CB290" s="94"/>
      <c r="CC290" s="94"/>
      <c r="CD290" s="94"/>
      <c r="CE290" s="94"/>
      <c r="CF290" s="94"/>
      <c r="CG290" s="94"/>
      <c r="CH290" s="94"/>
    </row>
    <row r="291" spans="2:86" ht="12.75" customHeight="1">
      <c r="B291" s="260"/>
      <c r="C291" s="176"/>
      <c r="D291" s="176"/>
      <c r="E291" s="176"/>
      <c r="F291" s="176"/>
      <c r="G291" s="213"/>
      <c r="H291" s="256"/>
      <c r="I291" s="237"/>
      <c r="J291" s="189" t="s">
        <v>147</v>
      </c>
      <c r="K291" s="208"/>
      <c r="L291" s="208"/>
      <c r="M291" s="208"/>
      <c r="N291" s="208"/>
      <c r="O291" s="208"/>
      <c r="P291" s="208"/>
      <c r="Q291" s="208"/>
      <c r="R291" s="208"/>
      <c r="S291" s="557">
        <f>V376</f>
        <v>600</v>
      </c>
      <c r="T291" s="557"/>
      <c r="U291" s="557"/>
      <c r="V291" s="189" t="s">
        <v>148</v>
      </c>
      <c r="X291" s="208"/>
      <c r="Y291" s="180" t="str">
        <f>X356</f>
        <v>Dense Sand / Gravel</v>
      </c>
      <c r="AA291" s="180"/>
      <c r="AB291" s="180"/>
      <c r="AC291" s="180"/>
      <c r="AD291" s="180"/>
      <c r="AE291" s="180"/>
      <c r="AF291" s="189" t="s">
        <v>277</v>
      </c>
      <c r="AG291" s="180"/>
      <c r="AI291" s="208"/>
      <c r="AJ291" s="189"/>
      <c r="AL291" s="189"/>
      <c r="AM291" s="180"/>
      <c r="AO291" s="180"/>
      <c r="AP291" s="180"/>
      <c r="AQ291" s="180"/>
      <c r="AR291" s="180"/>
      <c r="AS291" s="180"/>
      <c r="AT291" s="208"/>
      <c r="AU291" s="180"/>
      <c r="AV291" s="201"/>
      <c r="AW291" s="207"/>
      <c r="AX291" s="208"/>
      <c r="AY291" s="277"/>
      <c r="AZ291" s="277"/>
      <c r="BA291" s="277"/>
      <c r="BB291" s="277"/>
      <c r="BC291" s="278"/>
      <c r="BD291" s="94"/>
      <c r="BE291" s="94"/>
      <c r="BF291" s="94"/>
      <c r="BG291" s="94"/>
      <c r="BH291" s="94"/>
      <c r="BI291" s="94"/>
      <c r="BJ291" s="94"/>
      <c r="BK291" s="94"/>
      <c r="BL291" s="94"/>
      <c r="BM291" s="94"/>
      <c r="BN291" s="94"/>
      <c r="BO291" s="94"/>
      <c r="BP291" s="94"/>
      <c r="BQ291" s="94"/>
      <c r="BR291" s="94"/>
      <c r="BS291" s="94"/>
      <c r="BT291" s="94"/>
      <c r="BU291" s="94"/>
      <c r="BV291" s="94"/>
      <c r="BW291" s="94"/>
      <c r="BX291" s="94"/>
      <c r="BY291" s="94"/>
      <c r="BZ291" s="94"/>
      <c r="CA291" s="94"/>
      <c r="CB291" s="94"/>
      <c r="CC291" s="94"/>
      <c r="CD291" s="94"/>
      <c r="CE291" s="94"/>
      <c r="CF291" s="94"/>
      <c r="CG291" s="94"/>
      <c r="CH291" s="94"/>
    </row>
    <row r="292" spans="2:86" ht="12.75" customHeight="1">
      <c r="B292" s="260"/>
      <c r="C292" s="176"/>
      <c r="D292" s="176"/>
      <c r="E292" s="176"/>
      <c r="F292" s="176"/>
      <c r="G292" s="213"/>
      <c r="H292" s="256"/>
      <c r="I292" s="237"/>
      <c r="J292" s="489" t="str">
        <f>J427</f>
        <v xml:space="preserve">Made Ground </v>
      </c>
      <c r="K292" s="489"/>
      <c r="L292" s="489"/>
      <c r="M292" s="489"/>
      <c r="N292" s="489"/>
      <c r="O292" s="489"/>
      <c r="P292" s="489"/>
      <c r="Q292" s="489"/>
      <c r="R292" s="489"/>
      <c r="S292" s="489"/>
      <c r="T292" s="489"/>
      <c r="AE292" s="208"/>
      <c r="AF292" s="208"/>
      <c r="AG292" s="208"/>
      <c r="AH292" s="208"/>
      <c r="AI292" s="208"/>
      <c r="AJ292" s="189"/>
      <c r="AK292" s="208"/>
      <c r="AL292" s="208"/>
      <c r="AM292" s="208"/>
      <c r="AN292" s="208"/>
      <c r="AO292" s="208"/>
      <c r="AP292" s="208"/>
      <c r="AQ292" s="208"/>
      <c r="AR292" s="208"/>
      <c r="AS292" s="208"/>
      <c r="AT292" s="208"/>
      <c r="AU292" s="208"/>
      <c r="AV292" s="201"/>
      <c r="AW292" s="207"/>
      <c r="AX292" s="208"/>
      <c r="AY292" s="277"/>
      <c r="AZ292" s="277"/>
      <c r="BA292" s="277"/>
      <c r="BB292" s="277"/>
      <c r="BC292" s="278"/>
      <c r="BD292" s="94"/>
      <c r="BE292" s="94"/>
      <c r="BF292" s="94"/>
      <c r="BG292" s="94"/>
      <c r="BH292" s="94"/>
      <c r="BI292" s="94"/>
      <c r="BJ292" s="94"/>
      <c r="BK292" s="94"/>
      <c r="BL292" s="94"/>
      <c r="BM292" s="94"/>
      <c r="BN292" s="94"/>
      <c r="BO292" s="94"/>
      <c r="BP292" s="94"/>
      <c r="BQ292" s="94"/>
      <c r="BR292" s="94"/>
      <c r="BS292" s="94"/>
      <c r="BT292" s="94"/>
      <c r="BU292" s="94"/>
      <c r="BV292" s="94"/>
      <c r="BW292" s="94"/>
      <c r="BX292" s="94"/>
      <c r="BY292" s="94"/>
      <c r="BZ292" s="94"/>
      <c r="CA292" s="94"/>
      <c r="CB292" s="94"/>
      <c r="CC292" s="94"/>
      <c r="CD292" s="94"/>
      <c r="CE292" s="94"/>
      <c r="CF292" s="94"/>
      <c r="CG292" s="94"/>
      <c r="CH292" s="94"/>
    </row>
    <row r="293" spans="2:86" ht="12.75" customHeight="1">
      <c r="B293" s="260"/>
      <c r="C293" s="176"/>
      <c r="D293" s="176"/>
      <c r="E293" s="176"/>
      <c r="F293" s="176"/>
      <c r="G293" s="213"/>
      <c r="H293" s="256"/>
      <c r="I293" s="237"/>
      <c r="Y293" s="208"/>
      <c r="Z293" s="208"/>
      <c r="AA293" s="208"/>
      <c r="AB293" s="208"/>
      <c r="AC293" s="208"/>
      <c r="AD293" s="208"/>
      <c r="AE293" s="208"/>
      <c r="AF293" s="208"/>
      <c r="AG293" s="208"/>
      <c r="AH293" s="208"/>
      <c r="AI293" s="208"/>
      <c r="AJ293" s="189"/>
      <c r="AK293" s="208"/>
      <c r="AL293" s="208"/>
      <c r="AM293" s="208"/>
      <c r="AN293" s="208"/>
      <c r="AO293" s="208"/>
      <c r="AP293" s="208"/>
      <c r="AQ293" s="208"/>
      <c r="AR293" s="208"/>
      <c r="AS293" s="208"/>
      <c r="AT293" s="208"/>
      <c r="AU293" s="180"/>
      <c r="AV293" s="201"/>
      <c r="AW293" s="207"/>
      <c r="AX293" s="208"/>
      <c r="AY293" s="277"/>
      <c r="AZ293" s="277"/>
      <c r="BA293" s="277"/>
      <c r="BB293" s="277"/>
      <c r="BC293" s="278"/>
      <c r="BD293" s="94"/>
      <c r="BE293" s="94"/>
      <c r="BF293" s="94"/>
      <c r="BG293" s="94"/>
      <c r="BH293" s="94"/>
      <c r="BI293" s="94"/>
      <c r="BJ293" s="94"/>
      <c r="BK293" s="94"/>
      <c r="BL293" s="94"/>
      <c r="BM293" s="94"/>
      <c r="BN293" s="94"/>
      <c r="BO293" s="94"/>
      <c r="BP293" s="94"/>
      <c r="BQ293" s="94"/>
      <c r="BR293" s="94"/>
      <c r="BS293" s="94"/>
      <c r="BT293" s="94"/>
      <c r="BU293" s="94"/>
      <c r="BV293" s="94"/>
      <c r="BW293" s="94"/>
      <c r="BX293" s="94"/>
      <c r="BY293" s="94"/>
      <c r="BZ293" s="94"/>
      <c r="CA293" s="94"/>
      <c r="CB293" s="94"/>
      <c r="CC293" s="94"/>
      <c r="CD293" s="94"/>
      <c r="CE293" s="94"/>
      <c r="CF293" s="94"/>
      <c r="CG293" s="94"/>
      <c r="CH293" s="94"/>
    </row>
    <row r="294" spans="2:86" ht="12.75" customHeight="1">
      <c r="B294" s="260"/>
      <c r="C294" s="176"/>
      <c r="D294" s="176"/>
      <c r="E294" s="176"/>
      <c r="F294" s="176"/>
      <c r="G294" s="213"/>
      <c r="H294" s="256"/>
      <c r="I294" s="237"/>
      <c r="J294" s="189" t="s">
        <v>150</v>
      </c>
      <c r="K294" s="208"/>
      <c r="L294" s="208"/>
      <c r="M294" s="208"/>
      <c r="N294" s="208"/>
      <c r="O294" s="208"/>
      <c r="P294" s="208"/>
      <c r="Q294" s="208"/>
      <c r="R294" s="208"/>
      <c r="S294" s="208"/>
      <c r="T294" s="208"/>
      <c r="U294" s="208"/>
      <c r="V294" s="208"/>
      <c r="W294" s="208"/>
      <c r="X294" s="208"/>
      <c r="Y294" s="208"/>
      <c r="Z294" s="208"/>
      <c r="AA294" s="208"/>
      <c r="AB294" s="208"/>
      <c r="AC294" s="208"/>
      <c r="AD294" s="208"/>
      <c r="AE294" s="208"/>
      <c r="AF294" s="208"/>
      <c r="AG294" s="208"/>
      <c r="AH294" s="208"/>
      <c r="AI294" s="208"/>
      <c r="AJ294" s="189"/>
      <c r="AK294" s="208"/>
      <c r="AL294" s="208"/>
      <c r="AM294" s="208"/>
      <c r="AN294" s="208"/>
      <c r="AO294" s="208"/>
      <c r="AP294" s="208"/>
      <c r="AQ294" s="208"/>
      <c r="AR294" s="208"/>
      <c r="AS294" s="208"/>
      <c r="AT294" s="208"/>
      <c r="AU294" s="180"/>
      <c r="AV294" s="201"/>
      <c r="AW294" s="207"/>
      <c r="AX294" s="208"/>
      <c r="AY294" s="277"/>
      <c r="AZ294" s="277"/>
      <c r="BA294" s="277"/>
      <c r="BB294" s="277"/>
      <c r="BC294" s="278"/>
      <c r="BD294" s="94"/>
      <c r="BE294" s="94"/>
      <c r="BF294" s="94"/>
      <c r="BG294" s="94"/>
      <c r="BH294" s="94"/>
      <c r="BI294" s="94"/>
      <c r="BJ294" s="94"/>
      <c r="BK294" s="94"/>
      <c r="BL294" s="94"/>
      <c r="BM294" s="94"/>
      <c r="BN294" s="94"/>
      <c r="BO294" s="94"/>
      <c r="BP294" s="94"/>
      <c r="BQ294" s="94"/>
      <c r="BR294" s="94"/>
      <c r="BS294" s="94"/>
      <c r="BT294" s="94"/>
      <c r="BU294" s="94"/>
      <c r="BV294" s="94"/>
      <c r="BW294" s="94"/>
      <c r="BX294" s="94"/>
      <c r="BY294" s="94"/>
      <c r="BZ294" s="94"/>
      <c r="CA294" s="94"/>
      <c r="CB294" s="94"/>
      <c r="CC294" s="94"/>
      <c r="CD294" s="94"/>
      <c r="CE294" s="94"/>
      <c r="CF294" s="94"/>
      <c r="CG294" s="94"/>
      <c r="CH294" s="94"/>
    </row>
    <row r="295" spans="2:86" ht="12.75" customHeight="1">
      <c r="B295" s="260"/>
      <c r="C295" s="176"/>
      <c r="D295" s="176"/>
      <c r="E295" s="176"/>
      <c r="F295" s="176"/>
      <c r="G295" s="213"/>
      <c r="H295" s="256"/>
      <c r="I295" s="237"/>
      <c r="J295" s="180"/>
      <c r="K295" s="180"/>
      <c r="L295" s="180"/>
      <c r="M295" s="180"/>
      <c r="N295" s="180"/>
      <c r="O295" s="180"/>
      <c r="P295" s="180"/>
      <c r="Q295" s="214"/>
      <c r="R295" s="180"/>
      <c r="S295" s="180"/>
      <c r="T295" s="215"/>
      <c r="U295" s="180"/>
      <c r="V295" s="180"/>
      <c r="W295" s="180"/>
      <c r="X295" s="180"/>
      <c r="Y295" s="214"/>
      <c r="Z295" s="214"/>
      <c r="AA295" s="214"/>
      <c r="AB295" s="214"/>
      <c r="AC295" s="214"/>
      <c r="AD295" s="214"/>
      <c r="AE295" s="214"/>
      <c r="AF295" s="214"/>
      <c r="AG295" s="180"/>
      <c r="AH295" s="180"/>
      <c r="AI295" s="180"/>
      <c r="AJ295" s="180"/>
      <c r="AK295" s="180"/>
      <c r="AL295" s="180"/>
      <c r="AM295" s="245"/>
      <c r="AN295" s="245"/>
      <c r="AO295" s="180"/>
      <c r="AP295" s="180"/>
      <c r="AQ295" s="180"/>
      <c r="AR295" s="180"/>
      <c r="AS295" s="180"/>
      <c r="AT295" s="180"/>
      <c r="AU295" s="180"/>
      <c r="AV295" s="201"/>
      <c r="AW295" s="207"/>
      <c r="AX295" s="208"/>
      <c r="AY295" s="208"/>
      <c r="AZ295" s="208"/>
      <c r="BA295" s="208"/>
      <c r="BB295" s="208"/>
      <c r="BC295" s="242"/>
      <c r="BD295" s="94"/>
      <c r="BE295" s="94"/>
      <c r="BF295" s="94"/>
      <c r="BG295" s="94"/>
      <c r="BH295" s="94"/>
      <c r="BI295" s="94"/>
      <c r="BJ295" s="94"/>
      <c r="BK295" s="94"/>
      <c r="BL295" s="94"/>
      <c r="BM295" s="94"/>
      <c r="BN295" s="94"/>
      <c r="BO295" s="94"/>
      <c r="BP295" s="94"/>
      <c r="BQ295" s="94"/>
      <c r="BR295" s="94"/>
      <c r="BS295" s="94"/>
      <c r="BT295" s="94"/>
      <c r="BU295" s="94"/>
      <c r="BV295" s="94"/>
      <c r="BW295" s="94"/>
      <c r="BX295" s="94"/>
      <c r="BY295" s="94"/>
      <c r="BZ295" s="94"/>
      <c r="CA295" s="94"/>
      <c r="CB295" s="94"/>
      <c r="CC295" s="94"/>
      <c r="CD295" s="94"/>
      <c r="CE295" s="94"/>
      <c r="CF295" s="94"/>
      <c r="CG295" s="94"/>
      <c r="CH295" s="94"/>
    </row>
    <row r="296" spans="2:86" ht="12.75" customHeight="1">
      <c r="B296" s="260"/>
      <c r="C296" s="176"/>
      <c r="D296" s="176"/>
      <c r="E296" s="176"/>
      <c r="F296" s="176"/>
      <c r="G296" s="213"/>
      <c r="H296" s="256"/>
      <c r="I296" s="237"/>
      <c r="J296" s="554" t="s">
        <v>101</v>
      </c>
      <c r="K296" s="554"/>
      <c r="L296" s="554"/>
      <c r="M296" s="554"/>
      <c r="N296" s="554"/>
      <c r="O296" s="554"/>
      <c r="P296" s="554"/>
      <c r="Q296" s="554"/>
      <c r="R296" s="554"/>
      <c r="S296" s="554"/>
      <c r="T296" s="554"/>
      <c r="U296" s="554"/>
      <c r="V296" s="554"/>
      <c r="W296" s="554"/>
      <c r="X296" s="554"/>
      <c r="Y296" s="554"/>
      <c r="Z296" s="554"/>
      <c r="AA296" s="554"/>
      <c r="AB296" s="554"/>
      <c r="AC296" s="554"/>
      <c r="AD296" s="554"/>
      <c r="AE296" s="554"/>
      <c r="AF296" s="554"/>
      <c r="AG296" s="554"/>
      <c r="AH296" s="554"/>
      <c r="AI296" s="554"/>
      <c r="AJ296" s="554"/>
      <c r="AK296" s="554"/>
      <c r="AL296" s="554"/>
      <c r="AM296" s="554"/>
      <c r="AN296" s="554"/>
      <c r="AO296" s="554"/>
      <c r="AP296" s="554"/>
      <c r="AQ296" s="554"/>
      <c r="AR296" s="554"/>
      <c r="AS296" s="554"/>
      <c r="AT296" s="554"/>
      <c r="AU296" s="554"/>
      <c r="AV296" s="201"/>
      <c r="AW296" s="207"/>
      <c r="AX296" s="208"/>
      <c r="AY296" s="208"/>
      <c r="AZ296" s="208"/>
      <c r="BA296" s="208"/>
      <c r="BB296" s="208"/>
      <c r="BC296" s="242"/>
    </row>
    <row r="297" spans="2:86" ht="12.75" customHeight="1">
      <c r="B297" s="260"/>
      <c r="C297" s="176"/>
      <c r="D297" s="176"/>
      <c r="E297" s="176"/>
      <c r="F297" s="176"/>
      <c r="G297" s="213"/>
      <c r="H297" s="256"/>
      <c r="I297" s="237"/>
      <c r="J297" s="554"/>
      <c r="K297" s="554"/>
      <c r="L297" s="554"/>
      <c r="M297" s="554"/>
      <c r="N297" s="554"/>
      <c r="O297" s="554"/>
      <c r="P297" s="554"/>
      <c r="Q297" s="554"/>
      <c r="R297" s="554"/>
      <c r="S297" s="554"/>
      <c r="T297" s="554"/>
      <c r="U297" s="554"/>
      <c r="V297" s="554"/>
      <c r="W297" s="554"/>
      <c r="X297" s="554"/>
      <c r="Y297" s="554"/>
      <c r="Z297" s="554"/>
      <c r="AA297" s="554"/>
      <c r="AB297" s="554"/>
      <c r="AC297" s="554"/>
      <c r="AD297" s="554"/>
      <c r="AE297" s="554"/>
      <c r="AF297" s="554"/>
      <c r="AG297" s="554"/>
      <c r="AH297" s="554"/>
      <c r="AI297" s="554"/>
      <c r="AJ297" s="554"/>
      <c r="AK297" s="554"/>
      <c r="AL297" s="554"/>
      <c r="AM297" s="554"/>
      <c r="AN297" s="554"/>
      <c r="AO297" s="554"/>
      <c r="AP297" s="554"/>
      <c r="AQ297" s="554"/>
      <c r="AR297" s="554"/>
      <c r="AS297" s="554"/>
      <c r="AT297" s="554"/>
      <c r="AU297" s="554"/>
      <c r="AV297" s="201"/>
      <c r="AW297" s="207"/>
      <c r="AX297" s="208"/>
      <c r="AY297" s="208"/>
      <c r="AZ297" s="208"/>
      <c r="BA297" s="208"/>
      <c r="BB297" s="208"/>
      <c r="BC297" s="242"/>
    </row>
    <row r="298" spans="2:86" ht="12.75" customHeight="1">
      <c r="B298" s="260"/>
      <c r="C298" s="176"/>
      <c r="D298" s="176"/>
      <c r="E298" s="176"/>
      <c r="F298" s="176"/>
      <c r="G298" s="213"/>
      <c r="H298" s="256"/>
      <c r="I298" s="237"/>
      <c r="J298" s="554"/>
      <c r="K298" s="554"/>
      <c r="L298" s="554"/>
      <c r="M298" s="554"/>
      <c r="N298" s="554"/>
      <c r="O298" s="554"/>
      <c r="P298" s="554"/>
      <c r="Q298" s="554"/>
      <c r="R298" s="554"/>
      <c r="S298" s="554"/>
      <c r="T298" s="554"/>
      <c r="U298" s="554"/>
      <c r="V298" s="554"/>
      <c r="W298" s="554"/>
      <c r="X298" s="554"/>
      <c r="Y298" s="554"/>
      <c r="Z298" s="554"/>
      <c r="AA298" s="554"/>
      <c r="AB298" s="554"/>
      <c r="AC298" s="554"/>
      <c r="AD298" s="554"/>
      <c r="AE298" s="554"/>
      <c r="AF298" s="554"/>
      <c r="AG298" s="554"/>
      <c r="AH298" s="554"/>
      <c r="AI298" s="554"/>
      <c r="AJ298" s="554"/>
      <c r="AK298" s="554"/>
      <c r="AL298" s="554"/>
      <c r="AM298" s="554"/>
      <c r="AN298" s="554"/>
      <c r="AO298" s="554"/>
      <c r="AP298" s="554"/>
      <c r="AQ298" s="554"/>
      <c r="AR298" s="554"/>
      <c r="AS298" s="554"/>
      <c r="AT298" s="554"/>
      <c r="AU298" s="554"/>
      <c r="AV298" s="201"/>
      <c r="AW298" s="207"/>
      <c r="AX298" s="208"/>
      <c r="AY298" s="208"/>
      <c r="AZ298" s="208"/>
      <c r="BA298" s="208"/>
      <c r="BB298" s="208"/>
      <c r="BC298" s="242"/>
    </row>
    <row r="299" spans="2:86" ht="12.75" customHeight="1">
      <c r="B299" s="260"/>
      <c r="C299" s="176"/>
      <c r="D299" s="176"/>
      <c r="E299" s="176"/>
      <c r="F299" s="176"/>
      <c r="G299" s="213"/>
      <c r="H299" s="256"/>
      <c r="I299" s="237"/>
      <c r="J299" s="554"/>
      <c r="K299" s="554"/>
      <c r="L299" s="554"/>
      <c r="M299" s="554"/>
      <c r="N299" s="554"/>
      <c r="O299" s="554"/>
      <c r="P299" s="554"/>
      <c r="Q299" s="554"/>
      <c r="R299" s="554"/>
      <c r="S299" s="554"/>
      <c r="T299" s="554"/>
      <c r="U299" s="554"/>
      <c r="V299" s="554"/>
      <c r="W299" s="554"/>
      <c r="X299" s="554"/>
      <c r="Y299" s="554"/>
      <c r="Z299" s="554"/>
      <c r="AA299" s="554"/>
      <c r="AB299" s="554"/>
      <c r="AC299" s="554"/>
      <c r="AD299" s="554"/>
      <c r="AE299" s="554"/>
      <c r="AF299" s="554"/>
      <c r="AG299" s="554"/>
      <c r="AH299" s="554"/>
      <c r="AI299" s="554"/>
      <c r="AJ299" s="554"/>
      <c r="AK299" s="554"/>
      <c r="AL299" s="554"/>
      <c r="AM299" s="554"/>
      <c r="AN299" s="554"/>
      <c r="AO299" s="554"/>
      <c r="AP299" s="554"/>
      <c r="AQ299" s="554"/>
      <c r="AR299" s="554"/>
      <c r="AS299" s="554"/>
      <c r="AT299" s="554"/>
      <c r="AU299" s="554"/>
      <c r="AV299" s="201"/>
      <c r="AW299" s="207"/>
      <c r="AX299" s="208"/>
      <c r="AY299" s="208"/>
      <c r="AZ299" s="208"/>
      <c r="BA299" s="208"/>
      <c r="BB299" s="208"/>
      <c r="BC299" s="242"/>
    </row>
    <row r="300" spans="2:86" ht="12.75" customHeight="1">
      <c r="B300" s="260"/>
      <c r="C300" s="176"/>
      <c r="D300" s="176"/>
      <c r="E300" s="176"/>
      <c r="F300" s="176"/>
      <c r="G300" s="213"/>
      <c r="H300" s="256"/>
      <c r="I300" s="237"/>
      <c r="J300" s="554"/>
      <c r="K300" s="554"/>
      <c r="L300" s="554"/>
      <c r="M300" s="554"/>
      <c r="N300" s="554"/>
      <c r="O300" s="554"/>
      <c r="P300" s="554"/>
      <c r="Q300" s="554"/>
      <c r="R300" s="554"/>
      <c r="S300" s="554"/>
      <c r="T300" s="554"/>
      <c r="U300" s="554"/>
      <c r="V300" s="554"/>
      <c r="W300" s="554"/>
      <c r="X300" s="554"/>
      <c r="Y300" s="554"/>
      <c r="Z300" s="554"/>
      <c r="AA300" s="554"/>
      <c r="AB300" s="554"/>
      <c r="AC300" s="554"/>
      <c r="AD300" s="554"/>
      <c r="AE300" s="554"/>
      <c r="AF300" s="554"/>
      <c r="AG300" s="554"/>
      <c r="AH300" s="554"/>
      <c r="AI300" s="554"/>
      <c r="AJ300" s="554"/>
      <c r="AK300" s="554"/>
      <c r="AL300" s="554"/>
      <c r="AM300" s="554"/>
      <c r="AN300" s="554"/>
      <c r="AO300" s="554"/>
      <c r="AP300" s="554"/>
      <c r="AQ300" s="554"/>
      <c r="AR300" s="554"/>
      <c r="AS300" s="554"/>
      <c r="AT300" s="554"/>
      <c r="AU300" s="554"/>
      <c r="AV300" s="201"/>
      <c r="AW300" s="207"/>
      <c r="AX300" s="208"/>
      <c r="AY300" s="208"/>
      <c r="AZ300" s="208"/>
      <c r="BA300" s="208"/>
      <c r="BB300" s="208"/>
      <c r="BC300" s="242"/>
    </row>
    <row r="301" spans="2:86" ht="12.75" customHeight="1">
      <c r="B301" s="260"/>
      <c r="C301" s="176"/>
      <c r="D301" s="176"/>
      <c r="E301" s="176"/>
      <c r="F301" s="176"/>
      <c r="G301" s="213"/>
      <c r="H301" s="256"/>
      <c r="I301" s="237"/>
      <c r="J301" s="554"/>
      <c r="K301" s="554"/>
      <c r="L301" s="554"/>
      <c r="M301" s="554"/>
      <c r="N301" s="554"/>
      <c r="O301" s="554"/>
      <c r="P301" s="554"/>
      <c r="Q301" s="554"/>
      <c r="R301" s="554"/>
      <c r="S301" s="554"/>
      <c r="T301" s="554"/>
      <c r="U301" s="554"/>
      <c r="V301" s="554"/>
      <c r="W301" s="554"/>
      <c r="X301" s="554"/>
      <c r="Y301" s="554"/>
      <c r="Z301" s="554"/>
      <c r="AA301" s="554"/>
      <c r="AB301" s="554"/>
      <c r="AC301" s="554"/>
      <c r="AD301" s="554"/>
      <c r="AE301" s="554"/>
      <c r="AF301" s="554"/>
      <c r="AG301" s="554"/>
      <c r="AH301" s="554"/>
      <c r="AI301" s="554"/>
      <c r="AJ301" s="554"/>
      <c r="AK301" s="554"/>
      <c r="AL301" s="554"/>
      <c r="AM301" s="554"/>
      <c r="AN301" s="554"/>
      <c r="AO301" s="554"/>
      <c r="AP301" s="554"/>
      <c r="AQ301" s="554"/>
      <c r="AR301" s="554"/>
      <c r="AS301" s="554"/>
      <c r="AT301" s="554"/>
      <c r="AU301" s="554"/>
      <c r="AV301" s="201"/>
      <c r="AW301" s="207"/>
      <c r="AX301" s="208"/>
      <c r="AY301" s="208"/>
      <c r="AZ301" s="208"/>
      <c r="BA301" s="208"/>
      <c r="BB301" s="208"/>
      <c r="BC301" s="242"/>
    </row>
    <row r="302" spans="2:86" ht="12.75" customHeight="1">
      <c r="B302" s="260"/>
      <c r="C302" s="176"/>
      <c r="D302" s="176"/>
      <c r="E302" s="176"/>
      <c r="F302" s="176"/>
      <c r="G302" s="213"/>
      <c r="H302" s="256"/>
      <c r="I302" s="237"/>
      <c r="J302" s="554"/>
      <c r="K302" s="554"/>
      <c r="L302" s="554"/>
      <c r="M302" s="554"/>
      <c r="N302" s="554"/>
      <c r="O302" s="554"/>
      <c r="P302" s="554"/>
      <c r="Q302" s="554"/>
      <c r="R302" s="554"/>
      <c r="S302" s="554"/>
      <c r="T302" s="554"/>
      <c r="U302" s="554"/>
      <c r="V302" s="554"/>
      <c r="W302" s="554"/>
      <c r="X302" s="554"/>
      <c r="Y302" s="554"/>
      <c r="Z302" s="554"/>
      <c r="AA302" s="554"/>
      <c r="AB302" s="554"/>
      <c r="AC302" s="554"/>
      <c r="AD302" s="554"/>
      <c r="AE302" s="554"/>
      <c r="AF302" s="554"/>
      <c r="AG302" s="554"/>
      <c r="AH302" s="554"/>
      <c r="AI302" s="554"/>
      <c r="AJ302" s="554"/>
      <c r="AK302" s="554"/>
      <c r="AL302" s="554"/>
      <c r="AM302" s="554"/>
      <c r="AN302" s="554"/>
      <c r="AO302" s="554"/>
      <c r="AP302" s="554"/>
      <c r="AQ302" s="554"/>
      <c r="AR302" s="554"/>
      <c r="AS302" s="554"/>
      <c r="AT302" s="554"/>
      <c r="AU302" s="554"/>
      <c r="AV302" s="201"/>
      <c r="AW302" s="207"/>
      <c r="AX302" s="208"/>
      <c r="AY302" s="208"/>
      <c r="AZ302" s="208"/>
      <c r="BA302" s="208"/>
      <c r="BB302" s="208"/>
      <c r="BC302" s="242"/>
    </row>
    <row r="303" spans="2:86" ht="12.75" customHeight="1">
      <c r="B303" s="388" t="s">
        <v>102</v>
      </c>
      <c r="C303" s="388"/>
      <c r="D303" s="388"/>
      <c r="E303" s="388"/>
      <c r="F303" s="388"/>
      <c r="G303" s="388"/>
      <c r="H303" s="388"/>
      <c r="I303" s="237"/>
      <c r="J303" s="554"/>
      <c r="K303" s="554"/>
      <c r="L303" s="554"/>
      <c r="M303" s="554"/>
      <c r="N303" s="554"/>
      <c r="O303" s="554"/>
      <c r="P303" s="554"/>
      <c r="Q303" s="554"/>
      <c r="R303" s="554"/>
      <c r="S303" s="554"/>
      <c r="T303" s="554"/>
      <c r="U303" s="554"/>
      <c r="V303" s="554"/>
      <c r="W303" s="554"/>
      <c r="X303" s="554"/>
      <c r="Y303" s="554"/>
      <c r="Z303" s="554"/>
      <c r="AA303" s="554"/>
      <c r="AB303" s="554"/>
      <c r="AC303" s="554"/>
      <c r="AD303" s="554"/>
      <c r="AE303" s="554"/>
      <c r="AF303" s="554"/>
      <c r="AG303" s="554"/>
      <c r="AH303" s="554"/>
      <c r="AI303" s="554"/>
      <c r="AJ303" s="554"/>
      <c r="AK303" s="554"/>
      <c r="AL303" s="554"/>
      <c r="AM303" s="554"/>
      <c r="AN303" s="554"/>
      <c r="AO303" s="554"/>
      <c r="AP303" s="554"/>
      <c r="AQ303" s="554"/>
      <c r="AR303" s="554"/>
      <c r="AS303" s="554"/>
      <c r="AT303" s="554"/>
      <c r="AU303" s="554"/>
      <c r="AV303" s="201"/>
      <c r="AW303" s="207"/>
      <c r="AX303" s="208"/>
      <c r="AY303" s="208"/>
      <c r="AZ303" s="208"/>
      <c r="BA303" s="208"/>
      <c r="BB303" s="208"/>
      <c r="BC303" s="242"/>
    </row>
    <row r="304" spans="2:86" ht="12.75" customHeight="1">
      <c r="B304" s="388"/>
      <c r="C304" s="388"/>
      <c r="D304" s="388"/>
      <c r="E304" s="388"/>
      <c r="F304" s="388"/>
      <c r="G304" s="388"/>
      <c r="H304" s="388"/>
      <c r="I304" s="237"/>
      <c r="J304" s="554"/>
      <c r="K304" s="554"/>
      <c r="L304" s="554"/>
      <c r="M304" s="554"/>
      <c r="N304" s="554"/>
      <c r="O304" s="554"/>
      <c r="P304" s="554"/>
      <c r="Q304" s="554"/>
      <c r="R304" s="554"/>
      <c r="S304" s="554"/>
      <c r="T304" s="554"/>
      <c r="U304" s="554"/>
      <c r="V304" s="554"/>
      <c r="W304" s="554"/>
      <c r="X304" s="554"/>
      <c r="Y304" s="554"/>
      <c r="Z304" s="554"/>
      <c r="AA304" s="554"/>
      <c r="AB304" s="554"/>
      <c r="AC304" s="554"/>
      <c r="AD304" s="554"/>
      <c r="AE304" s="554"/>
      <c r="AF304" s="554"/>
      <c r="AG304" s="554"/>
      <c r="AH304" s="554"/>
      <c r="AI304" s="554"/>
      <c r="AJ304" s="554"/>
      <c r="AK304" s="554"/>
      <c r="AL304" s="554"/>
      <c r="AM304" s="554"/>
      <c r="AN304" s="554"/>
      <c r="AO304" s="554"/>
      <c r="AP304" s="554"/>
      <c r="AQ304" s="554"/>
      <c r="AR304" s="554"/>
      <c r="AS304" s="554"/>
      <c r="AT304" s="554"/>
      <c r="AU304" s="554"/>
      <c r="AV304" s="201"/>
      <c r="AW304" s="207"/>
      <c r="AX304" s="208"/>
      <c r="AY304" s="208"/>
      <c r="AZ304" s="208"/>
      <c r="BA304" s="208"/>
      <c r="BB304" s="208"/>
      <c r="BC304" s="242"/>
    </row>
    <row r="305" spans="2:55" ht="12.75" customHeight="1">
      <c r="B305" s="388"/>
      <c r="C305" s="388"/>
      <c r="D305" s="388"/>
      <c r="E305" s="388"/>
      <c r="F305" s="388"/>
      <c r="G305" s="388"/>
      <c r="H305" s="388"/>
      <c r="I305" s="237"/>
      <c r="J305" s="554"/>
      <c r="K305" s="554"/>
      <c r="L305" s="554"/>
      <c r="M305" s="554"/>
      <c r="N305" s="554"/>
      <c r="O305" s="554"/>
      <c r="P305" s="554"/>
      <c r="Q305" s="554"/>
      <c r="R305" s="554"/>
      <c r="S305" s="554"/>
      <c r="T305" s="554"/>
      <c r="U305" s="554"/>
      <c r="V305" s="554"/>
      <c r="W305" s="554"/>
      <c r="X305" s="554"/>
      <c r="Y305" s="554"/>
      <c r="Z305" s="554"/>
      <c r="AA305" s="554"/>
      <c r="AB305" s="554"/>
      <c r="AC305" s="554"/>
      <c r="AD305" s="554"/>
      <c r="AE305" s="554"/>
      <c r="AF305" s="554"/>
      <c r="AG305" s="554"/>
      <c r="AH305" s="554"/>
      <c r="AI305" s="554"/>
      <c r="AJ305" s="554"/>
      <c r="AK305" s="554"/>
      <c r="AL305" s="554"/>
      <c r="AM305" s="554"/>
      <c r="AN305" s="554"/>
      <c r="AO305" s="554"/>
      <c r="AP305" s="554"/>
      <c r="AQ305" s="554"/>
      <c r="AR305" s="554"/>
      <c r="AS305" s="554"/>
      <c r="AT305" s="554"/>
      <c r="AU305" s="554"/>
      <c r="AV305" s="201"/>
      <c r="AW305" s="207"/>
      <c r="AX305" s="208"/>
      <c r="AY305" s="208"/>
      <c r="AZ305" s="208"/>
      <c r="BA305" s="208"/>
      <c r="BB305" s="208"/>
      <c r="BC305" s="242"/>
    </row>
    <row r="306" spans="2:55" ht="12.75" customHeight="1">
      <c r="B306" s="388"/>
      <c r="C306" s="388"/>
      <c r="D306" s="388"/>
      <c r="E306" s="388"/>
      <c r="F306" s="388"/>
      <c r="G306" s="388"/>
      <c r="H306" s="388"/>
      <c r="I306" s="237"/>
      <c r="J306" s="554"/>
      <c r="K306" s="554"/>
      <c r="L306" s="554"/>
      <c r="M306" s="554"/>
      <c r="N306" s="554"/>
      <c r="O306" s="554"/>
      <c r="P306" s="554"/>
      <c r="Q306" s="554"/>
      <c r="R306" s="554"/>
      <c r="S306" s="554"/>
      <c r="T306" s="554"/>
      <c r="U306" s="554"/>
      <c r="V306" s="554"/>
      <c r="W306" s="554"/>
      <c r="X306" s="554"/>
      <c r="Y306" s="554"/>
      <c r="Z306" s="554"/>
      <c r="AA306" s="554"/>
      <c r="AB306" s="554"/>
      <c r="AC306" s="554"/>
      <c r="AD306" s="554"/>
      <c r="AE306" s="554"/>
      <c r="AF306" s="554"/>
      <c r="AG306" s="554"/>
      <c r="AH306" s="554"/>
      <c r="AI306" s="554"/>
      <c r="AJ306" s="554"/>
      <c r="AK306" s="554"/>
      <c r="AL306" s="554"/>
      <c r="AM306" s="554"/>
      <c r="AN306" s="554"/>
      <c r="AO306" s="554"/>
      <c r="AP306" s="554"/>
      <c r="AQ306" s="554"/>
      <c r="AR306" s="554"/>
      <c r="AS306" s="554"/>
      <c r="AT306" s="554"/>
      <c r="AU306" s="554"/>
      <c r="AV306" s="201"/>
      <c r="AW306" s="207"/>
      <c r="AX306" s="208"/>
      <c r="AY306" s="208"/>
      <c r="AZ306" s="208"/>
      <c r="BA306" s="208"/>
      <c r="BB306" s="208"/>
      <c r="BC306" s="242"/>
    </row>
    <row r="307" spans="2:55" ht="12.75" customHeight="1">
      <c r="B307" s="388"/>
      <c r="C307" s="388"/>
      <c r="D307" s="388"/>
      <c r="E307" s="388"/>
      <c r="F307" s="388"/>
      <c r="G307" s="388"/>
      <c r="H307" s="388"/>
      <c r="I307" s="237"/>
      <c r="J307" s="554"/>
      <c r="K307" s="554"/>
      <c r="L307" s="554"/>
      <c r="M307" s="554"/>
      <c r="N307" s="554"/>
      <c r="O307" s="554"/>
      <c r="P307" s="554"/>
      <c r="Q307" s="554"/>
      <c r="R307" s="554"/>
      <c r="S307" s="554"/>
      <c r="T307" s="554"/>
      <c r="U307" s="554"/>
      <c r="V307" s="554"/>
      <c r="W307" s="554"/>
      <c r="X307" s="554"/>
      <c r="Y307" s="554"/>
      <c r="Z307" s="554"/>
      <c r="AA307" s="554"/>
      <c r="AB307" s="554"/>
      <c r="AC307" s="554"/>
      <c r="AD307" s="554"/>
      <c r="AE307" s="554"/>
      <c r="AF307" s="554"/>
      <c r="AG307" s="554"/>
      <c r="AH307" s="554"/>
      <c r="AI307" s="554"/>
      <c r="AJ307" s="554"/>
      <c r="AK307" s="554"/>
      <c r="AL307" s="554"/>
      <c r="AM307" s="554"/>
      <c r="AN307" s="554"/>
      <c r="AO307" s="554"/>
      <c r="AP307" s="554"/>
      <c r="AQ307" s="554"/>
      <c r="AR307" s="554"/>
      <c r="AS307" s="554"/>
      <c r="AT307" s="554"/>
      <c r="AU307" s="554"/>
      <c r="AV307" s="201"/>
      <c r="AW307" s="207"/>
      <c r="AX307" s="208"/>
      <c r="AY307" s="208"/>
      <c r="AZ307" s="208"/>
      <c r="BA307" s="208"/>
      <c r="BB307" s="208"/>
      <c r="BC307" s="242"/>
    </row>
    <row r="308" spans="2:55" ht="12.75" customHeight="1">
      <c r="B308" s="260"/>
      <c r="C308" s="176"/>
      <c r="D308" s="176"/>
      <c r="E308" s="176"/>
      <c r="F308" s="176"/>
      <c r="G308" s="213"/>
      <c r="H308" s="256"/>
      <c r="I308" s="237"/>
      <c r="J308" s="554"/>
      <c r="K308" s="554"/>
      <c r="L308" s="554"/>
      <c r="M308" s="554"/>
      <c r="N308" s="554"/>
      <c r="O308" s="554"/>
      <c r="P308" s="554"/>
      <c r="Q308" s="554"/>
      <c r="R308" s="554"/>
      <c r="S308" s="554"/>
      <c r="T308" s="554"/>
      <c r="U308" s="554"/>
      <c r="V308" s="554"/>
      <c r="W308" s="554"/>
      <c r="X308" s="554"/>
      <c r="Y308" s="554"/>
      <c r="Z308" s="554"/>
      <c r="AA308" s="554"/>
      <c r="AB308" s="554"/>
      <c r="AC308" s="554"/>
      <c r="AD308" s="554"/>
      <c r="AE308" s="554"/>
      <c r="AF308" s="554"/>
      <c r="AG308" s="554"/>
      <c r="AH308" s="554"/>
      <c r="AI308" s="554"/>
      <c r="AJ308" s="554"/>
      <c r="AK308" s="554"/>
      <c r="AL308" s="554"/>
      <c r="AM308" s="554"/>
      <c r="AN308" s="554"/>
      <c r="AO308" s="554"/>
      <c r="AP308" s="554"/>
      <c r="AQ308" s="554"/>
      <c r="AR308" s="554"/>
      <c r="AS308" s="554"/>
      <c r="AT308" s="554"/>
      <c r="AU308" s="554"/>
      <c r="AV308" s="201"/>
      <c r="AW308" s="207"/>
      <c r="AX308" s="208"/>
      <c r="AY308" s="208"/>
      <c r="AZ308" s="208"/>
      <c r="BA308" s="208"/>
      <c r="BB308" s="208"/>
      <c r="BC308" s="242"/>
    </row>
    <row r="309" spans="2:55" ht="12.75" customHeight="1">
      <c r="B309" s="260"/>
      <c r="C309" s="176"/>
      <c r="D309" s="176"/>
      <c r="E309" s="176"/>
      <c r="F309" s="176"/>
      <c r="G309" s="213"/>
      <c r="H309" s="256"/>
      <c r="I309" s="237"/>
      <c r="J309" s="554"/>
      <c r="K309" s="554"/>
      <c r="L309" s="554"/>
      <c r="M309" s="554"/>
      <c r="N309" s="554"/>
      <c r="O309" s="554"/>
      <c r="P309" s="554"/>
      <c r="Q309" s="554"/>
      <c r="R309" s="554"/>
      <c r="S309" s="554"/>
      <c r="T309" s="554"/>
      <c r="U309" s="554"/>
      <c r="V309" s="554"/>
      <c r="W309" s="554"/>
      <c r="X309" s="554"/>
      <c r="Y309" s="554"/>
      <c r="Z309" s="554"/>
      <c r="AA309" s="554"/>
      <c r="AB309" s="554"/>
      <c r="AC309" s="554"/>
      <c r="AD309" s="554"/>
      <c r="AE309" s="554"/>
      <c r="AF309" s="554"/>
      <c r="AG309" s="554"/>
      <c r="AH309" s="554"/>
      <c r="AI309" s="554"/>
      <c r="AJ309" s="554"/>
      <c r="AK309" s="554"/>
      <c r="AL309" s="554"/>
      <c r="AM309" s="554"/>
      <c r="AN309" s="554"/>
      <c r="AO309" s="554"/>
      <c r="AP309" s="554"/>
      <c r="AQ309" s="554"/>
      <c r="AR309" s="554"/>
      <c r="AS309" s="554"/>
      <c r="AT309" s="554"/>
      <c r="AU309" s="554"/>
      <c r="AV309" s="201"/>
      <c r="AW309" s="207"/>
      <c r="AX309" s="208"/>
      <c r="AY309" s="208"/>
      <c r="AZ309" s="208"/>
      <c r="BA309" s="208"/>
      <c r="BB309" s="208"/>
      <c r="BC309" s="242"/>
    </row>
    <row r="310" spans="2:55" ht="12.75" customHeight="1">
      <c r="B310" s="260"/>
      <c r="C310" s="176"/>
      <c r="D310" s="176"/>
      <c r="E310" s="176"/>
      <c r="F310" s="176"/>
      <c r="G310" s="213"/>
      <c r="H310" s="256"/>
      <c r="I310" s="237"/>
      <c r="J310" s="554"/>
      <c r="K310" s="554"/>
      <c r="L310" s="554"/>
      <c r="M310" s="554"/>
      <c r="N310" s="554"/>
      <c r="O310" s="554"/>
      <c r="P310" s="554"/>
      <c r="Q310" s="554"/>
      <c r="R310" s="554"/>
      <c r="S310" s="554"/>
      <c r="T310" s="554"/>
      <c r="U310" s="554"/>
      <c r="V310" s="554"/>
      <c r="W310" s="554"/>
      <c r="X310" s="554"/>
      <c r="Y310" s="554"/>
      <c r="Z310" s="554"/>
      <c r="AA310" s="554"/>
      <c r="AB310" s="554"/>
      <c r="AC310" s="554"/>
      <c r="AD310" s="554"/>
      <c r="AE310" s="554"/>
      <c r="AF310" s="554"/>
      <c r="AG310" s="554"/>
      <c r="AH310" s="554"/>
      <c r="AI310" s="554"/>
      <c r="AJ310" s="554"/>
      <c r="AK310" s="554"/>
      <c r="AL310" s="554"/>
      <c r="AM310" s="554"/>
      <c r="AN310" s="554"/>
      <c r="AO310" s="554"/>
      <c r="AP310" s="554"/>
      <c r="AQ310" s="554"/>
      <c r="AR310" s="554"/>
      <c r="AS310" s="554"/>
      <c r="AT310" s="554"/>
      <c r="AU310" s="554"/>
      <c r="AV310" s="201"/>
      <c r="AW310" s="207"/>
      <c r="AX310" s="208"/>
      <c r="AY310" s="208"/>
      <c r="AZ310" s="208"/>
      <c r="BA310" s="208"/>
      <c r="BB310" s="208"/>
      <c r="BC310" s="242"/>
    </row>
    <row r="311" spans="2:55" ht="12.75" customHeight="1">
      <c r="B311" s="260"/>
      <c r="C311" s="176"/>
      <c r="D311" s="176"/>
      <c r="E311" s="176"/>
      <c r="F311" s="176"/>
      <c r="G311" s="213"/>
      <c r="H311" s="256"/>
      <c r="I311" s="237"/>
      <c r="J311" s="554"/>
      <c r="K311" s="554"/>
      <c r="L311" s="554"/>
      <c r="M311" s="554"/>
      <c r="N311" s="554"/>
      <c r="O311" s="554"/>
      <c r="P311" s="554"/>
      <c r="Q311" s="554"/>
      <c r="R311" s="554"/>
      <c r="S311" s="554"/>
      <c r="T311" s="554"/>
      <c r="U311" s="554"/>
      <c r="V311" s="554"/>
      <c r="W311" s="554"/>
      <c r="X311" s="554"/>
      <c r="Y311" s="554"/>
      <c r="Z311" s="554"/>
      <c r="AA311" s="554"/>
      <c r="AB311" s="554"/>
      <c r="AC311" s="554"/>
      <c r="AD311" s="554"/>
      <c r="AE311" s="554"/>
      <c r="AF311" s="554"/>
      <c r="AG311" s="554"/>
      <c r="AH311" s="554"/>
      <c r="AI311" s="554"/>
      <c r="AJ311" s="554"/>
      <c r="AK311" s="554"/>
      <c r="AL311" s="554"/>
      <c r="AM311" s="554"/>
      <c r="AN311" s="554"/>
      <c r="AO311" s="554"/>
      <c r="AP311" s="554"/>
      <c r="AQ311" s="554"/>
      <c r="AR311" s="554"/>
      <c r="AS311" s="554"/>
      <c r="AT311" s="554"/>
      <c r="AU311" s="554"/>
      <c r="AV311" s="201"/>
      <c r="AW311" s="207"/>
      <c r="AX311" s="208"/>
      <c r="AY311" s="208"/>
      <c r="AZ311" s="208"/>
      <c r="BA311" s="208"/>
      <c r="BB311" s="208"/>
      <c r="BC311" s="242"/>
    </row>
    <row r="312" spans="2:55" ht="12.75" customHeight="1">
      <c r="B312" s="260"/>
      <c r="C312" s="176"/>
      <c r="D312" s="176"/>
      <c r="E312" s="176"/>
      <c r="F312" s="176"/>
      <c r="G312" s="213"/>
      <c r="H312" s="256"/>
      <c r="I312" s="237"/>
      <c r="J312" s="554"/>
      <c r="K312" s="554"/>
      <c r="L312" s="554"/>
      <c r="M312" s="554"/>
      <c r="N312" s="554"/>
      <c r="O312" s="554"/>
      <c r="P312" s="554"/>
      <c r="Q312" s="554"/>
      <c r="R312" s="554"/>
      <c r="S312" s="554"/>
      <c r="T312" s="554"/>
      <c r="U312" s="554"/>
      <c r="V312" s="554"/>
      <c r="W312" s="554"/>
      <c r="X312" s="554"/>
      <c r="Y312" s="554"/>
      <c r="Z312" s="554"/>
      <c r="AA312" s="554"/>
      <c r="AB312" s="554"/>
      <c r="AC312" s="554"/>
      <c r="AD312" s="554"/>
      <c r="AE312" s="554"/>
      <c r="AF312" s="554"/>
      <c r="AG312" s="554"/>
      <c r="AH312" s="554"/>
      <c r="AI312" s="554"/>
      <c r="AJ312" s="554"/>
      <c r="AK312" s="554"/>
      <c r="AL312" s="554"/>
      <c r="AM312" s="554"/>
      <c r="AN312" s="554"/>
      <c r="AO312" s="554"/>
      <c r="AP312" s="554"/>
      <c r="AQ312" s="554"/>
      <c r="AR312" s="554"/>
      <c r="AS312" s="554"/>
      <c r="AT312" s="554"/>
      <c r="AU312" s="554"/>
      <c r="AV312" s="201"/>
      <c r="AW312" s="207"/>
      <c r="AX312" s="208"/>
      <c r="AY312" s="208"/>
      <c r="AZ312" s="208"/>
      <c r="BA312" s="208"/>
      <c r="BB312" s="208"/>
      <c r="BC312" s="242"/>
    </row>
    <row r="313" spans="2:55" ht="12.75" customHeight="1">
      <c r="B313" s="260"/>
      <c r="C313" s="176"/>
      <c r="D313" s="176"/>
      <c r="E313" s="176"/>
      <c r="F313" s="176"/>
      <c r="G313" s="213"/>
      <c r="H313" s="256"/>
      <c r="I313" s="237"/>
      <c r="J313" s="554"/>
      <c r="K313" s="554"/>
      <c r="L313" s="554"/>
      <c r="M313" s="554"/>
      <c r="N313" s="554"/>
      <c r="O313" s="554"/>
      <c r="P313" s="554"/>
      <c r="Q313" s="554"/>
      <c r="R313" s="554"/>
      <c r="S313" s="554"/>
      <c r="T313" s="554"/>
      <c r="U313" s="554"/>
      <c r="V313" s="554"/>
      <c r="W313" s="554"/>
      <c r="X313" s="554"/>
      <c r="Y313" s="554"/>
      <c r="Z313" s="554"/>
      <c r="AA313" s="554"/>
      <c r="AB313" s="554"/>
      <c r="AC313" s="554"/>
      <c r="AD313" s="554"/>
      <c r="AE313" s="554"/>
      <c r="AF313" s="554"/>
      <c r="AG313" s="554"/>
      <c r="AH313" s="554"/>
      <c r="AI313" s="554"/>
      <c r="AJ313" s="554"/>
      <c r="AK313" s="554"/>
      <c r="AL313" s="554"/>
      <c r="AM313" s="554"/>
      <c r="AN313" s="554"/>
      <c r="AO313" s="554"/>
      <c r="AP313" s="554"/>
      <c r="AQ313" s="554"/>
      <c r="AR313" s="554"/>
      <c r="AS313" s="554"/>
      <c r="AT313" s="554"/>
      <c r="AU313" s="554"/>
      <c r="AV313" s="201"/>
      <c r="AW313" s="207"/>
      <c r="AX313" s="208"/>
      <c r="AY313" s="208"/>
      <c r="AZ313" s="208"/>
      <c r="BA313" s="208"/>
      <c r="BB313" s="208"/>
      <c r="BC313" s="242"/>
    </row>
    <row r="314" spans="2:55" ht="12.75" customHeight="1">
      <c r="B314" s="260"/>
      <c r="C314" s="176"/>
      <c r="D314" s="176"/>
      <c r="E314" s="176"/>
      <c r="F314" s="176"/>
      <c r="G314" s="213"/>
      <c r="H314" s="256"/>
      <c r="I314" s="237"/>
      <c r="J314" s="554"/>
      <c r="K314" s="554"/>
      <c r="L314" s="554"/>
      <c r="M314" s="554"/>
      <c r="N314" s="554"/>
      <c r="O314" s="554"/>
      <c r="P314" s="554"/>
      <c r="Q314" s="554"/>
      <c r="R314" s="554"/>
      <c r="S314" s="554"/>
      <c r="T314" s="554"/>
      <c r="U314" s="554"/>
      <c r="V314" s="554"/>
      <c r="W314" s="554"/>
      <c r="X314" s="554"/>
      <c r="Y314" s="554"/>
      <c r="Z314" s="554"/>
      <c r="AA314" s="554"/>
      <c r="AB314" s="554"/>
      <c r="AC314" s="554"/>
      <c r="AD314" s="554"/>
      <c r="AE314" s="554"/>
      <c r="AF314" s="554"/>
      <c r="AG314" s="554"/>
      <c r="AH314" s="554"/>
      <c r="AI314" s="554"/>
      <c r="AJ314" s="554"/>
      <c r="AK314" s="554"/>
      <c r="AL314" s="554"/>
      <c r="AM314" s="554"/>
      <c r="AN314" s="554"/>
      <c r="AO314" s="554"/>
      <c r="AP314" s="554"/>
      <c r="AQ314" s="554"/>
      <c r="AR314" s="554"/>
      <c r="AS314" s="554"/>
      <c r="AT314" s="554"/>
      <c r="AU314" s="554"/>
      <c r="AV314" s="201"/>
      <c r="AW314" s="207"/>
      <c r="AX314" s="208"/>
      <c r="AY314" s="208"/>
      <c r="AZ314" s="208"/>
      <c r="BA314" s="208"/>
      <c r="BB314" s="208"/>
      <c r="BC314" s="242"/>
    </row>
    <row r="315" spans="2:55" ht="12.75" customHeight="1">
      <c r="B315" s="260"/>
      <c r="C315" s="176"/>
      <c r="D315" s="176"/>
      <c r="E315" s="176"/>
      <c r="F315" s="176"/>
      <c r="G315" s="213"/>
      <c r="H315" s="256"/>
      <c r="I315" s="237"/>
      <c r="J315" s="554"/>
      <c r="K315" s="554"/>
      <c r="L315" s="554"/>
      <c r="M315" s="554"/>
      <c r="N315" s="554"/>
      <c r="O315" s="554"/>
      <c r="P315" s="554"/>
      <c r="Q315" s="554"/>
      <c r="R315" s="554"/>
      <c r="S315" s="554"/>
      <c r="T315" s="554"/>
      <c r="U315" s="554"/>
      <c r="V315" s="554"/>
      <c r="W315" s="554"/>
      <c r="X315" s="554"/>
      <c r="Y315" s="554"/>
      <c r="Z315" s="554"/>
      <c r="AA315" s="554"/>
      <c r="AB315" s="554"/>
      <c r="AC315" s="554"/>
      <c r="AD315" s="554"/>
      <c r="AE315" s="554"/>
      <c r="AF315" s="554"/>
      <c r="AG315" s="554"/>
      <c r="AH315" s="554"/>
      <c r="AI315" s="554"/>
      <c r="AJ315" s="554"/>
      <c r="AK315" s="554"/>
      <c r="AL315" s="554"/>
      <c r="AM315" s="554"/>
      <c r="AN315" s="554"/>
      <c r="AO315" s="554"/>
      <c r="AP315" s="554"/>
      <c r="AQ315" s="554"/>
      <c r="AR315" s="554"/>
      <c r="AS315" s="554"/>
      <c r="AT315" s="554"/>
      <c r="AU315" s="554"/>
      <c r="AV315" s="201"/>
      <c r="AW315" s="207"/>
      <c r="AX315" s="208"/>
      <c r="AY315" s="208"/>
      <c r="AZ315" s="208"/>
      <c r="BA315" s="208"/>
      <c r="BB315" s="208"/>
      <c r="BC315" s="242"/>
    </row>
    <row r="316" spans="2:55" ht="12.75" customHeight="1">
      <c r="B316" s="260"/>
      <c r="C316" s="176"/>
      <c r="D316" s="176"/>
      <c r="E316" s="176"/>
      <c r="F316" s="176"/>
      <c r="G316" s="213"/>
      <c r="H316" s="256"/>
      <c r="I316" s="237"/>
      <c r="J316" s="554"/>
      <c r="K316" s="554"/>
      <c r="L316" s="554"/>
      <c r="M316" s="554"/>
      <c r="N316" s="554"/>
      <c r="O316" s="554"/>
      <c r="P316" s="554"/>
      <c r="Q316" s="554"/>
      <c r="R316" s="554"/>
      <c r="S316" s="554"/>
      <c r="T316" s="554"/>
      <c r="U316" s="554"/>
      <c r="V316" s="554"/>
      <c r="W316" s="554"/>
      <c r="X316" s="554"/>
      <c r="Y316" s="554"/>
      <c r="Z316" s="554"/>
      <c r="AA316" s="554"/>
      <c r="AB316" s="554"/>
      <c r="AC316" s="554"/>
      <c r="AD316" s="554"/>
      <c r="AE316" s="554"/>
      <c r="AF316" s="554"/>
      <c r="AG316" s="554"/>
      <c r="AH316" s="554"/>
      <c r="AI316" s="554"/>
      <c r="AJ316" s="554"/>
      <c r="AK316" s="554"/>
      <c r="AL316" s="554"/>
      <c r="AM316" s="554"/>
      <c r="AN316" s="554"/>
      <c r="AO316" s="554"/>
      <c r="AP316" s="554"/>
      <c r="AQ316" s="554"/>
      <c r="AR316" s="554"/>
      <c r="AS316" s="554"/>
      <c r="AT316" s="554"/>
      <c r="AU316" s="554"/>
      <c r="AV316" s="201"/>
      <c r="AW316" s="207"/>
      <c r="AX316" s="208"/>
      <c r="AY316" s="208"/>
      <c r="AZ316" s="208"/>
      <c r="BA316" s="208"/>
      <c r="BB316" s="208"/>
      <c r="BC316" s="242"/>
    </row>
    <row r="317" spans="2:55" ht="12.75" customHeight="1">
      <c r="B317" s="260"/>
      <c r="C317" s="176"/>
      <c r="D317" s="176"/>
      <c r="E317" s="176"/>
      <c r="F317" s="176"/>
      <c r="G317" s="213"/>
      <c r="H317" s="256"/>
      <c r="I317" s="237"/>
      <c r="J317" s="554"/>
      <c r="K317" s="554"/>
      <c r="L317" s="554"/>
      <c r="M317" s="554"/>
      <c r="N317" s="554"/>
      <c r="O317" s="554"/>
      <c r="P317" s="554"/>
      <c r="Q317" s="554"/>
      <c r="R317" s="554"/>
      <c r="S317" s="554"/>
      <c r="T317" s="554"/>
      <c r="U317" s="554"/>
      <c r="V317" s="554"/>
      <c r="W317" s="554"/>
      <c r="X317" s="554"/>
      <c r="Y317" s="554"/>
      <c r="Z317" s="554"/>
      <c r="AA317" s="554"/>
      <c r="AB317" s="554"/>
      <c r="AC317" s="554"/>
      <c r="AD317" s="554"/>
      <c r="AE317" s="554"/>
      <c r="AF317" s="554"/>
      <c r="AG317" s="554"/>
      <c r="AH317" s="554"/>
      <c r="AI317" s="554"/>
      <c r="AJ317" s="554"/>
      <c r="AK317" s="554"/>
      <c r="AL317" s="554"/>
      <c r="AM317" s="554"/>
      <c r="AN317" s="554"/>
      <c r="AO317" s="554"/>
      <c r="AP317" s="554"/>
      <c r="AQ317" s="554"/>
      <c r="AR317" s="554"/>
      <c r="AS317" s="554"/>
      <c r="AT317" s="554"/>
      <c r="AU317" s="554"/>
      <c r="AV317" s="201"/>
      <c r="AW317" s="207"/>
      <c r="AX317" s="208"/>
      <c r="AY317" s="208"/>
      <c r="AZ317" s="208"/>
      <c r="BA317" s="208"/>
      <c r="BB317" s="208"/>
      <c r="BC317" s="242"/>
    </row>
    <row r="318" spans="2:55" ht="12.75" customHeight="1">
      <c r="B318" s="260"/>
      <c r="C318" s="176"/>
      <c r="D318" s="176"/>
      <c r="E318" s="176"/>
      <c r="F318" s="176"/>
      <c r="G318" s="213"/>
      <c r="H318" s="256"/>
      <c r="I318" s="237"/>
      <c r="J318" s="554"/>
      <c r="K318" s="554"/>
      <c r="L318" s="554"/>
      <c r="M318" s="554"/>
      <c r="N318" s="554"/>
      <c r="O318" s="554"/>
      <c r="P318" s="554"/>
      <c r="Q318" s="554"/>
      <c r="R318" s="554"/>
      <c r="S318" s="554"/>
      <c r="T318" s="554"/>
      <c r="U318" s="554"/>
      <c r="V318" s="554"/>
      <c r="W318" s="554"/>
      <c r="X318" s="554"/>
      <c r="Y318" s="554"/>
      <c r="Z318" s="554"/>
      <c r="AA318" s="554"/>
      <c r="AB318" s="554"/>
      <c r="AC318" s="554"/>
      <c r="AD318" s="554"/>
      <c r="AE318" s="554"/>
      <c r="AF318" s="554"/>
      <c r="AG318" s="554"/>
      <c r="AH318" s="554"/>
      <c r="AI318" s="554"/>
      <c r="AJ318" s="554"/>
      <c r="AK318" s="554"/>
      <c r="AL318" s="554"/>
      <c r="AM318" s="554"/>
      <c r="AN318" s="554"/>
      <c r="AO318" s="554"/>
      <c r="AP318" s="554"/>
      <c r="AQ318" s="554"/>
      <c r="AR318" s="554"/>
      <c r="AS318" s="554"/>
      <c r="AT318" s="554"/>
      <c r="AU318" s="554"/>
      <c r="AV318" s="201"/>
      <c r="AW318" s="207"/>
      <c r="AX318" s="208"/>
      <c r="AY318" s="208"/>
      <c r="AZ318" s="208"/>
      <c r="BA318" s="208"/>
      <c r="BB318" s="208"/>
      <c r="BC318" s="242"/>
    </row>
    <row r="319" spans="2:55" ht="12.75" customHeight="1">
      <c r="B319" s="260"/>
      <c r="C319" s="176"/>
      <c r="D319" s="176"/>
      <c r="E319" s="176"/>
      <c r="F319" s="176"/>
      <c r="G319" s="213"/>
      <c r="H319" s="256"/>
      <c r="I319" s="237"/>
      <c r="J319" s="554"/>
      <c r="K319" s="554"/>
      <c r="L319" s="554"/>
      <c r="M319" s="554"/>
      <c r="N319" s="554"/>
      <c r="O319" s="554"/>
      <c r="P319" s="554"/>
      <c r="Q319" s="554"/>
      <c r="R319" s="554"/>
      <c r="S319" s="554"/>
      <c r="T319" s="554"/>
      <c r="U319" s="554"/>
      <c r="V319" s="554"/>
      <c r="W319" s="554"/>
      <c r="X319" s="554"/>
      <c r="Y319" s="554"/>
      <c r="Z319" s="554"/>
      <c r="AA319" s="554"/>
      <c r="AB319" s="554"/>
      <c r="AC319" s="554"/>
      <c r="AD319" s="554"/>
      <c r="AE319" s="554"/>
      <c r="AF319" s="554"/>
      <c r="AG319" s="554"/>
      <c r="AH319" s="554"/>
      <c r="AI319" s="554"/>
      <c r="AJ319" s="554"/>
      <c r="AK319" s="554"/>
      <c r="AL319" s="554"/>
      <c r="AM319" s="554"/>
      <c r="AN319" s="554"/>
      <c r="AO319" s="554"/>
      <c r="AP319" s="554"/>
      <c r="AQ319" s="554"/>
      <c r="AR319" s="554"/>
      <c r="AS319" s="554"/>
      <c r="AT319" s="554"/>
      <c r="AU319" s="554"/>
      <c r="AV319" s="201"/>
      <c r="AW319" s="207"/>
      <c r="AX319" s="208"/>
      <c r="AY319" s="208"/>
      <c r="AZ319" s="208"/>
      <c r="BA319" s="208"/>
      <c r="BB319" s="208"/>
      <c r="BC319" s="242"/>
    </row>
    <row r="320" spans="2:55" ht="12.75" customHeight="1">
      <c r="B320" s="260"/>
      <c r="C320" s="176"/>
      <c r="D320" s="176"/>
      <c r="E320" s="176"/>
      <c r="F320" s="176"/>
      <c r="G320" s="213"/>
      <c r="H320" s="256"/>
      <c r="I320" s="237"/>
      <c r="J320" s="554"/>
      <c r="K320" s="554"/>
      <c r="L320" s="554"/>
      <c r="M320" s="554"/>
      <c r="N320" s="554"/>
      <c r="O320" s="554"/>
      <c r="P320" s="554"/>
      <c r="Q320" s="554"/>
      <c r="R320" s="554"/>
      <c r="S320" s="554"/>
      <c r="T320" s="554"/>
      <c r="U320" s="554"/>
      <c r="V320" s="554"/>
      <c r="W320" s="554"/>
      <c r="X320" s="554"/>
      <c r="Y320" s="554"/>
      <c r="Z320" s="554"/>
      <c r="AA320" s="554"/>
      <c r="AB320" s="554"/>
      <c r="AC320" s="554"/>
      <c r="AD320" s="554"/>
      <c r="AE320" s="554"/>
      <c r="AF320" s="554"/>
      <c r="AG320" s="554"/>
      <c r="AH320" s="554"/>
      <c r="AI320" s="554"/>
      <c r="AJ320" s="554"/>
      <c r="AK320" s="554"/>
      <c r="AL320" s="554"/>
      <c r="AM320" s="554"/>
      <c r="AN320" s="554"/>
      <c r="AO320" s="554"/>
      <c r="AP320" s="554"/>
      <c r="AQ320" s="554"/>
      <c r="AR320" s="554"/>
      <c r="AS320" s="554"/>
      <c r="AT320" s="554"/>
      <c r="AU320" s="554"/>
      <c r="AV320" s="201"/>
      <c r="AW320" s="207"/>
      <c r="AX320" s="208"/>
      <c r="AY320" s="208"/>
      <c r="AZ320" s="208"/>
      <c r="BA320" s="208"/>
      <c r="BB320" s="208"/>
      <c r="BC320" s="242"/>
    </row>
    <row r="321" spans="2:55" ht="12.75" customHeight="1">
      <c r="B321" s="260"/>
      <c r="C321" s="176"/>
      <c r="D321" s="176"/>
      <c r="E321" s="176"/>
      <c r="F321" s="176"/>
      <c r="G321" s="213"/>
      <c r="H321" s="256"/>
      <c r="I321" s="237"/>
      <c r="J321" s="554"/>
      <c r="K321" s="554"/>
      <c r="L321" s="554"/>
      <c r="M321" s="554"/>
      <c r="N321" s="554"/>
      <c r="O321" s="554"/>
      <c r="P321" s="554"/>
      <c r="Q321" s="554"/>
      <c r="R321" s="554"/>
      <c r="S321" s="554"/>
      <c r="T321" s="554"/>
      <c r="U321" s="554"/>
      <c r="V321" s="554"/>
      <c r="W321" s="554"/>
      <c r="X321" s="554"/>
      <c r="Y321" s="554"/>
      <c r="Z321" s="554"/>
      <c r="AA321" s="554"/>
      <c r="AB321" s="554"/>
      <c r="AC321" s="554"/>
      <c r="AD321" s="554"/>
      <c r="AE321" s="554"/>
      <c r="AF321" s="554"/>
      <c r="AG321" s="554"/>
      <c r="AH321" s="554"/>
      <c r="AI321" s="554"/>
      <c r="AJ321" s="554"/>
      <c r="AK321" s="554"/>
      <c r="AL321" s="554"/>
      <c r="AM321" s="554"/>
      <c r="AN321" s="554"/>
      <c r="AO321" s="554"/>
      <c r="AP321" s="554"/>
      <c r="AQ321" s="554"/>
      <c r="AR321" s="554"/>
      <c r="AS321" s="554"/>
      <c r="AT321" s="554"/>
      <c r="AU321" s="554"/>
      <c r="AV321" s="201"/>
      <c r="AW321" s="207"/>
      <c r="AX321" s="208"/>
      <c r="AY321" s="208"/>
      <c r="AZ321" s="208"/>
      <c r="BA321" s="208"/>
      <c r="BB321" s="208"/>
      <c r="BC321" s="242"/>
    </row>
    <row r="322" spans="2:55" ht="12.75" customHeight="1">
      <c r="B322" s="260"/>
      <c r="C322" s="176"/>
      <c r="D322" s="176"/>
      <c r="E322" s="176"/>
      <c r="F322" s="176"/>
      <c r="G322" s="213"/>
      <c r="H322" s="256"/>
      <c r="I322" s="237"/>
      <c r="J322" s="554"/>
      <c r="K322" s="554"/>
      <c r="L322" s="554"/>
      <c r="M322" s="554"/>
      <c r="N322" s="554"/>
      <c r="O322" s="554"/>
      <c r="P322" s="554"/>
      <c r="Q322" s="554"/>
      <c r="R322" s="554"/>
      <c r="S322" s="554"/>
      <c r="T322" s="554"/>
      <c r="U322" s="554"/>
      <c r="V322" s="554"/>
      <c r="W322" s="554"/>
      <c r="X322" s="554"/>
      <c r="Y322" s="554"/>
      <c r="Z322" s="554"/>
      <c r="AA322" s="554"/>
      <c r="AB322" s="554"/>
      <c r="AC322" s="554"/>
      <c r="AD322" s="554"/>
      <c r="AE322" s="554"/>
      <c r="AF322" s="554"/>
      <c r="AG322" s="554"/>
      <c r="AH322" s="554"/>
      <c r="AI322" s="554"/>
      <c r="AJ322" s="554"/>
      <c r="AK322" s="554"/>
      <c r="AL322" s="554"/>
      <c r="AM322" s="554"/>
      <c r="AN322" s="554"/>
      <c r="AO322" s="554"/>
      <c r="AP322" s="554"/>
      <c r="AQ322" s="554"/>
      <c r="AR322" s="554"/>
      <c r="AS322" s="554"/>
      <c r="AT322" s="554"/>
      <c r="AU322" s="554"/>
      <c r="AV322" s="201"/>
      <c r="AW322" s="207"/>
      <c r="AX322" s="208"/>
      <c r="AY322" s="208"/>
      <c r="AZ322" s="208"/>
      <c r="BA322" s="208"/>
      <c r="BB322" s="208"/>
      <c r="BC322" s="242"/>
    </row>
    <row r="323" spans="2:55" ht="12.75" customHeight="1">
      <c r="B323" s="260"/>
      <c r="C323" s="176"/>
      <c r="D323" s="176"/>
      <c r="E323" s="176"/>
      <c r="F323" s="176"/>
      <c r="G323" s="213"/>
      <c r="H323" s="256"/>
      <c r="I323" s="237"/>
      <c r="J323" s="180"/>
      <c r="K323" s="180"/>
      <c r="L323" s="180"/>
      <c r="M323" s="180"/>
      <c r="N323" s="180"/>
      <c r="O323" s="180"/>
      <c r="P323" s="180"/>
      <c r="Q323" s="214"/>
      <c r="R323" s="180"/>
      <c r="S323" s="180"/>
      <c r="T323" s="215"/>
      <c r="U323" s="180"/>
      <c r="V323" s="180"/>
      <c r="W323" s="180"/>
      <c r="X323" s="180"/>
      <c r="Y323" s="214"/>
      <c r="Z323" s="214"/>
      <c r="AA323" s="214"/>
      <c r="AB323" s="214"/>
      <c r="AC323" s="214"/>
      <c r="AD323" s="214"/>
      <c r="AE323" s="214"/>
      <c r="AF323" s="214"/>
      <c r="AG323" s="180"/>
      <c r="AH323" s="180"/>
      <c r="AI323" s="180"/>
      <c r="AJ323" s="180"/>
      <c r="AK323" s="180"/>
      <c r="AL323" s="180"/>
      <c r="AM323" s="245"/>
      <c r="AN323" s="245"/>
      <c r="AO323" s="180"/>
      <c r="AP323" s="180"/>
      <c r="AQ323" s="180"/>
      <c r="AR323" s="180"/>
      <c r="AS323" s="180"/>
      <c r="AT323" s="180"/>
      <c r="AU323" s="180"/>
      <c r="AV323" s="201"/>
      <c r="AW323" s="207"/>
      <c r="AX323" s="208"/>
      <c r="AY323" s="208"/>
      <c r="AZ323" s="208"/>
      <c r="BA323" s="208"/>
      <c r="BB323" s="208"/>
      <c r="BC323" s="242"/>
    </row>
    <row r="324" spans="2:55" ht="12.75" customHeight="1">
      <c r="B324" s="540" t="s">
        <v>103</v>
      </c>
      <c r="C324" s="541"/>
      <c r="D324" s="541"/>
      <c r="E324" s="541"/>
      <c r="F324" s="541"/>
      <c r="G324" s="541"/>
      <c r="H324" s="542"/>
      <c r="I324" s="237"/>
      <c r="J324" s="213" t="s">
        <v>228</v>
      </c>
      <c r="K324" s="213"/>
      <c r="L324" s="213"/>
      <c r="M324" s="213"/>
      <c r="N324" s="213"/>
      <c r="O324" s="213"/>
      <c r="P324" s="213"/>
      <c r="Q324" s="213"/>
      <c r="R324" s="213"/>
      <c r="S324" s="213"/>
      <c r="T324" s="208"/>
      <c r="U324" s="208"/>
      <c r="V324" s="208"/>
      <c r="W324" s="176"/>
      <c r="X324" s="176"/>
      <c r="Y324" s="208"/>
      <c r="Z324" s="176"/>
      <c r="AA324" s="176"/>
      <c r="AB324" s="176"/>
      <c r="AC324" s="176"/>
      <c r="AD324" s="176"/>
      <c r="AE324" s="176"/>
      <c r="AF324" s="176"/>
      <c r="AG324" s="176"/>
      <c r="AH324" s="176"/>
      <c r="AI324" s="176"/>
      <c r="AJ324" s="176"/>
      <c r="AK324" s="176"/>
      <c r="AL324" s="176"/>
      <c r="AM324" s="176"/>
      <c r="AN324" s="176"/>
      <c r="AO324" s="180"/>
      <c r="AP324" s="180"/>
      <c r="AQ324" s="243" t="s">
        <v>95</v>
      </c>
      <c r="AR324" s="491">
        <f>V151</f>
        <v>30</v>
      </c>
      <c r="AS324" s="491"/>
      <c r="AT324" s="491"/>
      <c r="AU324" s="491"/>
      <c r="AV324" s="492"/>
      <c r="AW324" s="207"/>
      <c r="AX324" s="208"/>
      <c r="AY324" s="208"/>
      <c r="AZ324" s="208"/>
      <c r="BA324" s="208"/>
      <c r="BB324" s="208"/>
      <c r="BC324" s="242"/>
    </row>
    <row r="325" spans="2:55" ht="12.75" customHeight="1">
      <c r="B325" s="260"/>
      <c r="C325" s="176"/>
      <c r="D325" s="176"/>
      <c r="E325" s="176"/>
      <c r="F325" s="176"/>
      <c r="G325" s="213"/>
      <c r="H325" s="256"/>
      <c r="I325" s="237"/>
      <c r="J325" s="494" t="s">
        <v>105</v>
      </c>
      <c r="K325" s="494"/>
      <c r="L325" s="494"/>
      <c r="M325" s="494"/>
      <c r="N325" s="494"/>
      <c r="O325" s="494"/>
      <c r="P325" s="494"/>
      <c r="Q325" s="494"/>
      <c r="R325" s="494"/>
      <c r="S325" s="494"/>
      <c r="T325" s="208"/>
      <c r="U325" s="208"/>
      <c r="V325" s="208"/>
      <c r="W325" s="176"/>
      <c r="X325" s="176"/>
      <c r="Y325" s="273"/>
      <c r="Z325" s="176"/>
      <c r="AA325" s="176"/>
      <c r="AB325" s="176"/>
      <c r="AC325" s="176"/>
      <c r="AD325" s="176"/>
      <c r="AE325" s="176"/>
      <c r="AF325" s="176"/>
      <c r="AG325" s="176"/>
      <c r="AH325" s="176"/>
      <c r="AI325" s="176"/>
      <c r="AJ325" s="176"/>
      <c r="AK325" s="176"/>
      <c r="AL325" s="176"/>
      <c r="AM325" s="176"/>
      <c r="AN325" s="176"/>
      <c r="AO325" s="180"/>
      <c r="AP325" s="180"/>
      <c r="AQ325" s="243" t="s">
        <v>95</v>
      </c>
      <c r="AR325" s="402">
        <f>V153</f>
        <v>5.61</v>
      </c>
      <c r="AS325" s="402"/>
      <c r="AT325" s="402"/>
      <c r="AU325" s="402"/>
      <c r="AV325" s="493"/>
      <c r="AW325" s="207"/>
      <c r="AX325" s="208"/>
      <c r="AY325" s="208"/>
      <c r="AZ325" s="208"/>
      <c r="BA325" s="208"/>
      <c r="BB325" s="208"/>
      <c r="BC325" s="242"/>
    </row>
    <row r="326" spans="2:55" ht="12.75" customHeight="1">
      <c r="B326" s="545" t="s">
        <v>104</v>
      </c>
      <c r="C326" s="546"/>
      <c r="D326" s="546"/>
      <c r="E326" s="546"/>
      <c r="F326" s="546"/>
      <c r="G326" s="546"/>
      <c r="H326" s="547"/>
      <c r="I326" s="237"/>
      <c r="J326" s="213" t="s">
        <v>106</v>
      </c>
      <c r="K326" s="213"/>
      <c r="L326" s="213"/>
      <c r="M326" s="213"/>
      <c r="N326" s="213"/>
      <c r="O326" s="213"/>
      <c r="P326" s="213"/>
      <c r="Q326" s="213"/>
      <c r="R326" s="213"/>
      <c r="S326" s="213"/>
      <c r="T326" s="208"/>
      <c r="U326" s="208"/>
      <c r="V326" s="208"/>
      <c r="W326" s="176"/>
      <c r="X326" s="176"/>
      <c r="Y326" s="273"/>
      <c r="Z326" s="176"/>
      <c r="AA326" s="176"/>
      <c r="AB326" s="176"/>
      <c r="AC326" s="176"/>
      <c r="AD326" s="176"/>
      <c r="AE326" s="176"/>
      <c r="AF326" s="176"/>
      <c r="AG326" s="176"/>
      <c r="AH326" s="176"/>
      <c r="AI326" s="176"/>
      <c r="AJ326" s="176"/>
      <c r="AK326" s="176"/>
      <c r="AL326" s="176"/>
      <c r="AM326" s="176"/>
      <c r="AN326" s="176"/>
      <c r="AO326" s="180"/>
      <c r="AP326" s="180"/>
      <c r="AQ326" s="243" t="s">
        <v>95</v>
      </c>
      <c r="AR326" s="402">
        <f>V154</f>
        <v>2.81</v>
      </c>
      <c r="AS326" s="402"/>
      <c r="AT326" s="402"/>
      <c r="AU326" s="402"/>
      <c r="AV326" s="493"/>
      <c r="AW326" s="207"/>
      <c r="AX326" s="208"/>
      <c r="AY326" s="208"/>
      <c r="AZ326" s="208"/>
      <c r="BA326" s="208"/>
      <c r="BB326" s="208"/>
      <c r="BC326" s="242"/>
    </row>
    <row r="327" spans="2:55" ht="12.75" customHeight="1">
      <c r="B327" s="548"/>
      <c r="C327" s="549"/>
      <c r="D327" s="549"/>
      <c r="E327" s="549"/>
      <c r="F327" s="549"/>
      <c r="G327" s="549"/>
      <c r="H327" s="550"/>
      <c r="I327" s="237"/>
      <c r="J327" s="176"/>
      <c r="K327" s="176"/>
      <c r="L327" s="176"/>
      <c r="M327" s="176"/>
      <c r="N327" s="176"/>
      <c r="O327" s="176"/>
      <c r="P327" s="176"/>
      <c r="Q327" s="176"/>
      <c r="R327" s="176"/>
      <c r="S327" s="176"/>
      <c r="T327" s="208"/>
      <c r="U327" s="208"/>
      <c r="V327" s="208"/>
      <c r="W327" s="176"/>
      <c r="X327" s="176"/>
      <c r="Y327" s="176"/>
      <c r="Z327" s="176"/>
      <c r="AA327" s="176"/>
      <c r="AB327" s="176"/>
      <c r="AC327" s="176"/>
      <c r="AD327" s="176"/>
      <c r="AE327" s="176"/>
      <c r="AF327" s="176"/>
      <c r="AG327" s="176"/>
      <c r="AH327" s="176"/>
      <c r="AI327" s="176"/>
      <c r="AJ327" s="176"/>
      <c r="AK327" s="176"/>
      <c r="AL327" s="176"/>
      <c r="AM327" s="176"/>
      <c r="AN327" s="176"/>
      <c r="AO327" s="180"/>
      <c r="AP327" s="180"/>
      <c r="AQ327" s="180"/>
      <c r="AR327" s="180"/>
      <c r="AS327" s="180"/>
      <c r="AT327" s="180"/>
      <c r="AU327" s="180"/>
      <c r="AV327" s="201"/>
      <c r="AW327" s="207"/>
      <c r="AX327" s="208"/>
      <c r="AY327" s="208"/>
      <c r="AZ327" s="208"/>
      <c r="BA327" s="208"/>
      <c r="BB327" s="208"/>
      <c r="BC327" s="242"/>
    </row>
    <row r="328" spans="2:55" ht="12.75" customHeight="1">
      <c r="B328" s="551"/>
      <c r="C328" s="552"/>
      <c r="D328" s="552"/>
      <c r="E328" s="552"/>
      <c r="F328" s="552"/>
      <c r="G328" s="552"/>
      <c r="H328" s="553"/>
      <c r="I328" s="237"/>
      <c r="J328" s="213" t="s">
        <v>257</v>
      </c>
      <c r="K328" s="213"/>
      <c r="L328" s="213"/>
      <c r="M328" s="213"/>
      <c r="N328" s="213"/>
      <c r="O328" s="213"/>
      <c r="P328" s="213"/>
      <c r="Q328" s="213"/>
      <c r="R328" s="213"/>
      <c r="S328" s="213"/>
      <c r="T328" s="213"/>
      <c r="U328" s="213"/>
      <c r="V328" s="213"/>
      <c r="W328" s="213"/>
      <c r="X328" s="176"/>
      <c r="Y328" s="176"/>
      <c r="Z328" s="588">
        <f>V151</f>
        <v>30</v>
      </c>
      <c r="AA328" s="588"/>
      <c r="AB328" s="588"/>
      <c r="AC328" s="247" t="s">
        <v>97</v>
      </c>
      <c r="AD328" s="236"/>
      <c r="AE328" s="400">
        <v>9.81</v>
      </c>
      <c r="AF328" s="400"/>
      <c r="AG328" s="400"/>
      <c r="AH328" s="189"/>
      <c r="AI328" s="189"/>
      <c r="AJ328" s="189"/>
      <c r="AK328" s="279"/>
      <c r="AL328" s="279"/>
      <c r="AM328" s="273"/>
      <c r="AN328" s="176"/>
      <c r="AO328" s="180"/>
      <c r="AP328" s="180"/>
      <c r="AQ328" s="176" t="s">
        <v>95</v>
      </c>
      <c r="AR328" s="385">
        <f>(AE328*Z328)/(Z329*AE329)</f>
        <v>18.669001084743183</v>
      </c>
      <c r="AS328" s="385"/>
      <c r="AT328" s="385"/>
      <c r="AU328" s="385"/>
      <c r="AV328" s="488"/>
      <c r="AW328" s="207"/>
      <c r="AX328" s="208"/>
      <c r="AY328" s="208"/>
      <c r="AZ328" s="208"/>
      <c r="BA328" s="208"/>
      <c r="BB328" s="208"/>
      <c r="BC328" s="242"/>
    </row>
    <row r="329" spans="2:55" ht="12.75" customHeight="1">
      <c r="B329" s="260"/>
      <c r="C329" s="176"/>
      <c r="D329" s="176"/>
      <c r="E329" s="176"/>
      <c r="F329" s="176"/>
      <c r="G329" s="213"/>
      <c r="H329" s="256"/>
      <c r="I329" s="237"/>
      <c r="J329" s="273"/>
      <c r="K329" s="273"/>
      <c r="L329" s="273"/>
      <c r="M329" s="273"/>
      <c r="N329" s="273"/>
      <c r="O329" s="273"/>
      <c r="P329" s="273"/>
      <c r="Q329" s="273"/>
      <c r="R329" s="273"/>
      <c r="S329" s="273"/>
      <c r="T329" s="273"/>
      <c r="U329" s="273"/>
      <c r="V329" s="273"/>
      <c r="W329" s="273"/>
      <c r="X329" s="208"/>
      <c r="Y329" s="208"/>
      <c r="Z329" s="589">
        <f>AN85</f>
        <v>5.61</v>
      </c>
      <c r="AA329" s="589"/>
      <c r="AB329" s="589"/>
      <c r="AC329" s="176" t="s">
        <v>97</v>
      </c>
      <c r="AD329" s="208"/>
      <c r="AE329" s="402">
        <f>AR326</f>
        <v>2.81</v>
      </c>
      <c r="AF329" s="402"/>
      <c r="AG329" s="402"/>
      <c r="AH329" s="280"/>
      <c r="AI329" s="176"/>
      <c r="AJ329" s="281"/>
      <c r="AK329" s="281"/>
      <c r="AL329" s="281"/>
      <c r="AM329" s="273"/>
      <c r="AN329" s="176"/>
      <c r="AO329" s="180"/>
      <c r="AP329" s="180"/>
      <c r="AQ329" s="180"/>
      <c r="AR329" s="180"/>
      <c r="AS329" s="180"/>
      <c r="AT329" s="180"/>
      <c r="AU329" s="180"/>
      <c r="AV329" s="201"/>
      <c r="AW329" s="207"/>
      <c r="AX329" s="208"/>
      <c r="AY329" s="208"/>
      <c r="AZ329" s="208"/>
      <c r="BA329" s="208"/>
      <c r="BB329" s="208"/>
      <c r="BC329" s="242"/>
    </row>
    <row r="330" spans="2:55" ht="12.75" customHeight="1">
      <c r="B330" s="260"/>
      <c r="C330" s="176"/>
      <c r="D330" s="176"/>
      <c r="E330" s="176"/>
      <c r="F330" s="176"/>
      <c r="G330" s="213"/>
      <c r="H330" s="256"/>
      <c r="I330" s="237"/>
      <c r="J330" s="213"/>
      <c r="K330" s="213"/>
      <c r="L330" s="213"/>
      <c r="M330" s="213"/>
      <c r="N330" s="213"/>
      <c r="O330" s="213"/>
      <c r="P330" s="213"/>
      <c r="Q330" s="213"/>
      <c r="R330" s="213"/>
      <c r="S330" s="213"/>
      <c r="T330" s="282"/>
      <c r="U330" s="282"/>
      <c r="V330" s="282"/>
      <c r="W330" s="176"/>
      <c r="X330" s="176"/>
      <c r="Y330" s="273"/>
      <c r="Z330" s="176"/>
      <c r="AA330" s="176"/>
      <c r="AB330" s="176"/>
      <c r="AC330" s="176"/>
      <c r="AD330" s="176"/>
      <c r="AE330" s="176"/>
      <c r="AF330" s="176"/>
      <c r="AG330" s="208"/>
      <c r="AH330" s="208"/>
      <c r="AI330" s="176"/>
      <c r="AJ330" s="176"/>
      <c r="AK330" s="176"/>
      <c r="AL330" s="176"/>
      <c r="AM330" s="176"/>
      <c r="AN330" s="176"/>
      <c r="AO330" s="180"/>
      <c r="AP330" s="180"/>
      <c r="AQ330" s="180"/>
      <c r="AR330" s="180"/>
      <c r="AS330" s="180"/>
      <c r="AT330" s="180"/>
      <c r="AU330" s="180"/>
      <c r="AV330" s="201"/>
      <c r="AW330" s="207"/>
      <c r="AX330" s="208"/>
      <c r="AY330" s="208"/>
      <c r="AZ330" s="208"/>
      <c r="BA330" s="208"/>
      <c r="BB330" s="208"/>
      <c r="BC330" s="242"/>
    </row>
    <row r="331" spans="2:55" ht="12.75" customHeight="1">
      <c r="B331" s="260"/>
      <c r="C331" s="176"/>
      <c r="D331" s="176"/>
      <c r="E331" s="176"/>
      <c r="F331" s="176"/>
      <c r="G331" s="213"/>
      <c r="H331" s="256"/>
      <c r="I331" s="237"/>
      <c r="J331" s="176"/>
      <c r="K331" s="176"/>
      <c r="L331" s="176"/>
      <c r="M331" s="176"/>
      <c r="N331" s="176"/>
      <c r="O331" s="176"/>
      <c r="P331" s="176"/>
      <c r="Q331" s="176"/>
      <c r="R331" s="176"/>
      <c r="S331" s="176"/>
      <c r="T331" s="176"/>
      <c r="U331" s="176"/>
      <c r="V331" s="176"/>
      <c r="W331" s="176"/>
      <c r="X331" s="176"/>
      <c r="Y331" s="176"/>
      <c r="Z331" s="176"/>
      <c r="AA331" s="176"/>
      <c r="AB331" s="176"/>
      <c r="AC331" s="176"/>
      <c r="AD331" s="176"/>
      <c r="AE331" s="176"/>
      <c r="AF331" s="176"/>
      <c r="AG331" s="176"/>
      <c r="AH331" s="176"/>
      <c r="AI331" s="176"/>
      <c r="AJ331" s="176"/>
      <c r="AK331" s="176"/>
      <c r="AL331" s="176"/>
      <c r="AM331" s="176"/>
      <c r="AN331" s="176"/>
      <c r="AO331" s="180"/>
      <c r="AP331" s="180"/>
      <c r="AQ331" s="180"/>
      <c r="AR331" s="180"/>
      <c r="AS331" s="180"/>
      <c r="AT331" s="180"/>
      <c r="AU331" s="180"/>
      <c r="AV331" s="201"/>
      <c r="AW331" s="207"/>
      <c r="AX331" s="208"/>
      <c r="AY331" s="208"/>
      <c r="AZ331" s="208"/>
      <c r="BA331" s="208"/>
      <c r="BB331" s="208"/>
      <c r="BC331" s="242"/>
    </row>
    <row r="332" spans="2:55" ht="12.75" customHeight="1">
      <c r="B332" s="260"/>
      <c r="C332" s="176"/>
      <c r="D332" s="176"/>
      <c r="E332" s="176"/>
      <c r="F332" s="176"/>
      <c r="G332" s="213"/>
      <c r="H332" s="256"/>
      <c r="I332" s="237"/>
      <c r="J332" s="208"/>
      <c r="K332" s="208"/>
      <c r="L332" s="208"/>
      <c r="M332" s="208"/>
      <c r="N332" s="208"/>
      <c r="O332" s="208"/>
      <c r="P332" s="208"/>
      <c r="Q332" s="208"/>
      <c r="R332" s="208"/>
      <c r="S332" s="208"/>
      <c r="T332" s="208"/>
      <c r="U332" s="208"/>
      <c r="V332" s="208"/>
      <c r="W332" s="208"/>
      <c r="X332" s="208"/>
      <c r="Y332" s="208"/>
      <c r="Z332" s="208"/>
      <c r="AA332" s="208"/>
      <c r="AB332" s="208"/>
      <c r="AC332" s="208"/>
      <c r="AD332" s="208"/>
      <c r="AE332" s="208"/>
      <c r="AF332" s="208"/>
      <c r="AG332" s="208"/>
      <c r="AH332" s="208"/>
      <c r="AI332" s="208"/>
      <c r="AJ332" s="208"/>
      <c r="AK332" s="208"/>
      <c r="AL332" s="208"/>
      <c r="AM332" s="208"/>
      <c r="AN332" s="208"/>
      <c r="AO332" s="208"/>
      <c r="AP332" s="208"/>
      <c r="AQ332" s="208"/>
      <c r="AR332" s="208"/>
      <c r="AS332" s="208"/>
      <c r="AT332" s="208"/>
      <c r="AU332" s="208"/>
      <c r="AV332" s="242"/>
      <c r="AW332" s="207"/>
      <c r="AX332" s="208"/>
      <c r="AY332" s="208"/>
      <c r="AZ332" s="208"/>
      <c r="BA332" s="208"/>
      <c r="BB332" s="208"/>
      <c r="BC332" s="242"/>
    </row>
    <row r="333" spans="2:55" ht="12.75" customHeight="1">
      <c r="B333" s="260"/>
      <c r="C333" s="176"/>
      <c r="D333" s="176"/>
      <c r="E333" s="176"/>
      <c r="F333" s="176"/>
      <c r="G333" s="213"/>
      <c r="H333" s="256"/>
      <c r="I333" s="237"/>
      <c r="J333" s="208"/>
      <c r="K333" s="208"/>
      <c r="L333" s="208"/>
      <c r="M333" s="208"/>
      <c r="N333" s="208"/>
      <c r="O333" s="208"/>
      <c r="P333" s="208"/>
      <c r="Q333" s="208"/>
      <c r="R333" s="208"/>
      <c r="S333" s="208"/>
      <c r="T333" s="208"/>
      <c r="U333" s="208"/>
      <c r="V333" s="208"/>
      <c r="W333" s="208"/>
      <c r="X333" s="208"/>
      <c r="Y333" s="208"/>
      <c r="Z333" s="208"/>
      <c r="AA333" s="208"/>
      <c r="AB333" s="208"/>
      <c r="AC333" s="208"/>
      <c r="AD333" s="208"/>
      <c r="AE333" s="208"/>
      <c r="AF333" s="208"/>
      <c r="AG333" s="208"/>
      <c r="AH333" s="208"/>
      <c r="AI333" s="208"/>
      <c r="AJ333" s="208"/>
      <c r="AK333" s="208"/>
      <c r="AL333" s="208"/>
      <c r="AM333" s="208"/>
      <c r="AN333" s="208"/>
      <c r="AO333" s="208"/>
      <c r="AP333" s="208"/>
      <c r="AQ333" s="208"/>
      <c r="AR333" s="208"/>
      <c r="AS333" s="208"/>
      <c r="AT333" s="208"/>
      <c r="AU333" s="208"/>
      <c r="AV333" s="242"/>
      <c r="AW333" s="207"/>
      <c r="AX333" s="208"/>
      <c r="AY333" s="208"/>
      <c r="AZ333" s="208"/>
      <c r="BA333" s="208"/>
      <c r="BB333" s="208"/>
      <c r="BC333" s="242"/>
    </row>
    <row r="334" spans="2:55" ht="12.75" customHeight="1">
      <c r="B334" s="260"/>
      <c r="C334" s="176"/>
      <c r="D334" s="176"/>
      <c r="E334" s="176"/>
      <c r="F334" s="176"/>
      <c r="G334" s="213"/>
      <c r="H334" s="256"/>
      <c r="I334" s="237"/>
      <c r="J334" s="208"/>
      <c r="K334" s="208"/>
      <c r="L334" s="208"/>
      <c r="M334" s="208"/>
      <c r="N334" s="208"/>
      <c r="O334" s="208"/>
      <c r="P334" s="208"/>
      <c r="Q334" s="208"/>
      <c r="R334" s="208"/>
      <c r="S334" s="208"/>
      <c r="T334" s="208"/>
      <c r="U334" s="208"/>
      <c r="V334" s="208"/>
      <c r="W334" s="208"/>
      <c r="X334" s="208"/>
      <c r="Y334" s="208"/>
      <c r="Z334" s="208"/>
      <c r="AA334" s="208"/>
      <c r="AB334" s="208"/>
      <c r="AC334" s="208"/>
      <c r="AD334" s="208"/>
      <c r="AE334" s="208"/>
      <c r="AF334" s="208"/>
      <c r="AG334" s="208"/>
      <c r="AH334" s="208"/>
      <c r="AI334" s="208"/>
      <c r="AJ334" s="208"/>
      <c r="AK334" s="208"/>
      <c r="AL334" s="208"/>
      <c r="AM334" s="208"/>
      <c r="AN334" s="208"/>
      <c r="AO334" s="208"/>
      <c r="AP334" s="208"/>
      <c r="AQ334" s="208"/>
      <c r="AR334" s="208"/>
      <c r="AS334" s="208"/>
      <c r="AT334" s="208"/>
      <c r="AU334" s="208"/>
      <c r="AV334" s="242"/>
      <c r="AW334" s="207"/>
      <c r="AX334" s="208"/>
      <c r="AY334" s="208"/>
      <c r="AZ334" s="208"/>
      <c r="BA334" s="208"/>
      <c r="BB334" s="208"/>
      <c r="BC334" s="242"/>
    </row>
    <row r="335" spans="2:55" ht="12.75" customHeight="1">
      <c r="B335" s="260"/>
      <c r="C335" s="176"/>
      <c r="D335" s="176"/>
      <c r="E335" s="176"/>
      <c r="F335" s="176"/>
      <c r="G335" s="213"/>
      <c r="H335" s="256"/>
      <c r="I335" s="237"/>
      <c r="J335" s="208"/>
      <c r="K335" s="208"/>
      <c r="L335" s="208"/>
      <c r="M335" s="208"/>
      <c r="N335" s="208"/>
      <c r="O335" s="208"/>
      <c r="P335" s="208"/>
      <c r="Q335" s="208"/>
      <c r="R335" s="208"/>
      <c r="S335" s="208"/>
      <c r="T335" s="208"/>
      <c r="U335" s="208"/>
      <c r="V335" s="208"/>
      <c r="W335" s="208"/>
      <c r="X335" s="208"/>
      <c r="Y335" s="208"/>
      <c r="Z335" s="208"/>
      <c r="AA335" s="208"/>
      <c r="AB335" s="208"/>
      <c r="AC335" s="208"/>
      <c r="AD335" s="208"/>
      <c r="AE335" s="208"/>
      <c r="AF335" s="208"/>
      <c r="AG335" s="208"/>
      <c r="AH335" s="208"/>
      <c r="AI335" s="208"/>
      <c r="AJ335" s="208"/>
      <c r="AK335" s="208"/>
      <c r="AL335" s="208"/>
      <c r="AM335" s="208"/>
      <c r="AN335" s="208"/>
      <c r="AO335" s="208"/>
      <c r="AP335" s="208"/>
      <c r="AQ335" s="208"/>
      <c r="AR335" s="208"/>
      <c r="AS335" s="208"/>
      <c r="AT335" s="208"/>
      <c r="AU335" s="208"/>
      <c r="AV335" s="242"/>
      <c r="AW335" s="207"/>
      <c r="AX335" s="208"/>
      <c r="AY335" s="208"/>
      <c r="AZ335" s="208"/>
      <c r="BA335" s="208"/>
      <c r="BB335" s="208"/>
      <c r="BC335" s="242"/>
    </row>
    <row r="336" spans="2:55" ht="12.75" customHeight="1">
      <c r="B336" s="260"/>
      <c r="C336" s="176"/>
      <c r="D336" s="176"/>
      <c r="E336" s="176"/>
      <c r="F336" s="176"/>
      <c r="G336" s="213"/>
      <c r="H336" s="256"/>
      <c r="I336" s="237"/>
      <c r="J336" s="208"/>
      <c r="K336" s="208"/>
      <c r="L336" s="208"/>
      <c r="M336" s="208"/>
      <c r="N336" s="208"/>
      <c r="O336" s="208"/>
      <c r="P336" s="208"/>
      <c r="Q336" s="208"/>
      <c r="R336" s="208"/>
      <c r="S336" s="208"/>
      <c r="T336" s="208"/>
      <c r="U336" s="208"/>
      <c r="V336" s="208"/>
      <c r="W336" s="208"/>
      <c r="X336" s="208"/>
      <c r="Y336" s="208"/>
      <c r="Z336" s="208"/>
      <c r="AA336" s="208"/>
      <c r="AB336" s="208"/>
      <c r="AC336" s="208"/>
      <c r="AD336" s="208"/>
      <c r="AE336" s="208"/>
      <c r="AF336" s="208"/>
      <c r="AG336" s="208"/>
      <c r="AH336" s="208"/>
      <c r="AI336" s="208"/>
      <c r="AJ336" s="208"/>
      <c r="AK336" s="208"/>
      <c r="AL336" s="208"/>
      <c r="AM336" s="208"/>
      <c r="AN336" s="208"/>
      <c r="AO336" s="208"/>
      <c r="AP336" s="208"/>
      <c r="AQ336" s="208"/>
      <c r="AR336" s="208"/>
      <c r="AS336" s="208"/>
      <c r="AT336" s="208"/>
      <c r="AU336" s="208"/>
      <c r="AV336" s="242"/>
      <c r="AW336" s="207"/>
      <c r="AX336" s="208"/>
      <c r="AY336" s="208"/>
      <c r="AZ336" s="208"/>
      <c r="BA336" s="208"/>
      <c r="BB336" s="208"/>
      <c r="BC336" s="242"/>
    </row>
    <row r="337" spans="2:55" ht="12.75" customHeight="1">
      <c r="B337" s="260"/>
      <c r="C337" s="176"/>
      <c r="D337" s="176"/>
      <c r="E337" s="176"/>
      <c r="F337" s="176"/>
      <c r="G337" s="213"/>
      <c r="H337" s="256"/>
      <c r="I337" s="237"/>
      <c r="J337" s="208"/>
      <c r="K337" s="208"/>
      <c r="L337" s="208"/>
      <c r="M337" s="208"/>
      <c r="N337" s="208"/>
      <c r="O337" s="208"/>
      <c r="P337" s="208"/>
      <c r="Q337" s="208"/>
      <c r="R337" s="208"/>
      <c r="S337" s="208"/>
      <c r="T337" s="208"/>
      <c r="U337" s="208"/>
      <c r="V337" s="208"/>
      <c r="W337" s="208"/>
      <c r="X337" s="208"/>
      <c r="Y337" s="208"/>
      <c r="Z337" s="208"/>
      <c r="AA337" s="208"/>
      <c r="AB337" s="208"/>
      <c r="AC337" s="208"/>
      <c r="AD337" s="208"/>
      <c r="AE337" s="208"/>
      <c r="AF337" s="208"/>
      <c r="AG337" s="208"/>
      <c r="AH337" s="208"/>
      <c r="AI337" s="208"/>
      <c r="AJ337" s="208"/>
      <c r="AK337" s="208"/>
      <c r="AL337" s="208"/>
      <c r="AM337" s="208"/>
      <c r="AN337" s="208"/>
      <c r="AO337" s="208"/>
      <c r="AP337" s="208"/>
      <c r="AQ337" s="208"/>
      <c r="AR337" s="208"/>
      <c r="AS337" s="208"/>
      <c r="AT337" s="208"/>
      <c r="AU337" s="208"/>
      <c r="AV337" s="242"/>
      <c r="AW337" s="207"/>
      <c r="AX337" s="208"/>
      <c r="AY337" s="208"/>
      <c r="AZ337" s="208"/>
      <c r="BA337" s="208"/>
      <c r="BB337" s="208"/>
      <c r="BC337" s="242"/>
    </row>
    <row r="338" spans="2:55" ht="12.75" customHeight="1">
      <c r="B338" s="260"/>
      <c r="C338" s="176"/>
      <c r="D338" s="176"/>
      <c r="E338" s="176"/>
      <c r="F338" s="176"/>
      <c r="G338" s="213"/>
      <c r="H338" s="256"/>
      <c r="I338" s="237"/>
      <c r="J338" s="208"/>
      <c r="K338" s="208"/>
      <c r="L338" s="208"/>
      <c r="M338" s="208"/>
      <c r="N338" s="208"/>
      <c r="O338" s="208"/>
      <c r="P338" s="208"/>
      <c r="Q338" s="208"/>
      <c r="R338" s="208"/>
      <c r="S338" s="208"/>
      <c r="T338" s="208"/>
      <c r="U338" s="208"/>
      <c r="V338" s="208"/>
      <c r="W338" s="208"/>
      <c r="X338" s="208"/>
      <c r="Y338" s="208"/>
      <c r="Z338" s="208"/>
      <c r="AA338" s="208"/>
      <c r="AB338" s="208"/>
      <c r="AC338" s="208"/>
      <c r="AD338" s="208"/>
      <c r="AE338" s="208"/>
      <c r="AF338" s="208"/>
      <c r="AG338" s="208"/>
      <c r="AH338" s="208"/>
      <c r="AI338" s="208"/>
      <c r="AJ338" s="208"/>
      <c r="AK338" s="208"/>
      <c r="AL338" s="208"/>
      <c r="AM338" s="208"/>
      <c r="AN338" s="208"/>
      <c r="AO338" s="208"/>
      <c r="AP338" s="208"/>
      <c r="AQ338" s="208"/>
      <c r="AR338" s="208"/>
      <c r="AS338" s="208"/>
      <c r="AT338" s="208"/>
      <c r="AU338" s="208"/>
      <c r="AV338" s="242"/>
      <c r="AW338" s="207"/>
      <c r="AX338" s="208"/>
      <c r="AY338" s="208"/>
      <c r="AZ338" s="208"/>
      <c r="BA338" s="208"/>
      <c r="BB338" s="208"/>
      <c r="BC338" s="242"/>
    </row>
    <row r="339" spans="2:55" ht="12.75" customHeight="1">
      <c r="B339" s="260"/>
      <c r="C339" s="176"/>
      <c r="D339" s="176"/>
      <c r="E339" s="176"/>
      <c r="F339" s="176"/>
      <c r="G339" s="213"/>
      <c r="H339" s="256"/>
      <c r="I339" s="237"/>
      <c r="J339" s="208"/>
      <c r="K339" s="208"/>
      <c r="L339" s="208"/>
      <c r="M339" s="208"/>
      <c r="N339" s="208"/>
      <c r="O339" s="208"/>
      <c r="P339" s="208"/>
      <c r="Q339" s="208"/>
      <c r="R339" s="208"/>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42"/>
      <c r="AW339" s="207"/>
      <c r="AX339" s="208"/>
      <c r="AY339" s="208"/>
      <c r="AZ339" s="208"/>
      <c r="BA339" s="208"/>
      <c r="BB339" s="208"/>
      <c r="BC339" s="242"/>
    </row>
    <row r="340" spans="2:55" ht="12.75" customHeight="1">
      <c r="B340" s="260"/>
      <c r="C340" s="176"/>
      <c r="D340" s="176"/>
      <c r="E340" s="176"/>
      <c r="F340" s="176"/>
      <c r="G340" s="213"/>
      <c r="H340" s="256"/>
      <c r="I340" s="237"/>
      <c r="J340" s="180"/>
      <c r="K340" s="180"/>
      <c r="L340" s="180"/>
      <c r="M340" s="180"/>
      <c r="N340" s="180"/>
      <c r="O340" s="180"/>
      <c r="P340" s="180"/>
      <c r="Q340" s="214"/>
      <c r="R340" s="180"/>
      <c r="S340" s="180"/>
      <c r="T340" s="215"/>
      <c r="U340" s="180"/>
      <c r="V340" s="180"/>
      <c r="W340" s="180"/>
      <c r="X340" s="180"/>
      <c r="Y340" s="214"/>
      <c r="Z340" s="214"/>
      <c r="AA340" s="214"/>
      <c r="AB340" s="214"/>
      <c r="AC340" s="214"/>
      <c r="AD340" s="214"/>
      <c r="AE340" s="214"/>
      <c r="AF340" s="214"/>
      <c r="AG340" s="176"/>
      <c r="AH340" s="180"/>
      <c r="AI340" s="180"/>
      <c r="AJ340" s="180"/>
      <c r="AK340" s="180"/>
      <c r="AL340" s="180"/>
      <c r="AM340" s="245"/>
      <c r="AN340" s="245"/>
      <c r="AO340" s="180"/>
      <c r="AP340" s="180"/>
      <c r="AQ340" s="180"/>
      <c r="AR340" s="180"/>
      <c r="AS340" s="180"/>
      <c r="AT340" s="180"/>
      <c r="AU340" s="180"/>
      <c r="AV340" s="201"/>
      <c r="AW340" s="207"/>
      <c r="AX340" s="208"/>
      <c r="AY340" s="208"/>
      <c r="AZ340" s="208"/>
      <c r="BA340" s="208"/>
      <c r="BB340" s="208"/>
      <c r="BC340" s="242"/>
    </row>
    <row r="341" spans="2:55" ht="12.75" customHeight="1">
      <c r="B341" s="264"/>
      <c r="C341" s="247"/>
      <c r="D341" s="247"/>
      <c r="E341" s="247"/>
      <c r="F341" s="247"/>
      <c r="G341" s="265"/>
      <c r="H341" s="266"/>
      <c r="I341" s="246"/>
      <c r="J341" s="244"/>
      <c r="K341" s="244"/>
      <c r="L341" s="244"/>
      <c r="M341" s="244"/>
      <c r="N341" s="244"/>
      <c r="O341" s="244"/>
      <c r="P341" s="244"/>
      <c r="Q341" s="283"/>
      <c r="R341" s="244"/>
      <c r="S341" s="244"/>
      <c r="T341" s="284"/>
      <c r="U341" s="244"/>
      <c r="V341" s="244"/>
      <c r="W341" s="244"/>
      <c r="X341" s="236"/>
      <c r="Y341" s="236"/>
      <c r="Z341" s="236"/>
      <c r="AA341" s="283"/>
      <c r="AB341" s="283"/>
      <c r="AC341" s="283"/>
      <c r="AD341" s="283"/>
      <c r="AE341" s="236"/>
      <c r="AF341" s="236"/>
      <c r="AG341" s="244"/>
      <c r="AH341" s="244"/>
      <c r="AI341" s="244"/>
      <c r="AJ341" s="244"/>
      <c r="AK341" s="244"/>
      <c r="AL341" s="244"/>
      <c r="AM341" s="285"/>
      <c r="AN341" s="285"/>
      <c r="AO341" s="244"/>
      <c r="AP341" s="244"/>
      <c r="AQ341" s="244"/>
      <c r="AR341" s="244"/>
      <c r="AS341" s="244"/>
      <c r="AT341" s="244"/>
      <c r="AU341" s="244"/>
      <c r="AV341" s="248"/>
      <c r="AW341" s="249"/>
      <c r="AX341" s="236"/>
      <c r="AY341" s="236"/>
      <c r="AZ341" s="236"/>
      <c r="BA341" s="236"/>
      <c r="BB341" s="236"/>
      <c r="BC341" s="286"/>
    </row>
    <row r="342" spans="2:55" ht="12.75" customHeight="1">
      <c r="B342" s="101"/>
      <c r="C342" s="102"/>
      <c r="D342" s="102"/>
      <c r="E342" s="102"/>
      <c r="F342" s="102"/>
      <c r="G342" s="102"/>
      <c r="H342" s="320"/>
      <c r="I342" s="320"/>
      <c r="J342" s="320"/>
      <c r="K342" s="320"/>
      <c r="L342" s="320"/>
      <c r="M342" s="320"/>
      <c r="N342" s="320"/>
      <c r="O342" s="320"/>
      <c r="P342" s="320"/>
      <c r="Q342" s="320"/>
      <c r="R342" s="320"/>
      <c r="S342" s="320"/>
      <c r="T342" s="320"/>
      <c r="U342" s="321"/>
      <c r="V342" s="478" t="s">
        <v>0</v>
      </c>
      <c r="W342" s="479"/>
      <c r="X342" s="479"/>
      <c r="Y342" s="479"/>
      <c r="Z342" s="479"/>
      <c r="AA342" s="479"/>
      <c r="AB342" s="479"/>
      <c r="AC342" s="479"/>
      <c r="AD342" s="479"/>
      <c r="AE342" s="479"/>
      <c r="AF342" s="479"/>
      <c r="AG342" s="479"/>
      <c r="AH342" s="479"/>
      <c r="AI342" s="479"/>
      <c r="AJ342" s="480"/>
      <c r="AK342" s="395" t="s">
        <v>1</v>
      </c>
      <c r="AL342" s="396"/>
      <c r="AM342" s="396"/>
      <c r="AN342" s="396"/>
      <c r="AO342" s="396"/>
      <c r="AP342" s="379" t="str">
        <f>$AP$2</f>
        <v>BB----</v>
      </c>
      <c r="AQ342" s="379"/>
      <c r="AR342" s="379"/>
      <c r="AS342" s="379"/>
      <c r="AT342" s="379"/>
      <c r="AU342" s="379"/>
      <c r="AV342" s="379"/>
      <c r="AW342" s="379"/>
      <c r="AX342" s="379"/>
      <c r="AY342" s="379"/>
      <c r="AZ342" s="379"/>
      <c r="BA342" s="379"/>
      <c r="BB342" s="379"/>
      <c r="BC342" s="380"/>
    </row>
    <row r="343" spans="2:55" ht="12.75" customHeight="1">
      <c r="B343" s="103"/>
      <c r="C343" s="104"/>
      <c r="D343" s="104"/>
      <c r="E343" s="104"/>
      <c r="F343" s="104"/>
      <c r="G343" s="104"/>
      <c r="H343" s="322"/>
      <c r="I343" s="322"/>
      <c r="J343" s="322"/>
      <c r="K343" s="322"/>
      <c r="L343" s="322"/>
      <c r="M343" s="322"/>
      <c r="N343" s="322"/>
      <c r="O343" s="322"/>
      <c r="P343" s="322"/>
      <c r="Q343" s="322"/>
      <c r="R343" s="322"/>
      <c r="S343" s="322"/>
      <c r="T343" s="322"/>
      <c r="U343" s="323"/>
      <c r="V343" s="481"/>
      <c r="W343" s="482"/>
      <c r="X343" s="482"/>
      <c r="Y343" s="482"/>
      <c r="Z343" s="482"/>
      <c r="AA343" s="482"/>
      <c r="AB343" s="482"/>
      <c r="AC343" s="482"/>
      <c r="AD343" s="482"/>
      <c r="AE343" s="482"/>
      <c r="AF343" s="482"/>
      <c r="AG343" s="482"/>
      <c r="AH343" s="482"/>
      <c r="AI343" s="482"/>
      <c r="AJ343" s="483"/>
      <c r="AK343" s="397"/>
      <c r="AL343" s="398"/>
      <c r="AM343" s="398"/>
      <c r="AN343" s="398"/>
      <c r="AO343" s="398"/>
      <c r="AP343" s="381"/>
      <c r="AQ343" s="381"/>
      <c r="AR343" s="381"/>
      <c r="AS343" s="381"/>
      <c r="AT343" s="381"/>
      <c r="AU343" s="381"/>
      <c r="AV343" s="381"/>
      <c r="AW343" s="381"/>
      <c r="AX343" s="381"/>
      <c r="AY343" s="381"/>
      <c r="AZ343" s="381"/>
      <c r="BA343" s="381"/>
      <c r="BB343" s="381"/>
      <c r="BC343" s="382"/>
    </row>
    <row r="344" spans="2:55" ht="12.75" customHeight="1">
      <c r="B344" s="103"/>
      <c r="C344" s="104"/>
      <c r="D344" s="104"/>
      <c r="E344" s="104"/>
      <c r="F344" s="104"/>
      <c r="G344" s="104"/>
      <c r="H344" s="322"/>
      <c r="I344" s="322"/>
      <c r="J344" s="322"/>
      <c r="K344" s="322"/>
      <c r="L344" s="322"/>
      <c r="M344" s="322"/>
      <c r="N344" s="322"/>
      <c r="O344" s="322"/>
      <c r="P344" s="322"/>
      <c r="Q344" s="322"/>
      <c r="R344" s="322"/>
      <c r="S344" s="322"/>
      <c r="T344" s="322"/>
      <c r="U344" s="323"/>
      <c r="V344" s="481"/>
      <c r="W344" s="482"/>
      <c r="X344" s="482"/>
      <c r="Y344" s="482"/>
      <c r="Z344" s="482"/>
      <c r="AA344" s="482"/>
      <c r="AB344" s="482"/>
      <c r="AC344" s="482"/>
      <c r="AD344" s="482"/>
      <c r="AE344" s="482"/>
      <c r="AF344" s="482"/>
      <c r="AG344" s="482"/>
      <c r="AH344" s="482"/>
      <c r="AI344" s="482"/>
      <c r="AJ344" s="483"/>
      <c r="AK344" s="358" t="s">
        <v>2</v>
      </c>
      <c r="AL344" s="359"/>
      <c r="AM344" s="359"/>
      <c r="AN344" s="359"/>
      <c r="AO344" s="359"/>
      <c r="AP344" s="381" t="str">
        <f>$AP$4</f>
        <v>TITLE</v>
      </c>
      <c r="AQ344" s="381"/>
      <c r="AR344" s="381"/>
      <c r="AS344" s="381"/>
      <c r="AT344" s="381"/>
      <c r="AU344" s="381"/>
      <c r="AV344" s="381"/>
      <c r="AW344" s="381"/>
      <c r="AX344" s="381"/>
      <c r="AY344" s="381"/>
      <c r="AZ344" s="381"/>
      <c r="BA344" s="381"/>
      <c r="BB344" s="381"/>
      <c r="BC344" s="382"/>
    </row>
    <row r="345" spans="2:55" ht="12.75" customHeight="1">
      <c r="B345" s="103"/>
      <c r="C345" s="104"/>
      <c r="D345" s="104"/>
      <c r="E345" s="104"/>
      <c r="F345" s="104"/>
      <c r="G345" s="104"/>
      <c r="H345" s="322"/>
      <c r="I345" s="322"/>
      <c r="J345" s="322"/>
      <c r="K345" s="322"/>
      <c r="L345" s="322"/>
      <c r="M345" s="322"/>
      <c r="N345" s="322"/>
      <c r="O345" s="322"/>
      <c r="P345" s="322"/>
      <c r="Q345" s="322"/>
      <c r="R345" s="322"/>
      <c r="S345" s="322"/>
      <c r="T345" s="322"/>
      <c r="U345" s="323"/>
      <c r="V345" s="481"/>
      <c r="W345" s="482"/>
      <c r="X345" s="482"/>
      <c r="Y345" s="482"/>
      <c r="Z345" s="482"/>
      <c r="AA345" s="482"/>
      <c r="AB345" s="482"/>
      <c r="AC345" s="482"/>
      <c r="AD345" s="482"/>
      <c r="AE345" s="482"/>
      <c r="AF345" s="482"/>
      <c r="AG345" s="482"/>
      <c r="AH345" s="482"/>
      <c r="AI345" s="482"/>
      <c r="AJ345" s="483"/>
      <c r="AK345" s="358"/>
      <c r="AL345" s="359"/>
      <c r="AM345" s="359"/>
      <c r="AN345" s="359"/>
      <c r="AO345" s="359"/>
      <c r="AP345" s="381"/>
      <c r="AQ345" s="381"/>
      <c r="AR345" s="381"/>
      <c r="AS345" s="381"/>
      <c r="AT345" s="381"/>
      <c r="AU345" s="381"/>
      <c r="AV345" s="381"/>
      <c r="AW345" s="381"/>
      <c r="AX345" s="381"/>
      <c r="AY345" s="381"/>
      <c r="AZ345" s="381"/>
      <c r="BA345" s="381"/>
      <c r="BB345" s="381"/>
      <c r="BC345" s="382"/>
    </row>
    <row r="346" spans="2:55" ht="12.75" customHeight="1">
      <c r="B346" s="103"/>
      <c r="C346" s="104"/>
      <c r="D346" s="104"/>
      <c r="E346" s="104"/>
      <c r="F346" s="104"/>
      <c r="G346" s="104"/>
      <c r="H346" s="322"/>
      <c r="I346" s="322"/>
      <c r="J346" s="322"/>
      <c r="K346" s="322"/>
      <c r="L346" s="322"/>
      <c r="M346" s="322"/>
      <c r="N346" s="322"/>
      <c r="O346" s="322"/>
      <c r="P346" s="322"/>
      <c r="Q346" s="322"/>
      <c r="R346" s="322"/>
      <c r="S346" s="322"/>
      <c r="T346" s="322"/>
      <c r="U346" s="323"/>
      <c r="V346" s="481"/>
      <c r="W346" s="482"/>
      <c r="X346" s="482"/>
      <c r="Y346" s="482"/>
      <c r="Z346" s="482"/>
      <c r="AA346" s="482"/>
      <c r="AB346" s="482"/>
      <c r="AC346" s="482"/>
      <c r="AD346" s="482"/>
      <c r="AE346" s="482"/>
      <c r="AF346" s="482"/>
      <c r="AG346" s="482"/>
      <c r="AH346" s="482"/>
      <c r="AI346" s="482"/>
      <c r="AJ346" s="483"/>
      <c r="AK346" s="401" t="s">
        <v>3</v>
      </c>
      <c r="AL346" s="401"/>
      <c r="AM346" s="401"/>
      <c r="AN346" s="401"/>
      <c r="AO346" s="401"/>
      <c r="AP346" s="381">
        <f>AP278+1</f>
        <v>6</v>
      </c>
      <c r="AQ346" s="381"/>
      <c r="AR346" s="381"/>
      <c r="AS346" s="381"/>
      <c r="AT346" s="381"/>
      <c r="AU346" s="381"/>
      <c r="AV346" s="381"/>
      <c r="AW346" s="381"/>
      <c r="AX346" s="381"/>
      <c r="AY346" s="381"/>
      <c r="AZ346" s="381"/>
      <c r="BA346" s="381"/>
      <c r="BB346" s="381"/>
      <c r="BC346" s="382"/>
    </row>
    <row r="347" spans="2:55" ht="12.75" customHeight="1">
      <c r="B347" s="103"/>
      <c r="C347" s="104"/>
      <c r="D347" s="104"/>
      <c r="E347" s="104"/>
      <c r="F347" s="104"/>
      <c r="G347" s="104"/>
      <c r="H347" s="322"/>
      <c r="I347" s="322"/>
      <c r="J347" s="322"/>
      <c r="K347" s="322"/>
      <c r="L347" s="322"/>
      <c r="M347" s="322"/>
      <c r="N347" s="322"/>
      <c r="O347" s="322"/>
      <c r="P347" s="322"/>
      <c r="Q347" s="322"/>
      <c r="R347" s="322"/>
      <c r="S347" s="322"/>
      <c r="T347" s="322"/>
      <c r="U347" s="323"/>
      <c r="V347" s="481"/>
      <c r="W347" s="482"/>
      <c r="X347" s="482"/>
      <c r="Y347" s="482"/>
      <c r="Z347" s="482"/>
      <c r="AA347" s="482"/>
      <c r="AB347" s="482"/>
      <c r="AC347" s="482"/>
      <c r="AD347" s="482"/>
      <c r="AE347" s="482"/>
      <c r="AF347" s="482"/>
      <c r="AG347" s="482"/>
      <c r="AH347" s="482"/>
      <c r="AI347" s="482"/>
      <c r="AJ347" s="483"/>
      <c r="AK347" s="401" t="s">
        <v>4</v>
      </c>
      <c r="AL347" s="401"/>
      <c r="AM347" s="401"/>
      <c r="AN347" s="401"/>
      <c r="AO347" s="401"/>
      <c r="AP347" s="383">
        <f ca="1">$AP$7</f>
        <v>45928</v>
      </c>
      <c r="AQ347" s="383"/>
      <c r="AR347" s="383"/>
      <c r="AS347" s="383"/>
      <c r="AT347" s="383"/>
      <c r="AU347" s="383"/>
      <c r="AV347" s="383"/>
      <c r="AW347" s="383"/>
      <c r="AX347" s="383"/>
      <c r="AY347" s="383"/>
      <c r="AZ347" s="383"/>
      <c r="BA347" s="383"/>
      <c r="BB347" s="383"/>
      <c r="BC347" s="384"/>
    </row>
    <row r="348" spans="2:55" ht="12.75" customHeight="1">
      <c r="B348" s="103"/>
      <c r="C348" s="104"/>
      <c r="D348" s="104"/>
      <c r="E348" s="104"/>
      <c r="F348" s="104"/>
      <c r="G348" s="104"/>
      <c r="H348" s="322"/>
      <c r="I348" s="322"/>
      <c r="J348" s="322"/>
      <c r="K348" s="322"/>
      <c r="L348" s="322"/>
      <c r="M348" s="322"/>
      <c r="N348" s="322"/>
      <c r="O348" s="322"/>
      <c r="P348" s="322"/>
      <c r="Q348" s="322"/>
      <c r="R348" s="322"/>
      <c r="S348" s="322"/>
      <c r="T348" s="322"/>
      <c r="U348" s="323"/>
      <c r="V348" s="481"/>
      <c r="W348" s="482"/>
      <c r="X348" s="482"/>
      <c r="Y348" s="482"/>
      <c r="Z348" s="482"/>
      <c r="AA348" s="482"/>
      <c r="AB348" s="482"/>
      <c r="AC348" s="482"/>
      <c r="AD348" s="482"/>
      <c r="AE348" s="482"/>
      <c r="AF348" s="482"/>
      <c r="AG348" s="482"/>
      <c r="AH348" s="482"/>
      <c r="AI348" s="482"/>
      <c r="AJ348" s="483"/>
      <c r="AK348" s="401" t="s">
        <v>5</v>
      </c>
      <c r="AL348" s="401"/>
      <c r="AM348" s="401"/>
      <c r="AN348" s="401"/>
      <c r="AO348" s="401"/>
      <c r="AP348" s="381" t="str">
        <f>$AP$8</f>
        <v>AB</v>
      </c>
      <c r="AQ348" s="381"/>
      <c r="AR348" s="381"/>
      <c r="AS348" s="381"/>
      <c r="AT348" s="381"/>
      <c r="AU348" s="381"/>
      <c r="AV348" s="381"/>
      <c r="AW348" s="381"/>
      <c r="AX348" s="381"/>
      <c r="AY348" s="381"/>
      <c r="AZ348" s="381"/>
      <c r="BA348" s="381"/>
      <c r="BB348" s="381"/>
      <c r="BC348" s="382"/>
    </row>
    <row r="349" spans="2:55" ht="12.75" customHeight="1">
      <c r="B349" s="105"/>
      <c r="C349" s="106"/>
      <c r="D349" s="106"/>
      <c r="E349" s="106"/>
      <c r="F349" s="106"/>
      <c r="G349" s="106"/>
      <c r="H349" s="324"/>
      <c r="I349" s="324"/>
      <c r="J349" s="324"/>
      <c r="K349" s="324"/>
      <c r="L349" s="324"/>
      <c r="M349" s="324"/>
      <c r="N349" s="324"/>
      <c r="O349" s="324"/>
      <c r="P349" s="324"/>
      <c r="Q349" s="324"/>
      <c r="R349" s="324"/>
      <c r="S349" s="324"/>
      <c r="T349" s="324"/>
      <c r="U349" s="325"/>
      <c r="V349" s="484"/>
      <c r="W349" s="485"/>
      <c r="X349" s="485"/>
      <c r="Y349" s="485"/>
      <c r="Z349" s="485"/>
      <c r="AA349" s="485"/>
      <c r="AB349" s="485"/>
      <c r="AC349" s="485"/>
      <c r="AD349" s="485"/>
      <c r="AE349" s="485"/>
      <c r="AF349" s="485"/>
      <c r="AG349" s="485"/>
      <c r="AH349" s="485"/>
      <c r="AI349" s="485"/>
      <c r="AJ349" s="486"/>
      <c r="AK349" s="460" t="s">
        <v>6</v>
      </c>
      <c r="AL349" s="460"/>
      <c r="AM349" s="460"/>
      <c r="AN349" s="460"/>
      <c r="AO349" s="460"/>
      <c r="AP349" s="386" t="str">
        <f>$AP$9</f>
        <v xml:space="preserve">CAT I / II </v>
      </c>
      <c r="AQ349" s="386"/>
      <c r="AR349" s="386"/>
      <c r="AS349" s="386"/>
      <c r="AT349" s="386"/>
      <c r="AU349" s="386"/>
      <c r="AV349" s="386"/>
      <c r="AW349" s="386"/>
      <c r="AX349" s="386"/>
      <c r="AY349" s="386"/>
      <c r="AZ349" s="386"/>
      <c r="BA349" s="386"/>
      <c r="BB349" s="386"/>
      <c r="BC349" s="387"/>
    </row>
    <row r="350" spans="2:55" ht="12.75" customHeight="1">
      <c r="B350" s="360" t="s">
        <v>7</v>
      </c>
      <c r="C350" s="361"/>
      <c r="D350" s="361"/>
      <c r="E350" s="361"/>
      <c r="F350" s="361"/>
      <c r="G350" s="361"/>
      <c r="H350" s="361"/>
      <c r="I350" s="361"/>
      <c r="J350" s="361"/>
      <c r="K350" s="361"/>
      <c r="L350" s="361"/>
      <c r="M350" s="361"/>
      <c r="N350" s="361"/>
      <c r="O350" s="361"/>
      <c r="P350" s="361"/>
      <c r="Q350" s="361"/>
      <c r="R350" s="361"/>
      <c r="S350" s="361"/>
      <c r="T350" s="361"/>
      <c r="U350" s="361"/>
      <c r="V350" s="361"/>
      <c r="W350" s="361"/>
      <c r="X350" s="361"/>
      <c r="Y350" s="361"/>
      <c r="Z350" s="361"/>
      <c r="AA350" s="361"/>
      <c r="AB350" s="361"/>
      <c r="AC350" s="361"/>
      <c r="AD350" s="361"/>
      <c r="AE350" s="361"/>
      <c r="AF350" s="361"/>
      <c r="AG350" s="361"/>
      <c r="AH350" s="361"/>
      <c r="AI350" s="361"/>
      <c r="AJ350" s="361"/>
      <c r="AK350" s="361"/>
      <c r="AL350" s="361"/>
      <c r="AM350" s="361"/>
      <c r="AN350" s="361"/>
      <c r="AO350" s="361"/>
      <c r="AP350" s="361"/>
      <c r="AQ350" s="361"/>
      <c r="AR350" s="361"/>
      <c r="AS350" s="361"/>
      <c r="AT350" s="361"/>
      <c r="AU350" s="361"/>
      <c r="AV350" s="361"/>
      <c r="AW350" s="361"/>
      <c r="AX350" s="361"/>
      <c r="AY350" s="361"/>
      <c r="AZ350" s="361"/>
      <c r="BA350" s="361"/>
      <c r="BB350" s="361"/>
      <c r="BC350" s="362"/>
    </row>
    <row r="351" spans="2:55" ht="12.75" customHeight="1">
      <c r="B351" s="363"/>
      <c r="C351" s="364"/>
      <c r="D351" s="364"/>
      <c r="E351" s="364"/>
      <c r="F351" s="364"/>
      <c r="G351" s="364"/>
      <c r="H351" s="364"/>
      <c r="I351" s="364"/>
      <c r="J351" s="364"/>
      <c r="K351" s="364"/>
      <c r="L351" s="364"/>
      <c r="M351" s="364"/>
      <c r="N351" s="364"/>
      <c r="O351" s="364"/>
      <c r="P351" s="364"/>
      <c r="Q351" s="364"/>
      <c r="R351" s="364"/>
      <c r="S351" s="364"/>
      <c r="T351" s="364"/>
      <c r="U351" s="364"/>
      <c r="V351" s="364"/>
      <c r="W351" s="364"/>
      <c r="X351" s="364"/>
      <c r="Y351" s="364"/>
      <c r="Z351" s="364"/>
      <c r="AA351" s="364"/>
      <c r="AB351" s="364"/>
      <c r="AC351" s="364"/>
      <c r="AD351" s="364"/>
      <c r="AE351" s="364"/>
      <c r="AF351" s="364"/>
      <c r="AG351" s="364"/>
      <c r="AH351" s="364"/>
      <c r="AI351" s="364"/>
      <c r="AJ351" s="364"/>
      <c r="AK351" s="364"/>
      <c r="AL351" s="364"/>
      <c r="AM351" s="364"/>
      <c r="AN351" s="364"/>
      <c r="AO351" s="364"/>
      <c r="AP351" s="364"/>
      <c r="AQ351" s="364"/>
      <c r="AR351" s="364"/>
      <c r="AS351" s="364"/>
      <c r="AT351" s="364"/>
      <c r="AU351" s="364"/>
      <c r="AV351" s="364"/>
      <c r="AW351" s="364"/>
      <c r="AX351" s="364"/>
      <c r="AY351" s="364"/>
      <c r="AZ351" s="364"/>
      <c r="BA351" s="364"/>
      <c r="BB351" s="364"/>
      <c r="BC351" s="365"/>
    </row>
    <row r="352" spans="2:55" ht="12.75" customHeight="1">
      <c r="B352" s="376"/>
      <c r="C352" s="377"/>
      <c r="D352" s="377"/>
      <c r="E352" s="377"/>
      <c r="F352" s="377"/>
      <c r="G352" s="377"/>
      <c r="H352" s="377"/>
      <c r="I352" s="377"/>
      <c r="J352" s="377"/>
      <c r="K352" s="377"/>
      <c r="L352" s="377"/>
      <c r="M352" s="377"/>
      <c r="N352" s="377"/>
      <c r="O352" s="377"/>
      <c r="P352" s="377"/>
      <c r="Q352" s="377"/>
      <c r="R352" s="377"/>
      <c r="S352" s="377"/>
      <c r="T352" s="377"/>
      <c r="U352" s="377"/>
      <c r="V352" s="377"/>
      <c r="W352" s="377"/>
      <c r="X352" s="377"/>
      <c r="Y352" s="377"/>
      <c r="Z352" s="377"/>
      <c r="AA352" s="377"/>
      <c r="AB352" s="377"/>
      <c r="AC352" s="377"/>
      <c r="AD352" s="377"/>
      <c r="AE352" s="377"/>
      <c r="AF352" s="377"/>
      <c r="AG352" s="377"/>
      <c r="AH352" s="377"/>
      <c r="AI352" s="377"/>
      <c r="AJ352" s="377"/>
      <c r="AK352" s="377"/>
      <c r="AL352" s="377"/>
      <c r="AM352" s="377"/>
      <c r="AN352" s="377"/>
      <c r="AO352" s="377"/>
      <c r="AP352" s="377"/>
      <c r="AQ352" s="377"/>
      <c r="AR352" s="377"/>
      <c r="AS352" s="377"/>
      <c r="AT352" s="377"/>
      <c r="AU352" s="377"/>
      <c r="AV352" s="377"/>
      <c r="AW352" s="377"/>
      <c r="AX352" s="377"/>
      <c r="AY352" s="377"/>
      <c r="AZ352" s="377"/>
      <c r="BA352" s="377"/>
      <c r="BB352" s="377"/>
      <c r="BC352" s="378"/>
    </row>
    <row r="353" spans="2:55" ht="12.75" customHeight="1">
      <c r="B353" s="567" t="s">
        <v>8</v>
      </c>
      <c r="C353" s="568"/>
      <c r="D353" s="568"/>
      <c r="E353" s="568"/>
      <c r="F353" s="568"/>
      <c r="G353" s="568"/>
      <c r="H353" s="569"/>
      <c r="I353" s="287"/>
      <c r="J353" s="168"/>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162"/>
      <c r="AK353" s="162"/>
      <c r="AL353" s="162"/>
      <c r="AM353" s="162"/>
      <c r="AN353" s="162"/>
      <c r="AO353" s="153"/>
      <c r="AP353" s="153"/>
      <c r="AQ353" s="153"/>
      <c r="AR353" s="153"/>
      <c r="AS353" s="153"/>
      <c r="AT353" s="153"/>
      <c r="AU353" s="153"/>
      <c r="AV353" s="154"/>
      <c r="AW353" s="464" t="s">
        <v>9</v>
      </c>
      <c r="AX353" s="465"/>
      <c r="AY353" s="465"/>
      <c r="AZ353" s="465"/>
      <c r="BA353" s="465"/>
      <c r="BB353" s="465"/>
      <c r="BC353" s="466"/>
    </row>
    <row r="354" spans="2:55" ht="12.75" customHeight="1">
      <c r="B354" s="267"/>
      <c r="C354" s="269"/>
      <c r="D354" s="269"/>
      <c r="E354" s="269"/>
      <c r="F354" s="269"/>
      <c r="G354" s="253"/>
      <c r="H354" s="254"/>
      <c r="I354" s="237"/>
      <c r="J354" s="229" t="s">
        <v>182</v>
      </c>
      <c r="K354" s="288"/>
      <c r="L354" s="288"/>
      <c r="M354" s="288"/>
      <c r="N354" s="288"/>
      <c r="O354" s="288"/>
      <c r="P354" s="288"/>
      <c r="Q354" s="288"/>
      <c r="R354" s="288"/>
      <c r="S354" s="206"/>
      <c r="T354" s="206"/>
      <c r="U354" s="208"/>
      <c r="V354" s="289"/>
      <c r="W354" s="289"/>
      <c r="X354" s="289"/>
      <c r="Y354" s="289"/>
      <c r="Z354" s="289"/>
      <c r="AA354" s="175" t="str">
        <f>AI365</f>
        <v>Combination 2 - BS EN 1997-1:2004</v>
      </c>
      <c r="AB354" s="208"/>
      <c r="AC354" s="289"/>
      <c r="AD354" s="206"/>
      <c r="AE354" s="206"/>
      <c r="AF354" s="206"/>
      <c r="AG354" s="206"/>
      <c r="AH354" s="206"/>
      <c r="AI354" s="206"/>
      <c r="AJ354" s="206"/>
      <c r="AK354" s="206"/>
      <c r="AL354" s="206"/>
      <c r="AM354" s="206"/>
      <c r="AN354" s="176"/>
      <c r="AO354" s="180"/>
      <c r="AP354" s="180"/>
      <c r="AQ354" s="180"/>
      <c r="AR354" s="180"/>
      <c r="AS354" s="180"/>
      <c r="AT354" s="180"/>
      <c r="AU354" s="180"/>
      <c r="AV354" s="201"/>
      <c r="AW354" s="202"/>
      <c r="AX354" s="203"/>
      <c r="AY354" s="203"/>
      <c r="AZ354" s="203"/>
      <c r="BA354" s="203"/>
      <c r="BB354" s="203"/>
      <c r="BC354" s="276"/>
    </row>
    <row r="355" spans="2:55" ht="12.75" customHeight="1">
      <c r="B355" s="260"/>
      <c r="C355" s="176"/>
      <c r="D355" s="176"/>
      <c r="E355" s="176"/>
      <c r="F355" s="176"/>
      <c r="G355" s="213"/>
      <c r="H355" s="256"/>
      <c r="I355" s="237"/>
      <c r="J355" s="288"/>
      <c r="K355" s="288"/>
      <c r="L355" s="288"/>
      <c r="M355" s="288"/>
      <c r="N355" s="288"/>
      <c r="O355" s="288"/>
      <c r="P355" s="288"/>
      <c r="Q355" s="288"/>
      <c r="R355" s="288"/>
      <c r="S355" s="206"/>
      <c r="T355" s="206"/>
      <c r="U355" s="176"/>
      <c r="V355" s="176"/>
      <c r="W355" s="176"/>
      <c r="X355" s="176"/>
      <c r="Y355" s="206"/>
      <c r="Z355" s="206"/>
      <c r="AA355" s="206"/>
      <c r="AB355" s="176"/>
      <c r="AC355" s="206"/>
      <c r="AD355" s="206"/>
      <c r="AE355" s="206"/>
      <c r="AF355" s="206"/>
      <c r="AG355" s="206"/>
      <c r="AH355" s="206"/>
      <c r="AI355" s="206"/>
      <c r="AJ355" s="206"/>
      <c r="AK355" s="206"/>
      <c r="AL355" s="206"/>
      <c r="AM355" s="206"/>
      <c r="AN355" s="176"/>
      <c r="AO355" s="180"/>
      <c r="AP355" s="180"/>
      <c r="AQ355" s="180"/>
      <c r="AR355" s="180"/>
      <c r="AS355" s="180"/>
      <c r="AT355" s="180"/>
      <c r="AU355" s="180"/>
      <c r="AV355" s="201"/>
      <c r="AW355" s="207"/>
      <c r="AX355" s="208"/>
      <c r="AY355" s="208"/>
      <c r="AZ355" s="208"/>
      <c r="BA355" s="208"/>
      <c r="BB355" s="208"/>
      <c r="BC355" s="242"/>
    </row>
    <row r="356" spans="2:55" ht="12.75" customHeight="1">
      <c r="B356" s="260"/>
      <c r="C356" s="176"/>
      <c r="D356" s="176"/>
      <c r="E356" s="176"/>
      <c r="F356" s="176"/>
      <c r="G356" s="213"/>
      <c r="H356" s="256"/>
      <c r="I356" s="237"/>
      <c r="J356" s="189" t="s">
        <v>107</v>
      </c>
      <c r="K356" s="200"/>
      <c r="L356" s="200"/>
      <c r="M356" s="200"/>
      <c r="N356" s="200"/>
      <c r="O356" s="200"/>
      <c r="P356" s="200"/>
      <c r="Q356" s="200"/>
      <c r="R356" s="200"/>
      <c r="S356" s="176"/>
      <c r="T356" s="176"/>
      <c r="U356" s="176"/>
      <c r="V356" s="176"/>
      <c r="W356" s="176"/>
      <c r="X356" s="390" t="s">
        <v>141</v>
      </c>
      <c r="Y356" s="390"/>
      <c r="Z356" s="390"/>
      <c r="AA356" s="390"/>
      <c r="AB356" s="390"/>
      <c r="AC356" s="390"/>
      <c r="AD356" s="390"/>
      <c r="AE356" s="390"/>
      <c r="AF356" s="390"/>
      <c r="AG356" s="390"/>
      <c r="AH356" s="390"/>
      <c r="AI356" s="290"/>
      <c r="AJ356" s="290"/>
      <c r="AK356" s="290"/>
      <c r="AL356" s="206"/>
      <c r="AM356" s="206"/>
      <c r="AN356" s="176"/>
      <c r="AO356" s="176"/>
      <c r="AP356" s="176"/>
      <c r="AQ356" s="176"/>
      <c r="AR356" s="180"/>
      <c r="AS356" s="180"/>
      <c r="AT356" s="180"/>
      <c r="AU356" s="180"/>
      <c r="AV356" s="201"/>
      <c r="AW356" s="207"/>
      <c r="AX356" s="208"/>
      <c r="AY356" s="208"/>
      <c r="AZ356" s="208"/>
      <c r="BA356" s="208"/>
      <c r="BB356" s="208"/>
      <c r="BC356" s="242"/>
    </row>
    <row r="357" spans="2:55" ht="12.75" customHeight="1">
      <c r="B357" s="260"/>
      <c r="C357" s="176"/>
      <c r="D357" s="176"/>
      <c r="E357" s="176"/>
      <c r="F357" s="176"/>
      <c r="G357" s="213"/>
      <c r="H357" s="256"/>
      <c r="I357" s="237"/>
      <c r="J357" s="189" t="s">
        <v>168</v>
      </c>
      <c r="K357" s="200"/>
      <c r="L357" s="200"/>
      <c r="M357" s="200"/>
      <c r="N357" s="200"/>
      <c r="O357" s="200"/>
      <c r="P357" s="200"/>
      <c r="Q357" s="200"/>
      <c r="R357" s="200"/>
      <c r="S357" s="176"/>
      <c r="T357" s="176"/>
      <c r="U357" s="176"/>
      <c r="V357" s="176"/>
      <c r="W357" s="176" t="s">
        <v>95</v>
      </c>
      <c r="X357" s="391" t="str">
        <f>VLOOKUP(X356, 'DATA SHEET'!J89:L100,3, FALSE)</f>
        <v>Granular</v>
      </c>
      <c r="Y357" s="391"/>
      <c r="Z357" s="391"/>
      <c r="AA357" s="391"/>
      <c r="AB357" s="391"/>
      <c r="AC357" s="391"/>
      <c r="AD357" s="391"/>
      <c r="AE357" s="391"/>
      <c r="AF357" s="391"/>
      <c r="AG357" s="391"/>
      <c r="AH357" s="391"/>
      <c r="AI357" s="213"/>
      <c r="AJ357" s="213"/>
      <c r="AK357" s="213"/>
      <c r="AL357" s="213"/>
      <c r="AM357" s="213"/>
      <c r="AN357" s="213"/>
      <c r="AO357" s="180"/>
      <c r="AP357" s="180"/>
      <c r="AQ357" s="180"/>
      <c r="AR357" s="180"/>
      <c r="AS357" s="180"/>
      <c r="AT357" s="180"/>
      <c r="AU357" s="180"/>
      <c r="AV357" s="201"/>
      <c r="AW357" s="207"/>
      <c r="AX357" s="208"/>
      <c r="AY357" s="208"/>
      <c r="AZ357" s="208"/>
      <c r="BA357" s="208"/>
      <c r="BB357" s="208"/>
      <c r="BC357" s="242"/>
    </row>
    <row r="358" spans="2:55" ht="12.75" customHeight="1">
      <c r="B358" s="260"/>
      <c r="C358" s="176"/>
      <c r="D358" s="176"/>
      <c r="E358" s="176"/>
      <c r="F358" s="176"/>
      <c r="G358" s="213"/>
      <c r="H358" s="256"/>
      <c r="I358" s="237"/>
      <c r="J358" s="189" t="s">
        <v>108</v>
      </c>
      <c r="K358" s="200"/>
      <c r="L358" s="200"/>
      <c r="M358" s="200"/>
      <c r="N358" s="200"/>
      <c r="O358" s="200"/>
      <c r="P358" s="200"/>
      <c r="Q358" s="200"/>
      <c r="R358" s="200"/>
      <c r="S358" s="176"/>
      <c r="T358" s="176"/>
      <c r="U358" s="176"/>
      <c r="V358" s="176"/>
      <c r="W358" s="176" t="s">
        <v>95</v>
      </c>
      <c r="X358" s="392">
        <f>VLOOKUP(X356, 'DATA SHEET'!J89:S99,9, FALSE)</f>
        <v>0</v>
      </c>
      <c r="Y358" s="392"/>
      <c r="Z358" s="392"/>
      <c r="AA358" s="392"/>
      <c r="AB358" s="392"/>
      <c r="AC358" s="392"/>
      <c r="AD358" s="392"/>
      <c r="AE358" s="392"/>
      <c r="AF358" s="392"/>
      <c r="AG358" s="392"/>
      <c r="AH358" s="392"/>
      <c r="AI358" s="213"/>
      <c r="AJ358" s="213"/>
      <c r="AK358" s="213"/>
      <c r="AL358" s="213"/>
      <c r="AM358" s="213"/>
      <c r="AN358" s="213"/>
      <c r="AO358" s="180"/>
      <c r="AP358" s="180"/>
      <c r="AQ358" s="180"/>
      <c r="AR358" s="180"/>
      <c r="AS358" s="180"/>
      <c r="AT358" s="180"/>
      <c r="AU358" s="180"/>
      <c r="AV358" s="201"/>
      <c r="AW358" s="207"/>
      <c r="AX358" s="208"/>
      <c r="AY358" s="208"/>
      <c r="AZ358" s="208"/>
      <c r="BA358" s="208"/>
      <c r="BB358" s="208"/>
      <c r="BC358" s="242"/>
    </row>
    <row r="359" spans="2:55" ht="12.75" customHeight="1">
      <c r="B359" s="260"/>
      <c r="C359" s="176"/>
      <c r="D359" s="176"/>
      <c r="E359" s="176"/>
      <c r="F359" s="176"/>
      <c r="G359" s="213"/>
      <c r="H359" s="256"/>
      <c r="I359" s="237"/>
      <c r="J359" s="189" t="s">
        <v>284</v>
      </c>
      <c r="K359" s="200"/>
      <c r="L359" s="200"/>
      <c r="M359" s="200"/>
      <c r="N359" s="200"/>
      <c r="O359" s="200"/>
      <c r="P359" s="200"/>
      <c r="Q359" s="200"/>
      <c r="R359" s="200"/>
      <c r="S359" s="176"/>
      <c r="T359" s="176"/>
      <c r="U359" s="176"/>
      <c r="V359" s="176"/>
      <c r="W359" s="176" t="s">
        <v>95</v>
      </c>
      <c r="X359" s="393">
        <f>VLOOKUP(X356, 'DATA SHEET'!J89:S99,6, FALSE)</f>
        <v>19</v>
      </c>
      <c r="Y359" s="393"/>
      <c r="Z359" s="393"/>
      <c r="AA359" s="393"/>
      <c r="AB359" s="393"/>
      <c r="AC359" s="393"/>
      <c r="AD359" s="393"/>
      <c r="AE359" s="393"/>
      <c r="AF359" s="393"/>
      <c r="AG359" s="393"/>
      <c r="AH359" s="393"/>
      <c r="AI359" s="213"/>
      <c r="AJ359" s="213"/>
      <c r="AK359" s="213"/>
      <c r="AL359" s="213"/>
      <c r="AM359" s="213"/>
      <c r="AN359" s="213"/>
      <c r="AO359" s="180"/>
      <c r="AP359" s="180"/>
      <c r="AQ359" s="180"/>
      <c r="AR359" s="180"/>
      <c r="AS359" s="180"/>
      <c r="AT359" s="180"/>
      <c r="AU359" s="180"/>
      <c r="AV359" s="201"/>
      <c r="AW359" s="207"/>
      <c r="AX359" s="208"/>
      <c r="AY359" s="208"/>
      <c r="AZ359" s="208"/>
      <c r="BA359" s="208"/>
      <c r="BB359" s="208"/>
      <c r="BC359" s="242"/>
    </row>
    <row r="360" spans="2:55" ht="12.75" customHeight="1">
      <c r="B360" s="260"/>
      <c r="C360" s="176"/>
      <c r="D360" s="176"/>
      <c r="E360" s="176"/>
      <c r="F360" s="176"/>
      <c r="G360" s="213"/>
      <c r="H360" s="256"/>
      <c r="I360" s="237"/>
      <c r="J360" s="332" t="s">
        <v>296</v>
      </c>
      <c r="K360" s="291"/>
      <c r="L360" s="291"/>
      <c r="M360" s="291"/>
      <c r="N360" s="291"/>
      <c r="O360" s="291"/>
      <c r="P360" s="291"/>
      <c r="Q360" s="291"/>
      <c r="R360" s="333"/>
      <c r="S360" s="273" t="s">
        <v>316</v>
      </c>
      <c r="T360" s="176"/>
      <c r="U360" s="176"/>
      <c r="V360" s="176"/>
      <c r="W360" s="176" t="s">
        <v>95</v>
      </c>
      <c r="X360" s="336">
        <f>VLOOKUP(X356, 'DATA SHEET'!J89:Q100, 8, FALSE)</f>
        <v>36</v>
      </c>
      <c r="Y360" s="336"/>
      <c r="Z360" s="336"/>
      <c r="AA360" s="336"/>
      <c r="AB360" s="336"/>
      <c r="AC360" s="336"/>
      <c r="AD360" s="336"/>
      <c r="AE360" s="336"/>
      <c r="AF360" s="336"/>
      <c r="AG360" s="336"/>
      <c r="AH360" s="336"/>
      <c r="AI360" s="213"/>
      <c r="AJ360" s="213"/>
      <c r="AK360" s="213"/>
      <c r="AL360" s="213"/>
      <c r="AM360" s="213"/>
      <c r="AN360" s="213"/>
      <c r="AO360" s="180"/>
      <c r="AP360" s="180"/>
      <c r="AQ360" s="180"/>
      <c r="AR360" s="180"/>
      <c r="AS360" s="180"/>
      <c r="AT360" s="180"/>
      <c r="AU360" s="180"/>
      <c r="AV360" s="201"/>
      <c r="AW360" s="207"/>
      <c r="AX360" s="208"/>
      <c r="AY360" s="208"/>
      <c r="AZ360" s="208"/>
      <c r="BA360" s="208"/>
      <c r="BB360" s="208"/>
      <c r="BC360" s="242"/>
    </row>
    <row r="361" spans="2:55" ht="12.75" customHeight="1">
      <c r="B361" s="260"/>
      <c r="C361" s="176"/>
      <c r="D361" s="176"/>
      <c r="E361" s="176"/>
      <c r="F361" s="176"/>
      <c r="G361" s="213"/>
      <c r="H361" s="256"/>
      <c r="I361" s="237"/>
      <c r="J361" s="189" t="s">
        <v>109</v>
      </c>
      <c r="K361" s="200"/>
      <c r="L361" s="200"/>
      <c r="M361" s="200"/>
      <c r="N361" s="200"/>
      <c r="O361" s="200"/>
      <c r="P361" s="200"/>
      <c r="Q361" s="200"/>
      <c r="R361" s="200"/>
      <c r="S361" s="176"/>
      <c r="T361" s="176"/>
      <c r="U361" s="176"/>
      <c r="V361" s="176"/>
      <c r="W361" s="176" t="s">
        <v>95</v>
      </c>
      <c r="X361" s="394">
        <v>2.81</v>
      </c>
      <c r="Y361" s="394"/>
      <c r="Z361" s="394"/>
      <c r="AA361" s="394"/>
      <c r="AB361" s="394"/>
      <c r="AC361" s="394"/>
      <c r="AD361" s="394"/>
      <c r="AE361" s="394"/>
      <c r="AF361" s="394"/>
      <c r="AG361" s="394"/>
      <c r="AH361" s="394"/>
      <c r="AI361" s="213"/>
      <c r="AJ361" s="213"/>
      <c r="AK361" s="213"/>
      <c r="AL361" s="213"/>
      <c r="AM361" s="213"/>
      <c r="AN361" s="213"/>
      <c r="AO361" s="180"/>
      <c r="AP361" s="180"/>
      <c r="AQ361" s="180"/>
      <c r="AR361" s="180"/>
      <c r="AS361" s="180"/>
      <c r="AT361" s="180"/>
      <c r="AU361" s="180"/>
      <c r="AV361" s="201"/>
      <c r="AW361" s="207"/>
      <c r="AX361" s="208"/>
      <c r="AY361" s="208"/>
      <c r="AZ361" s="208"/>
      <c r="BA361" s="208"/>
      <c r="BB361" s="208"/>
      <c r="BC361" s="242"/>
    </row>
    <row r="362" spans="2:55" ht="12.75" customHeight="1">
      <c r="B362" s="260"/>
      <c r="C362" s="176"/>
      <c r="D362" s="176"/>
      <c r="E362" s="176"/>
      <c r="F362" s="176"/>
      <c r="G362" s="213"/>
      <c r="H362" s="256"/>
      <c r="I362" s="237"/>
      <c r="J362" s="189" t="s">
        <v>110</v>
      </c>
      <c r="K362" s="200"/>
      <c r="L362" s="200"/>
      <c r="M362" s="200"/>
      <c r="N362" s="200"/>
      <c r="O362" s="200"/>
      <c r="P362" s="200"/>
      <c r="Q362" s="200"/>
      <c r="R362" s="200"/>
      <c r="S362" s="176"/>
      <c r="T362" s="176"/>
      <c r="U362" s="176"/>
      <c r="V362" s="176"/>
      <c r="W362" s="176" t="s">
        <v>95</v>
      </c>
      <c r="X362" s="394">
        <f>AN85</f>
        <v>5.61</v>
      </c>
      <c r="Y362" s="394"/>
      <c r="Z362" s="394"/>
      <c r="AA362" s="394"/>
      <c r="AB362" s="394"/>
      <c r="AC362" s="394"/>
      <c r="AD362" s="394"/>
      <c r="AE362" s="394"/>
      <c r="AF362" s="394"/>
      <c r="AG362" s="394"/>
      <c r="AH362" s="394"/>
      <c r="AI362" s="176"/>
      <c r="AJ362" s="176"/>
      <c r="AK362" s="176"/>
      <c r="AL362" s="176"/>
      <c r="AM362" s="176"/>
      <c r="AN362" s="176"/>
      <c r="AO362" s="180"/>
      <c r="AP362" s="180"/>
      <c r="AQ362" s="180"/>
      <c r="AR362" s="180"/>
      <c r="AS362" s="180"/>
      <c r="AT362" s="180"/>
      <c r="AU362" s="180"/>
      <c r="AV362" s="201"/>
      <c r="AW362" s="207"/>
      <c r="AX362" s="208"/>
      <c r="AY362" s="208"/>
      <c r="AZ362" s="208"/>
      <c r="BA362" s="208"/>
      <c r="BB362" s="208"/>
      <c r="BC362" s="242"/>
    </row>
    <row r="363" spans="2:55" ht="12.75" customHeight="1">
      <c r="B363" s="260"/>
      <c r="C363" s="176"/>
      <c r="D363" s="176"/>
      <c r="E363" s="176"/>
      <c r="F363" s="176"/>
      <c r="G363" s="213"/>
      <c r="H363" s="256"/>
      <c r="I363" s="237"/>
      <c r="J363" s="189" t="s">
        <v>326</v>
      </c>
      <c r="K363" s="200"/>
      <c r="L363" s="200"/>
      <c r="M363" s="200"/>
      <c r="N363" s="200"/>
      <c r="O363" s="200"/>
      <c r="P363" s="200"/>
      <c r="Q363" s="200"/>
      <c r="R363" s="200"/>
      <c r="S363" s="176"/>
      <c r="T363" s="176"/>
      <c r="U363" s="176"/>
      <c r="V363" s="176"/>
      <c r="W363" s="176" t="s">
        <v>95</v>
      </c>
      <c r="X363" s="564">
        <f>X358</f>
        <v>0</v>
      </c>
      <c r="Y363" s="564"/>
      <c r="Z363" s="564"/>
      <c r="AA363" s="564"/>
      <c r="AB363" s="564"/>
      <c r="AC363" s="564"/>
      <c r="AD363" s="564"/>
      <c r="AE363" s="564"/>
      <c r="AF363" s="564"/>
      <c r="AG363" s="564"/>
      <c r="AH363" s="564"/>
      <c r="AI363" s="208"/>
      <c r="AJ363" s="189"/>
      <c r="AK363" s="208"/>
      <c r="AL363" s="208"/>
      <c r="AM363" s="208"/>
      <c r="AN363" s="208"/>
      <c r="AO363" s="208"/>
      <c r="AP363" s="208"/>
      <c r="AQ363" s="208"/>
      <c r="AR363" s="208"/>
      <c r="AS363" s="208"/>
      <c r="AT363" s="208"/>
      <c r="AU363" s="208"/>
      <c r="AV363" s="201"/>
      <c r="AW363" s="207"/>
      <c r="AX363" s="208"/>
      <c r="AY363" s="208"/>
      <c r="AZ363" s="208"/>
      <c r="BA363" s="208"/>
      <c r="BB363" s="208"/>
      <c r="BC363" s="242"/>
    </row>
    <row r="364" spans="2:55" ht="12.75" customHeight="1">
      <c r="B364" s="260"/>
      <c r="C364" s="176"/>
      <c r="D364" s="176"/>
      <c r="E364" s="176"/>
      <c r="F364" s="176"/>
      <c r="G364" s="213"/>
      <c r="H364" s="256"/>
      <c r="I364" s="237"/>
      <c r="J364" s="189" t="s">
        <v>111</v>
      </c>
      <c r="K364" s="200"/>
      <c r="L364" s="200"/>
      <c r="M364" s="200"/>
      <c r="N364" s="200"/>
      <c r="O364" s="200"/>
      <c r="P364" s="200"/>
      <c r="Q364" s="200"/>
      <c r="R364" s="200"/>
      <c r="S364" s="176"/>
      <c r="T364" s="176"/>
      <c r="U364" s="176"/>
      <c r="V364" s="176"/>
      <c r="W364" s="176" t="s">
        <v>95</v>
      </c>
      <c r="X364" s="392">
        <f>AR328</f>
        <v>18.669001084743183</v>
      </c>
      <c r="Y364" s="392"/>
      <c r="Z364" s="392"/>
      <c r="AA364" s="392"/>
      <c r="AB364" s="392"/>
      <c r="AC364" s="392"/>
      <c r="AD364" s="392"/>
      <c r="AE364" s="392"/>
      <c r="AF364" s="392"/>
      <c r="AG364" s="392"/>
      <c r="AH364" s="392"/>
      <c r="AI364" s="176"/>
      <c r="AJ364" s="176"/>
      <c r="AK364" s="176"/>
      <c r="AL364" s="176"/>
      <c r="AM364" s="176"/>
      <c r="AN364" s="176"/>
      <c r="AO364" s="180"/>
      <c r="AP364" s="180"/>
      <c r="AQ364" s="180"/>
      <c r="AR364" s="180"/>
      <c r="AS364" s="180"/>
      <c r="AT364" s="180"/>
      <c r="AU364" s="180"/>
      <c r="AV364" s="201"/>
      <c r="AW364" s="207"/>
      <c r="AX364" s="208"/>
      <c r="AY364" s="208"/>
      <c r="AZ364" s="208"/>
      <c r="BA364" s="208"/>
      <c r="BB364" s="208"/>
      <c r="BC364" s="242"/>
    </row>
    <row r="365" spans="2:55" ht="12.75" customHeight="1">
      <c r="B365" s="388" t="s">
        <v>124</v>
      </c>
      <c r="C365" s="388"/>
      <c r="D365" s="388"/>
      <c r="E365" s="388"/>
      <c r="F365" s="388"/>
      <c r="G365" s="388"/>
      <c r="H365" s="388"/>
      <c r="I365" s="237"/>
      <c r="J365" s="189" t="s">
        <v>112</v>
      </c>
      <c r="K365" s="200"/>
      <c r="L365" s="200"/>
      <c r="M365" s="200"/>
      <c r="N365" s="200"/>
      <c r="O365" s="200"/>
      <c r="P365" s="200"/>
      <c r="Q365" s="200"/>
      <c r="R365" s="292"/>
      <c r="S365" s="176"/>
      <c r="T365" s="176"/>
      <c r="U365" s="176"/>
      <c r="V365" s="176"/>
      <c r="W365" s="176" t="s">
        <v>95</v>
      </c>
      <c r="X365" s="573">
        <f>VLOOKUP(AI365, 'DATA SHEET'!A74:C75,2, FALSE)</f>
        <v>1.3</v>
      </c>
      <c r="Y365" s="574"/>
      <c r="Z365" s="574"/>
      <c r="AA365" s="574"/>
      <c r="AB365" s="574"/>
      <c r="AC365" s="574"/>
      <c r="AD365" s="574"/>
      <c r="AE365" s="574"/>
      <c r="AF365" s="574"/>
      <c r="AG365" s="574"/>
      <c r="AH365" s="574"/>
      <c r="AI365" s="570" t="s">
        <v>87</v>
      </c>
      <c r="AJ365" s="570"/>
      <c r="AK365" s="570"/>
      <c r="AL365" s="570"/>
      <c r="AM365" s="570"/>
      <c r="AN365" s="570"/>
      <c r="AO365" s="570"/>
      <c r="AP365" s="570"/>
      <c r="AQ365" s="570"/>
      <c r="AR365" s="570"/>
      <c r="AS365" s="570"/>
      <c r="AT365" s="570"/>
      <c r="AU365" s="570"/>
      <c r="AV365" s="571"/>
      <c r="AW365" s="207"/>
      <c r="AX365" s="208"/>
      <c r="AY365" s="208"/>
      <c r="AZ365" s="208"/>
      <c r="BA365" s="208"/>
      <c r="BB365" s="208"/>
      <c r="BC365" s="242"/>
    </row>
    <row r="366" spans="2:55" ht="12.75" customHeight="1">
      <c r="B366" s="388"/>
      <c r="C366" s="388"/>
      <c r="D366" s="388"/>
      <c r="E366" s="388"/>
      <c r="F366" s="388"/>
      <c r="G366" s="388"/>
      <c r="H366" s="388"/>
      <c r="I366" s="237"/>
      <c r="J366" s="176"/>
      <c r="K366" s="176"/>
      <c r="L366" s="176"/>
      <c r="M366" s="176"/>
      <c r="N366" s="176"/>
      <c r="O366" s="176"/>
      <c r="P366" s="176"/>
      <c r="Q366" s="176"/>
      <c r="R366" s="176"/>
      <c r="S366" s="176"/>
      <c r="T366" s="176"/>
      <c r="U366" s="176"/>
      <c r="V366" s="176"/>
      <c r="W366" s="176"/>
      <c r="X366" s="293"/>
      <c r="Y366" s="293"/>
      <c r="Z366" s="293"/>
      <c r="AA366" s="293"/>
      <c r="AB366" s="176"/>
      <c r="AC366" s="176"/>
      <c r="AD366" s="176"/>
      <c r="AE366" s="259"/>
      <c r="AF366" s="259"/>
      <c r="AG366" s="259"/>
      <c r="AH366" s="259"/>
      <c r="AI366" s="259"/>
      <c r="AJ366" s="259"/>
      <c r="AK366" s="259"/>
      <c r="AL366" s="259"/>
      <c r="AM366" s="259"/>
      <c r="AN366" s="259"/>
      <c r="AO366" s="259"/>
      <c r="AP366" s="259"/>
      <c r="AQ366" s="259"/>
      <c r="AR366" s="259"/>
      <c r="AS366" s="259"/>
      <c r="AT366" s="259"/>
      <c r="AU366" s="180"/>
      <c r="AV366" s="201"/>
      <c r="AW366" s="207"/>
      <c r="AX366" s="208"/>
      <c r="AY366" s="208"/>
      <c r="AZ366" s="208"/>
      <c r="BA366" s="208"/>
      <c r="BB366" s="208"/>
      <c r="BC366" s="242"/>
    </row>
    <row r="367" spans="2:55" ht="12.75" customHeight="1">
      <c r="B367" s="207"/>
      <c r="C367" s="208"/>
      <c r="D367" s="208"/>
      <c r="E367" s="208"/>
      <c r="F367" s="208"/>
      <c r="G367" s="208"/>
      <c r="H367" s="256"/>
      <c r="I367" s="237"/>
      <c r="J367" s="189" t="s">
        <v>327</v>
      </c>
      <c r="K367" s="208"/>
      <c r="L367" s="208"/>
      <c r="M367" s="208"/>
      <c r="N367" s="208"/>
      <c r="O367" s="208"/>
      <c r="P367" s="208"/>
      <c r="Q367" s="208"/>
      <c r="R367" s="208"/>
      <c r="S367" s="208"/>
      <c r="T367" s="176"/>
      <c r="U367" s="208"/>
      <c r="V367" s="208"/>
      <c r="W367" s="208"/>
      <c r="X367" s="385">
        <f>X364</f>
        <v>18.669001084743183</v>
      </c>
      <c r="Y367" s="385"/>
      <c r="Z367" s="385"/>
      <c r="AA367" s="385"/>
      <c r="AB367" s="385"/>
      <c r="AC367" s="385"/>
      <c r="AE367" s="176" t="s">
        <v>97</v>
      </c>
      <c r="AF367" s="400">
        <f>X365</f>
        <v>1.3</v>
      </c>
      <c r="AG367" s="471"/>
      <c r="AH367" s="471"/>
      <c r="AI367" s="294"/>
      <c r="AJ367" s="294"/>
      <c r="AK367" s="294"/>
      <c r="AL367" s="294"/>
      <c r="AM367" s="294"/>
      <c r="AN367" s="294"/>
      <c r="AO367" s="176" t="s">
        <v>95</v>
      </c>
      <c r="AP367" s="385">
        <f>X367*AF367</f>
        <v>24.269701410166139</v>
      </c>
      <c r="AQ367" s="385"/>
      <c r="AR367" s="385"/>
      <c r="AS367" s="385"/>
      <c r="AT367" s="385"/>
      <c r="AU367" s="385"/>
      <c r="AV367" s="201"/>
      <c r="AW367" s="207"/>
      <c r="AX367" s="208"/>
      <c r="AY367" s="208"/>
      <c r="AZ367" s="208"/>
      <c r="BA367" s="208"/>
      <c r="BB367" s="208"/>
      <c r="BC367" s="242"/>
    </row>
    <row r="368" spans="2:55" ht="12.75" customHeight="1">
      <c r="B368" s="207"/>
      <c r="C368" s="208"/>
      <c r="D368" s="208"/>
      <c r="E368" s="208"/>
      <c r="F368" s="208"/>
      <c r="G368" s="208"/>
      <c r="H368" s="256"/>
      <c r="I368" s="237"/>
      <c r="J368" s="208"/>
      <c r="K368" s="208"/>
      <c r="L368" s="208"/>
      <c r="M368" s="208"/>
      <c r="N368" s="208"/>
      <c r="O368" s="208"/>
      <c r="P368" s="208"/>
      <c r="Q368" s="176"/>
      <c r="R368" s="176"/>
      <c r="S368" s="176"/>
      <c r="T368" s="176"/>
      <c r="U368" s="176"/>
      <c r="V368" s="176"/>
      <c r="W368" s="208"/>
      <c r="X368" s="208"/>
      <c r="Y368" s="208"/>
      <c r="Z368" s="208"/>
      <c r="AA368" s="208"/>
      <c r="AB368" s="208"/>
      <c r="AC368" s="208"/>
      <c r="AD368" s="176"/>
      <c r="AE368" s="295"/>
      <c r="AF368" s="295"/>
      <c r="AG368" s="295"/>
      <c r="AH368" s="295"/>
      <c r="AI368" s="295"/>
      <c r="AJ368" s="295"/>
      <c r="AK368" s="295"/>
      <c r="AL368" s="295"/>
      <c r="AM368" s="295"/>
      <c r="AN368" s="295"/>
      <c r="AO368" s="208"/>
      <c r="AP368" s="208"/>
      <c r="AQ368" s="208"/>
      <c r="AR368" s="208"/>
      <c r="AS368" s="208"/>
      <c r="AT368" s="208"/>
      <c r="AU368" s="208"/>
      <c r="AV368" s="201"/>
      <c r="AW368" s="207"/>
      <c r="AX368" s="208"/>
      <c r="AY368" s="208"/>
      <c r="AZ368" s="208"/>
      <c r="BA368" s="208"/>
      <c r="BB368" s="208"/>
      <c r="BC368" s="242"/>
    </row>
    <row r="369" spans="2:55" ht="12.75" customHeight="1">
      <c r="B369" s="260"/>
      <c r="C369" s="176"/>
      <c r="D369" s="176"/>
      <c r="E369" s="176"/>
      <c r="F369" s="176"/>
      <c r="G369" s="213"/>
      <c r="H369" s="256"/>
      <c r="I369" s="237"/>
      <c r="J369" s="189" t="s">
        <v>113</v>
      </c>
      <c r="K369" s="208"/>
      <c r="L369" s="208"/>
      <c r="M369" s="208"/>
      <c r="N369" s="208"/>
      <c r="O369" s="208"/>
      <c r="P369" s="208"/>
      <c r="Q369" s="208"/>
      <c r="R369" s="208"/>
      <c r="S369" s="208"/>
      <c r="T369" s="176"/>
      <c r="U369" s="176"/>
      <c r="V369" s="176"/>
      <c r="W369" s="176"/>
      <c r="X369" s="176"/>
      <c r="Y369" s="208"/>
      <c r="Z369" s="208"/>
      <c r="AA369" s="208"/>
      <c r="AB369" s="208"/>
      <c r="AC369" s="176"/>
      <c r="AD369" s="176"/>
      <c r="AE369" s="296"/>
      <c r="AF369" s="296"/>
      <c r="AK369" s="208"/>
      <c r="AL369" s="208"/>
      <c r="AM369" s="208"/>
      <c r="AN369" s="208"/>
      <c r="AO369" s="208"/>
      <c r="AP369" s="208"/>
      <c r="AQ369" s="227" t="s">
        <v>95</v>
      </c>
      <c r="AR369" s="400">
        <f>VLOOKUP(AI365, 'DATA SHEET'!A74:C75,3, FALSE)</f>
        <v>1.25</v>
      </c>
      <c r="AS369" s="400"/>
      <c r="AT369" s="400"/>
      <c r="AU369" s="400"/>
      <c r="AV369" s="201"/>
      <c r="AW369" s="207"/>
      <c r="AX369" s="208"/>
      <c r="AY369" s="208"/>
      <c r="AZ369" s="208"/>
      <c r="BA369" s="208"/>
      <c r="BB369" s="208"/>
      <c r="BC369" s="242"/>
    </row>
    <row r="370" spans="2:55" ht="12.75" customHeight="1">
      <c r="B370" s="260"/>
      <c r="C370" s="176"/>
      <c r="D370" s="176"/>
      <c r="E370" s="176"/>
      <c r="F370" s="176"/>
      <c r="G370" s="213"/>
      <c r="H370" s="256"/>
      <c r="I370" s="237"/>
      <c r="J370" s="208"/>
      <c r="K370" s="208"/>
      <c r="L370" s="208"/>
      <c r="M370" s="208"/>
      <c r="N370" s="208"/>
      <c r="O370" s="208"/>
      <c r="P370" s="208"/>
      <c r="Q370" s="208"/>
      <c r="R370" s="208"/>
      <c r="S370" s="208"/>
      <c r="T370" s="208"/>
      <c r="U370" s="208"/>
      <c r="V370" s="208"/>
      <c r="W370" s="208"/>
      <c r="X370" s="208"/>
      <c r="Y370" s="208"/>
      <c r="Z370" s="208"/>
      <c r="AA370" s="208"/>
      <c r="AB370" s="208"/>
      <c r="AC370" s="208"/>
      <c r="AD370" s="208"/>
      <c r="AE370" s="208"/>
      <c r="AF370" s="208"/>
      <c r="AG370" s="208"/>
      <c r="AH370" s="208"/>
      <c r="AI370" s="208"/>
      <c r="AJ370" s="189"/>
      <c r="AK370" s="208"/>
      <c r="AL370" s="208"/>
      <c r="AM370" s="208"/>
      <c r="AN370" s="208"/>
      <c r="AO370" s="208"/>
      <c r="AP370" s="208"/>
      <c r="AQ370" s="208"/>
      <c r="AR370" s="208"/>
      <c r="AS370" s="208"/>
      <c r="AT370" s="208"/>
      <c r="AU370" s="208"/>
      <c r="AV370" s="201"/>
      <c r="AW370" s="207"/>
      <c r="AX370" s="208"/>
      <c r="AY370" s="208"/>
      <c r="AZ370" s="208"/>
      <c r="BA370" s="208"/>
      <c r="BB370" s="208"/>
      <c r="BC370" s="242"/>
    </row>
    <row r="371" spans="2:55" ht="12.75" customHeight="1">
      <c r="B371" s="388" t="s">
        <v>145</v>
      </c>
      <c r="C371" s="388"/>
      <c r="D371" s="388"/>
      <c r="E371" s="388"/>
      <c r="F371" s="388"/>
      <c r="G371" s="388"/>
      <c r="H371" s="388"/>
      <c r="I371" s="237"/>
      <c r="J371" s="181" t="s">
        <v>114</v>
      </c>
      <c r="K371" s="176"/>
      <c r="L371" s="176"/>
      <c r="M371" s="176"/>
      <c r="N371" s="176"/>
      <c r="O371" s="176"/>
      <c r="P371" s="176"/>
      <c r="Q371" s="176"/>
      <c r="R371" s="176"/>
      <c r="S371" s="176"/>
      <c r="T371" s="176"/>
      <c r="U371" s="176"/>
      <c r="V371" s="176"/>
      <c r="W371" s="176"/>
      <c r="X371" s="176"/>
      <c r="Y371" s="176"/>
      <c r="Z371" s="176"/>
      <c r="AA371" s="176"/>
      <c r="AB371" s="176"/>
      <c r="AC371" s="176"/>
      <c r="AD371" s="176"/>
      <c r="AE371" s="176"/>
      <c r="AF371" s="176"/>
      <c r="AG371" s="176"/>
      <c r="AH371" s="176"/>
      <c r="AI371" s="176"/>
      <c r="AJ371" s="176"/>
      <c r="AK371" s="176"/>
      <c r="AL371" s="176"/>
      <c r="AM371" s="176"/>
      <c r="AN371" s="176"/>
      <c r="AO371" s="208"/>
      <c r="AP371" s="208"/>
      <c r="AQ371" s="208"/>
      <c r="AR371" s="208"/>
      <c r="AS371" s="208"/>
      <c r="AT371" s="208"/>
      <c r="AU371" s="208"/>
      <c r="AV371" s="201"/>
      <c r="AW371" s="207"/>
      <c r="AX371" s="208"/>
      <c r="AY371" s="208"/>
      <c r="AZ371" s="208"/>
      <c r="BA371" s="208"/>
      <c r="BB371" s="208"/>
      <c r="BC371" s="242"/>
    </row>
    <row r="372" spans="2:55" ht="12.75" customHeight="1">
      <c r="B372" s="388"/>
      <c r="C372" s="388"/>
      <c r="D372" s="388"/>
      <c r="E372" s="388"/>
      <c r="F372" s="388"/>
      <c r="G372" s="388"/>
      <c r="H372" s="388"/>
      <c r="I372" s="237"/>
      <c r="J372" s="337" t="s">
        <v>319</v>
      </c>
      <c r="K372" s="337"/>
      <c r="L372" s="337"/>
      <c r="M372" s="337"/>
      <c r="N372" s="337"/>
      <c r="O372" s="337"/>
      <c r="P372" s="337"/>
      <c r="Q372" s="337"/>
      <c r="R372" s="337"/>
      <c r="S372" s="337"/>
      <c r="T372" s="176"/>
      <c r="U372" s="176" t="s">
        <v>95</v>
      </c>
      <c r="V372" s="336">
        <f>FLOOR(DEGREES(ATAN( TAN(RADIANS(X360)) / AR369 )), 1)</f>
        <v>30</v>
      </c>
      <c r="W372" s="336"/>
      <c r="X372" s="336"/>
      <c r="Y372" s="336"/>
      <c r="Z372" s="176"/>
      <c r="AA372" s="176"/>
      <c r="AB372" s="176"/>
      <c r="AC372" s="176"/>
      <c r="AD372" s="297"/>
      <c r="AE372" s="297"/>
      <c r="AF372" s="297"/>
      <c r="AG372" s="297"/>
      <c r="AH372" s="297"/>
      <c r="AI372" s="297"/>
      <c r="AJ372" s="297"/>
      <c r="AK372" s="297"/>
      <c r="AL372" s="297"/>
      <c r="AM372" s="297"/>
      <c r="AN372" s="297"/>
      <c r="AO372" s="208"/>
      <c r="AP372" s="208"/>
      <c r="AQ372" s="208"/>
      <c r="AR372" s="208"/>
      <c r="AS372" s="208"/>
      <c r="AT372" s="208"/>
      <c r="AU372" s="208"/>
      <c r="AV372" s="201"/>
      <c r="AW372" s="207"/>
      <c r="AX372" s="208"/>
      <c r="AY372" s="208"/>
      <c r="AZ372" s="208"/>
      <c r="BA372" s="208"/>
      <c r="BB372" s="208"/>
      <c r="BC372" s="242"/>
    </row>
    <row r="373" spans="2:55" ht="12.75" customHeight="1">
      <c r="B373" s="260"/>
      <c r="C373" s="176"/>
      <c r="D373" s="176"/>
      <c r="E373" s="176"/>
      <c r="F373" s="176"/>
      <c r="G373" s="213"/>
      <c r="H373" s="256"/>
      <c r="I373" s="237"/>
      <c r="J373" s="337" t="s">
        <v>278</v>
      </c>
      <c r="K373" s="337"/>
      <c r="L373" s="337"/>
      <c r="M373" s="337"/>
      <c r="N373" s="337"/>
      <c r="O373" s="337"/>
      <c r="P373" s="337"/>
      <c r="Q373" s="337"/>
      <c r="R373" s="337"/>
      <c r="S373" s="337"/>
      <c r="T373" s="176"/>
      <c r="U373" s="176" t="s">
        <v>95</v>
      </c>
      <c r="V373" s="336">
        <f>VLOOKUP(V372, 'DATA SHEET'!A80:F130,5, FALSE)</f>
        <v>18.401122218708668</v>
      </c>
      <c r="W373" s="336"/>
      <c r="X373" s="336"/>
      <c r="Y373" s="336"/>
      <c r="Z373" s="273"/>
      <c r="AA373" s="176"/>
      <c r="AB373" s="176"/>
      <c r="AC373" s="273" t="s">
        <v>115</v>
      </c>
      <c r="AD373" s="176"/>
      <c r="AE373" s="176"/>
      <c r="AF373" s="176"/>
      <c r="AG373" s="176"/>
      <c r="AH373" s="176"/>
      <c r="AI373" s="176"/>
      <c r="AJ373" s="176"/>
      <c r="AK373" s="176"/>
      <c r="AL373" s="176"/>
      <c r="AM373" s="176"/>
      <c r="AN373" s="176"/>
      <c r="AO373" s="208"/>
      <c r="AP373" s="208"/>
      <c r="AQ373" s="208"/>
      <c r="AR373" s="208"/>
      <c r="AS373" s="208"/>
      <c r="AT373" s="208"/>
      <c r="AU373" s="208"/>
      <c r="AV373" s="201"/>
      <c r="AW373" s="207"/>
      <c r="AX373" s="208"/>
      <c r="AY373" s="208"/>
      <c r="AZ373" s="208"/>
      <c r="BA373" s="208"/>
      <c r="BB373" s="208"/>
      <c r="BC373" s="242"/>
    </row>
    <row r="374" spans="2:55" ht="12.75" customHeight="1">
      <c r="B374" s="260"/>
      <c r="C374" s="176"/>
      <c r="D374" s="176"/>
      <c r="E374" s="176"/>
      <c r="F374" s="176"/>
      <c r="G374" s="213"/>
      <c r="H374" s="256"/>
      <c r="I374" s="237"/>
      <c r="J374" s="337" t="s">
        <v>279</v>
      </c>
      <c r="K374" s="337"/>
      <c r="L374" s="337"/>
      <c r="M374" s="337"/>
      <c r="N374" s="337"/>
      <c r="O374" s="337"/>
      <c r="P374" s="337"/>
      <c r="Q374" s="337"/>
      <c r="R374" s="337"/>
      <c r="S374" s="337"/>
      <c r="T374" s="176"/>
      <c r="U374" s="176" t="s">
        <v>95</v>
      </c>
      <c r="V374" s="336">
        <f>VLOOKUP(V372, 'DATA SHEET'!A80:F130,4, FALSE)</f>
        <v>30.139627791519086</v>
      </c>
      <c r="W374" s="336"/>
      <c r="X374" s="336"/>
      <c r="Y374" s="336"/>
      <c r="Z374" s="273"/>
      <c r="AA374" s="176"/>
      <c r="AB374" s="176"/>
      <c r="AC374" s="273" t="s">
        <v>115</v>
      </c>
      <c r="AD374" s="176"/>
      <c r="AE374" s="176"/>
      <c r="AF374" s="176"/>
      <c r="AG374" s="176"/>
      <c r="AH374" s="176"/>
      <c r="AI374" s="176"/>
      <c r="AJ374" s="176"/>
      <c r="AK374" s="176"/>
      <c r="AL374" s="176"/>
      <c r="AM374" s="176"/>
      <c r="AN374" s="176"/>
      <c r="AO374" s="208"/>
      <c r="AP374" s="208"/>
      <c r="AQ374" s="208"/>
      <c r="AR374" s="208"/>
      <c r="AS374" s="208"/>
      <c r="AT374" s="208"/>
      <c r="AU374" s="208"/>
      <c r="AV374" s="201"/>
      <c r="AW374" s="207"/>
      <c r="AX374" s="208"/>
      <c r="AY374" s="208"/>
      <c r="AZ374" s="208"/>
      <c r="BA374" s="208"/>
      <c r="BB374" s="208"/>
      <c r="BC374" s="242"/>
    </row>
    <row r="375" spans="2:55" ht="12.75" customHeight="1">
      <c r="B375" s="558" t="s">
        <v>280</v>
      </c>
      <c r="C375" s="559"/>
      <c r="D375" s="559"/>
      <c r="E375" s="559"/>
      <c r="F375" s="559"/>
      <c r="G375" s="559"/>
      <c r="H375" s="560"/>
      <c r="I375" s="237"/>
      <c r="J375" s="337" t="s">
        <v>295</v>
      </c>
      <c r="K375" s="337"/>
      <c r="L375" s="337"/>
      <c r="M375" s="337"/>
      <c r="N375" s="337"/>
      <c r="O375" s="337"/>
      <c r="P375" s="337"/>
      <c r="Q375" s="337"/>
      <c r="R375" s="337"/>
      <c r="S375" s="337"/>
      <c r="T375" s="176"/>
      <c r="U375" s="176" t="s">
        <v>95</v>
      </c>
      <c r="V375" s="336">
        <f>VLOOKUP(V372, 'DATA SHEET'!A80:F130,6, FALSE)</f>
        <v>15.668040821046286</v>
      </c>
      <c r="W375" s="336"/>
      <c r="X375" s="336"/>
      <c r="Y375" s="336"/>
      <c r="Z375" s="273"/>
      <c r="AA375" s="176"/>
      <c r="AB375" s="176"/>
      <c r="AC375" s="273" t="s">
        <v>115</v>
      </c>
      <c r="AD375" s="176"/>
      <c r="AE375" s="176"/>
      <c r="AF375" s="176"/>
      <c r="AG375" s="176"/>
      <c r="AH375" s="176"/>
      <c r="AI375" s="176"/>
      <c r="AJ375" s="176"/>
      <c r="AK375" s="176"/>
      <c r="AL375" s="176"/>
      <c r="AM375" s="176"/>
      <c r="AN375" s="176"/>
      <c r="AO375" s="208"/>
      <c r="AP375" s="208"/>
      <c r="AQ375" s="208"/>
      <c r="AR375" s="208"/>
      <c r="AS375" s="208"/>
      <c r="AT375" s="208"/>
      <c r="AU375" s="208"/>
      <c r="AV375" s="201"/>
      <c r="AW375" s="399" t="str">
        <f>IF(V376&lt;300,  "Min. 300mm", "OK - Depth is Greater than 300mm")</f>
        <v>OK - Depth is Greater than 300mm</v>
      </c>
      <c r="AX375" s="399"/>
      <c r="AY375" s="399"/>
      <c r="AZ375" s="399"/>
      <c r="BA375" s="399"/>
      <c r="BB375" s="399"/>
      <c r="BC375" s="399"/>
    </row>
    <row r="376" spans="2:55" ht="12.75" customHeight="1">
      <c r="B376" s="561"/>
      <c r="C376" s="562"/>
      <c r="D376" s="562"/>
      <c r="E376" s="562"/>
      <c r="F376" s="562"/>
      <c r="G376" s="562"/>
      <c r="H376" s="563"/>
      <c r="I376" s="237"/>
      <c r="J376" s="337" t="s">
        <v>116</v>
      </c>
      <c r="K376" s="337"/>
      <c r="L376" s="337"/>
      <c r="M376" s="337"/>
      <c r="N376" s="337"/>
      <c r="O376" s="337"/>
      <c r="P376" s="337"/>
      <c r="Q376" s="337"/>
      <c r="R376" s="337"/>
      <c r="S376" s="337"/>
      <c r="T376" s="176"/>
      <c r="U376" s="176" t="s">
        <v>95</v>
      </c>
      <c r="V376" s="472">
        <v>600</v>
      </c>
      <c r="W376" s="472"/>
      <c r="X376" s="472"/>
      <c r="Y376" s="472"/>
      <c r="Z376" s="273"/>
      <c r="AA376" s="176"/>
      <c r="AB376" s="176"/>
      <c r="AC376" s="176"/>
      <c r="AD376" s="176"/>
      <c r="AE376" s="176"/>
      <c r="AF376" s="176"/>
      <c r="AG376" s="176"/>
      <c r="AH376" s="176"/>
      <c r="AI376" s="176"/>
      <c r="AJ376" s="176"/>
      <c r="AK376" s="176"/>
      <c r="AL376" s="176"/>
      <c r="AM376" s="176"/>
      <c r="AN376" s="176"/>
      <c r="AO376" s="208"/>
      <c r="AP376" s="208"/>
      <c r="AQ376" s="208"/>
      <c r="AR376" s="208"/>
      <c r="AS376" s="208"/>
      <c r="AT376" s="208"/>
      <c r="AU376" s="208"/>
      <c r="AV376" s="201"/>
      <c r="AW376" s="399"/>
      <c r="AX376" s="399"/>
      <c r="AY376" s="399"/>
      <c r="AZ376" s="399"/>
      <c r="BA376" s="399"/>
      <c r="BB376" s="399"/>
      <c r="BC376" s="399"/>
    </row>
    <row r="377" spans="2:55" ht="12.75" customHeight="1">
      <c r="B377" s="267"/>
      <c r="C377" s="269"/>
      <c r="D377" s="269"/>
      <c r="E377" s="269"/>
      <c r="F377" s="269"/>
      <c r="G377" s="253"/>
      <c r="H377" s="254"/>
      <c r="I377" s="237"/>
      <c r="J377" s="337" t="s">
        <v>300</v>
      </c>
      <c r="K377" s="337"/>
      <c r="L377" s="337"/>
      <c r="M377" s="337"/>
      <c r="N377" s="337"/>
      <c r="O377" s="337"/>
      <c r="P377" s="337"/>
      <c r="Q377" s="337"/>
      <c r="R377" s="337"/>
      <c r="S377" s="337"/>
      <c r="T377" s="208"/>
      <c r="U377" s="227" t="s">
        <v>95</v>
      </c>
      <c r="V377" s="336">
        <f>1-(0.3*(MIN(X361,X362)/MAX(X361,X362)))</f>
        <v>0.84973262032085561</v>
      </c>
      <c r="W377" s="336"/>
      <c r="X377" s="336"/>
      <c r="Y377" s="336"/>
      <c r="Z377" s="208"/>
      <c r="AA377" s="208"/>
      <c r="AB377" s="208"/>
      <c r="AC377" s="189" t="s">
        <v>301</v>
      </c>
      <c r="AD377" s="208"/>
      <c r="AE377" s="208"/>
      <c r="AF377" s="208"/>
      <c r="AG377" s="208"/>
      <c r="AH377" s="176"/>
      <c r="AI377" s="176"/>
      <c r="AJ377" s="176"/>
      <c r="AK377" s="176"/>
      <c r="AL377" s="176"/>
      <c r="AM377" s="176"/>
      <c r="AN377" s="176"/>
      <c r="AO377" s="208"/>
      <c r="AP377" s="208"/>
      <c r="AQ377" s="208"/>
      <c r="AR377" s="208"/>
      <c r="AS377" s="208"/>
      <c r="AT377" s="208"/>
      <c r="AU377" s="208"/>
      <c r="AV377" s="201"/>
      <c r="AW377" s="399"/>
      <c r="AX377" s="399"/>
      <c r="AY377" s="399"/>
      <c r="AZ377" s="399"/>
      <c r="BA377" s="399"/>
      <c r="BB377" s="399"/>
      <c r="BC377" s="399"/>
    </row>
    <row r="378" spans="2:55" ht="12.75" customHeight="1">
      <c r="B378" s="4"/>
      <c r="H378" s="5"/>
      <c r="I378" s="237"/>
      <c r="J378" s="337" t="s">
        <v>302</v>
      </c>
      <c r="K378" s="337"/>
      <c r="L378" s="337"/>
      <c r="M378" s="337"/>
      <c r="N378" s="337"/>
      <c r="O378" s="337"/>
      <c r="P378" s="337"/>
      <c r="Q378" s="337"/>
      <c r="R378" s="337"/>
      <c r="S378" s="337"/>
      <c r="T378" s="208"/>
      <c r="U378" s="227" t="s">
        <v>95</v>
      </c>
      <c r="V378" s="336">
        <f>1 + (MIN(X361,X362)/MAX(X361,X362) ) * SIN(RADIANS(V372))</f>
        <v>1.250445632798574</v>
      </c>
      <c r="W378" s="336"/>
      <c r="X378" s="336"/>
      <c r="Y378" s="336"/>
      <c r="Z378" s="208"/>
      <c r="AA378" s="208"/>
      <c r="AB378" s="208"/>
      <c r="AC378" s="189" t="s">
        <v>301</v>
      </c>
      <c r="AD378" s="208"/>
      <c r="AE378" s="208"/>
      <c r="AF378" s="208"/>
      <c r="AG378" s="208"/>
      <c r="AV378" s="201"/>
      <c r="AW378" s="207"/>
      <c r="AX378" s="208"/>
      <c r="AY378" s="208"/>
      <c r="AZ378" s="208"/>
      <c r="BA378" s="208"/>
      <c r="BB378" s="208"/>
      <c r="BC378" s="242"/>
    </row>
    <row r="379" spans="2:55" ht="12.75" customHeight="1">
      <c r="B379" s="4"/>
      <c r="H379" s="5"/>
      <c r="I379" s="237"/>
      <c r="J379" s="337" t="s">
        <v>303</v>
      </c>
      <c r="K379" s="337"/>
      <c r="L379" s="337"/>
      <c r="M379" s="337"/>
      <c r="N379" s="337"/>
      <c r="O379" s="337"/>
      <c r="P379" s="337"/>
      <c r="Q379" s="337"/>
      <c r="R379" s="337"/>
      <c r="S379" s="337"/>
      <c r="T379" s="208"/>
      <c r="U379" s="227" t="s">
        <v>95</v>
      </c>
      <c r="V379" s="338">
        <f>1 + (0.2*(MIN(X361,X362)/MAX(X361,X362)))</f>
        <v>1.1001782531194295</v>
      </c>
      <c r="W379" s="338"/>
      <c r="X379" s="338"/>
      <c r="Y379" s="338"/>
      <c r="Z379" s="208"/>
      <c r="AA379" s="208"/>
      <c r="AB379" s="208"/>
      <c r="AC379" s="189" t="s">
        <v>301</v>
      </c>
      <c r="AD379" s="208"/>
      <c r="AE379" s="208"/>
      <c r="AF379" s="208"/>
      <c r="AG379" s="208"/>
      <c r="AV379" s="201"/>
      <c r="AW379" s="207"/>
      <c r="AX379" s="208"/>
      <c r="AY379" s="208"/>
      <c r="AZ379" s="208"/>
      <c r="BA379" s="208"/>
      <c r="BB379" s="208"/>
      <c r="BC379" s="242"/>
    </row>
    <row r="380" spans="2:55" ht="12.75" customHeight="1">
      <c r="B380" s="4"/>
      <c r="H380" s="5"/>
      <c r="I380" s="339" t="s">
        <v>321</v>
      </c>
      <c r="J380" s="340"/>
      <c r="K380" s="340"/>
      <c r="L380" s="340"/>
      <c r="M380" s="340"/>
      <c r="N380" s="340"/>
      <c r="O380" s="340"/>
      <c r="P380" s="340"/>
      <c r="Q380" s="340"/>
      <c r="R380" s="340"/>
      <c r="S380" s="340"/>
      <c r="T380" s="340"/>
      <c r="U380" s="340"/>
      <c r="V380" s="340"/>
      <c r="W380" s="340"/>
      <c r="X380" s="340"/>
      <c r="Y380" s="340"/>
      <c r="Z380" s="340"/>
      <c r="AA380" s="340"/>
      <c r="AB380" s="340"/>
      <c r="AC380" s="340"/>
      <c r="AD380" s="340"/>
      <c r="AE380" s="340"/>
      <c r="AF380" s="340"/>
      <c r="AG380" s="340"/>
      <c r="AH380" s="340"/>
      <c r="AI380" s="340"/>
      <c r="AJ380" s="340"/>
      <c r="AK380" s="340"/>
      <c r="AL380" s="340"/>
      <c r="AM380" s="340"/>
      <c r="AN380" s="340"/>
      <c r="AO380" s="340"/>
      <c r="AP380" s="340"/>
      <c r="AQ380" s="340"/>
      <c r="AR380" s="340"/>
      <c r="AS380" s="340"/>
      <c r="AT380" s="340"/>
      <c r="AU380" s="340"/>
      <c r="AV380" s="341"/>
      <c r="AW380" s="207"/>
      <c r="AX380" s="208"/>
      <c r="AY380" s="208"/>
      <c r="AZ380" s="208"/>
      <c r="BA380" s="208"/>
      <c r="BB380" s="208"/>
      <c r="BC380" s="242"/>
    </row>
    <row r="381" spans="2:55" ht="12.75" customHeight="1">
      <c r="B381" s="545" t="s">
        <v>308</v>
      </c>
      <c r="C381" s="546"/>
      <c r="D381" s="546"/>
      <c r="E381" s="546"/>
      <c r="F381" s="546"/>
      <c r="G381" s="546"/>
      <c r="H381" s="547"/>
      <c r="I381" s="620" t="s">
        <v>328</v>
      </c>
      <c r="J381" s="621"/>
      <c r="K381" s="621"/>
      <c r="L381" s="621"/>
      <c r="M381" s="621"/>
      <c r="N381" s="621"/>
      <c r="O381" s="621"/>
      <c r="P381" s="621"/>
      <c r="Q381" s="621"/>
      <c r="R381" s="621"/>
      <c r="S381" s="621"/>
      <c r="T381" s="621"/>
      <c r="U381" s="621"/>
      <c r="V381" s="621"/>
      <c r="W381" s="621"/>
      <c r="X381" s="621"/>
      <c r="Y381" s="621"/>
      <c r="Z381" s="621"/>
      <c r="AA381" s="621"/>
      <c r="AB381" s="621"/>
      <c r="AC381" s="621"/>
      <c r="AD381" s="621"/>
      <c r="AE381" s="621"/>
      <c r="AF381" s="621"/>
      <c r="AG381" s="621"/>
      <c r="AH381" s="621"/>
      <c r="AI381" s="621"/>
      <c r="AJ381" s="621"/>
      <c r="AK381" s="621"/>
      <c r="AL381" s="621"/>
      <c r="AM381" s="621"/>
      <c r="AN381" s="621"/>
      <c r="AO381" s="621"/>
      <c r="AP381" s="621"/>
      <c r="AQ381" s="621"/>
      <c r="AR381" s="621"/>
      <c r="AS381" s="621"/>
      <c r="AT381" s="621"/>
      <c r="AU381" s="621"/>
      <c r="AV381" s="622"/>
      <c r="AW381" s="207"/>
      <c r="AX381" s="208"/>
      <c r="AY381" s="208"/>
      <c r="AZ381" s="208"/>
      <c r="BA381" s="208"/>
      <c r="BB381" s="208"/>
      <c r="BC381" s="242"/>
    </row>
    <row r="382" spans="2:55" ht="12.75" customHeight="1">
      <c r="B382" s="548"/>
      <c r="C382" s="549"/>
      <c r="D382" s="549"/>
      <c r="E382" s="549"/>
      <c r="F382" s="549"/>
      <c r="G382" s="549"/>
      <c r="H382" s="550"/>
      <c r="I382" s="620"/>
      <c r="J382" s="621"/>
      <c r="K382" s="621"/>
      <c r="L382" s="621"/>
      <c r="M382" s="621"/>
      <c r="N382" s="621"/>
      <c r="O382" s="621"/>
      <c r="P382" s="621"/>
      <c r="Q382" s="621"/>
      <c r="R382" s="621"/>
      <c r="S382" s="621"/>
      <c r="T382" s="621"/>
      <c r="U382" s="621"/>
      <c r="V382" s="621"/>
      <c r="W382" s="621"/>
      <c r="X382" s="621"/>
      <c r="Y382" s="621"/>
      <c r="Z382" s="621"/>
      <c r="AA382" s="621"/>
      <c r="AB382" s="621"/>
      <c r="AC382" s="621"/>
      <c r="AD382" s="621"/>
      <c r="AE382" s="621"/>
      <c r="AF382" s="621"/>
      <c r="AG382" s="621"/>
      <c r="AH382" s="621"/>
      <c r="AI382" s="621"/>
      <c r="AJ382" s="621"/>
      <c r="AK382" s="621"/>
      <c r="AL382" s="621"/>
      <c r="AM382" s="621"/>
      <c r="AN382" s="621"/>
      <c r="AO382" s="621"/>
      <c r="AP382" s="621"/>
      <c r="AQ382" s="621"/>
      <c r="AR382" s="621"/>
      <c r="AS382" s="621"/>
      <c r="AT382" s="621"/>
      <c r="AU382" s="621"/>
      <c r="AV382" s="622"/>
      <c r="AW382" s="207"/>
      <c r="AX382" s="208"/>
      <c r="AY382" s="208"/>
      <c r="AZ382" s="208"/>
      <c r="BA382" s="208"/>
      <c r="BB382" s="208"/>
      <c r="BC382" s="242"/>
    </row>
    <row r="383" spans="2:55" ht="12.75" customHeight="1">
      <c r="B383" s="548"/>
      <c r="C383" s="549"/>
      <c r="D383" s="549"/>
      <c r="E383" s="549"/>
      <c r="F383" s="549"/>
      <c r="G383" s="549"/>
      <c r="H383" s="550"/>
      <c r="I383" s="623"/>
      <c r="J383" s="624"/>
      <c r="K383" s="624"/>
      <c r="L383" s="624"/>
      <c r="M383" s="624"/>
      <c r="N383" s="624"/>
      <c r="O383" s="624"/>
      <c r="P383" s="624"/>
      <c r="Q383" s="624"/>
      <c r="R383" s="624"/>
      <c r="S383" s="624"/>
      <c r="T383" s="624"/>
      <c r="U383" s="624"/>
      <c r="V383" s="624"/>
      <c r="W383" s="624"/>
      <c r="X383" s="624"/>
      <c r="Y383" s="624"/>
      <c r="Z383" s="624"/>
      <c r="AA383" s="624"/>
      <c r="AB383" s="624"/>
      <c r="AC383" s="624"/>
      <c r="AD383" s="624"/>
      <c r="AE383" s="624"/>
      <c r="AF383" s="624"/>
      <c r="AG383" s="624"/>
      <c r="AH383" s="624"/>
      <c r="AI383" s="624"/>
      <c r="AJ383" s="624"/>
      <c r="AK383" s="624"/>
      <c r="AL383" s="624"/>
      <c r="AM383" s="624"/>
      <c r="AN383" s="624"/>
      <c r="AO383" s="624"/>
      <c r="AP383" s="624"/>
      <c r="AQ383" s="624"/>
      <c r="AR383" s="624"/>
      <c r="AS383" s="624"/>
      <c r="AT383" s="624"/>
      <c r="AU383" s="624"/>
      <c r="AV383" s="625"/>
      <c r="AW383" s="207"/>
      <c r="AX383" s="208"/>
      <c r="AY383" s="208"/>
      <c r="AZ383" s="208"/>
      <c r="BA383" s="208"/>
      <c r="BB383" s="208"/>
      <c r="BC383" s="242"/>
    </row>
    <row r="384" spans="2:55" ht="12.75" customHeight="1">
      <c r="B384" s="630" t="s">
        <v>305</v>
      </c>
      <c r="C384" s="631"/>
      <c r="D384" s="631"/>
      <c r="E384" s="631"/>
      <c r="F384" s="631"/>
      <c r="G384" s="631"/>
      <c r="H384" s="632"/>
      <c r="I384" s="342" t="s">
        <v>304</v>
      </c>
      <c r="J384" s="342"/>
      <c r="K384" s="342"/>
      <c r="L384" s="342"/>
      <c r="M384" s="342"/>
      <c r="N384" s="342"/>
      <c r="O384" s="342"/>
      <c r="P384" s="342"/>
      <c r="Q384" s="342"/>
      <c r="R384" s="342"/>
      <c r="S384" s="342"/>
      <c r="T384" s="342"/>
      <c r="U384" s="342"/>
      <c r="V384" s="342"/>
      <c r="W384" s="342"/>
      <c r="X384" s="342"/>
      <c r="Y384" s="342"/>
      <c r="Z384" s="342"/>
      <c r="AA384" s="342"/>
      <c r="AB384" s="342"/>
      <c r="AC384" s="342"/>
      <c r="AD384" s="342"/>
      <c r="AE384" s="342"/>
      <c r="AF384" s="342"/>
      <c r="AG384" s="342"/>
      <c r="AH384" s="342"/>
      <c r="AI384" s="342"/>
      <c r="AJ384" s="342"/>
      <c r="AK384" s="342"/>
      <c r="AL384" s="342"/>
      <c r="AM384" s="342"/>
      <c r="AN384" s="342"/>
      <c r="AO384" s="342"/>
      <c r="AP384" s="342"/>
      <c r="AQ384" s="342"/>
      <c r="AR384" s="342"/>
      <c r="AS384" s="342"/>
      <c r="AT384" s="342"/>
      <c r="AU384" s="342"/>
      <c r="AV384" s="342"/>
      <c r="AW384" s="207"/>
      <c r="AX384" s="208"/>
      <c r="AY384" s="208"/>
      <c r="AZ384" s="208"/>
      <c r="BA384" s="208"/>
      <c r="BB384" s="208"/>
      <c r="BC384" s="242"/>
    </row>
    <row r="385" spans="2:55" ht="12.75" customHeight="1">
      <c r="B385" s="633"/>
      <c r="C385" s="634"/>
      <c r="D385" s="634"/>
      <c r="E385" s="634"/>
      <c r="F385" s="634"/>
      <c r="G385" s="634"/>
      <c r="H385" s="635"/>
      <c r="I385" s="342"/>
      <c r="J385" s="342"/>
      <c r="K385" s="342"/>
      <c r="L385" s="342"/>
      <c r="M385" s="342"/>
      <c r="N385" s="342"/>
      <c r="O385" s="342"/>
      <c r="P385" s="342"/>
      <c r="Q385" s="342"/>
      <c r="R385" s="342"/>
      <c r="S385" s="342"/>
      <c r="T385" s="342"/>
      <c r="U385" s="342"/>
      <c r="V385" s="342"/>
      <c r="W385" s="342"/>
      <c r="X385" s="342"/>
      <c r="Y385" s="342"/>
      <c r="Z385" s="342"/>
      <c r="AA385" s="342"/>
      <c r="AB385" s="342"/>
      <c r="AC385" s="342"/>
      <c r="AD385" s="342"/>
      <c r="AE385" s="342"/>
      <c r="AF385" s="342"/>
      <c r="AG385" s="342"/>
      <c r="AH385" s="342"/>
      <c r="AI385" s="342"/>
      <c r="AJ385" s="342"/>
      <c r="AK385" s="342"/>
      <c r="AL385" s="342"/>
      <c r="AM385" s="342"/>
      <c r="AN385" s="342"/>
      <c r="AO385" s="342"/>
      <c r="AP385" s="342"/>
      <c r="AQ385" s="342"/>
      <c r="AR385" s="342"/>
      <c r="AS385" s="342"/>
      <c r="AT385" s="342"/>
      <c r="AU385" s="342"/>
      <c r="AV385" s="342"/>
      <c r="AW385" s="207"/>
      <c r="AX385" s="208"/>
      <c r="AY385" s="208"/>
      <c r="AZ385" s="208"/>
      <c r="BA385" s="208"/>
      <c r="BB385" s="208"/>
      <c r="BC385" s="242"/>
    </row>
    <row r="386" spans="2:55" ht="12.75" customHeight="1">
      <c r="B386" s="202"/>
      <c r="C386" s="334"/>
      <c r="D386" s="334"/>
      <c r="E386" s="334"/>
      <c r="F386" s="334"/>
      <c r="G386" s="334"/>
      <c r="H386" s="335"/>
      <c r="I386" s="343" t="s">
        <v>281</v>
      </c>
      <c r="J386" s="337"/>
      <c r="K386" s="274" t="s">
        <v>95</v>
      </c>
      <c r="L386" s="208"/>
      <c r="M386" s="208"/>
      <c r="N386" s="208"/>
      <c r="O386" s="208"/>
      <c r="P386" s="208"/>
      <c r="Q386" s="208"/>
      <c r="R386" s="208"/>
      <c r="S386" s="176"/>
      <c r="T386" s="176"/>
      <c r="U386" s="208"/>
      <c r="V386" s="208"/>
      <c r="W386" s="208"/>
      <c r="X386" s="208"/>
      <c r="Y386" s="208"/>
      <c r="Z386" s="208"/>
      <c r="AA386" s="208"/>
      <c r="AB386" s="208"/>
      <c r="AC386" s="208"/>
      <c r="AD386" s="176"/>
      <c r="AE386" s="208"/>
      <c r="AF386" s="208"/>
      <c r="AG386" s="208"/>
      <c r="AH386" s="208"/>
      <c r="AI386" s="208"/>
      <c r="AJ386" s="189"/>
      <c r="AK386" s="208"/>
      <c r="AL386" s="208"/>
      <c r="AM386" s="208"/>
      <c r="AN386" s="208"/>
      <c r="AO386" s="208"/>
      <c r="AP386" s="208"/>
      <c r="AQ386" s="208"/>
      <c r="AR386" s="208"/>
      <c r="AS386" s="208"/>
      <c r="AT386" s="208"/>
      <c r="AU386" s="208"/>
      <c r="AV386" s="201"/>
      <c r="AW386" s="207"/>
      <c r="AX386" s="208"/>
      <c r="AY386" s="208"/>
      <c r="AZ386" s="208"/>
      <c r="BA386" s="208"/>
      <c r="BB386" s="208"/>
      <c r="BC386" s="242"/>
    </row>
    <row r="387" spans="2:55" ht="12.75" customHeight="1">
      <c r="B387" s="207"/>
      <c r="H387" s="5"/>
      <c r="I387" s="344">
        <f>X363</f>
        <v>0</v>
      </c>
      <c r="J387" s="344"/>
      <c r="K387" s="344"/>
      <c r="L387" s="327" t="s">
        <v>97</v>
      </c>
      <c r="M387" s="345">
        <f>V374</f>
        <v>30.139627791519086</v>
      </c>
      <c r="N387" s="346"/>
      <c r="O387" s="328" t="s">
        <v>97</v>
      </c>
      <c r="P387" s="347">
        <f>V379</f>
        <v>1.1001782531194295</v>
      </c>
      <c r="Q387" s="347"/>
      <c r="R387" s="329" t="s">
        <v>120</v>
      </c>
      <c r="S387" s="348">
        <f>X359</f>
        <v>19</v>
      </c>
      <c r="T387" s="349"/>
      <c r="U387" s="349"/>
      <c r="V387" s="350"/>
      <c r="W387" s="330" t="s">
        <v>97</v>
      </c>
      <c r="X387" s="351">
        <v>0.6</v>
      </c>
      <c r="Y387" s="352"/>
      <c r="Z387" s="328" t="s">
        <v>97</v>
      </c>
      <c r="AA387" s="347">
        <f>V373</f>
        <v>18.401122218708668</v>
      </c>
      <c r="AB387" s="347"/>
      <c r="AC387" s="327" t="s">
        <v>97</v>
      </c>
      <c r="AD387" s="353">
        <f>V378</f>
        <v>1.250445632798574</v>
      </c>
      <c r="AE387" s="350"/>
      <c r="AF387" s="331" t="s">
        <v>120</v>
      </c>
      <c r="AG387" s="351">
        <v>0.5</v>
      </c>
      <c r="AH387" s="354"/>
      <c r="AI387" s="328" t="s">
        <v>97</v>
      </c>
      <c r="AJ387" s="355">
        <f>X359</f>
        <v>19</v>
      </c>
      <c r="AK387" s="356"/>
      <c r="AL387" s="356"/>
      <c r="AM387" s="356"/>
      <c r="AN387" s="330" t="s">
        <v>97</v>
      </c>
      <c r="AO387" s="353">
        <v>0.5</v>
      </c>
      <c r="AP387" s="350"/>
      <c r="AQ387" s="328" t="s">
        <v>97</v>
      </c>
      <c r="AR387" s="353">
        <f>V375</f>
        <v>15.668040821046286</v>
      </c>
      <c r="AS387" s="350"/>
      <c r="AT387" s="328" t="s">
        <v>97</v>
      </c>
      <c r="AU387" s="347">
        <f>V377</f>
        <v>0.84973262032085561</v>
      </c>
      <c r="AV387" s="357"/>
      <c r="AW387" s="207"/>
      <c r="AX387" s="208"/>
      <c r="AY387" s="208"/>
      <c r="AZ387" s="208"/>
      <c r="BA387" s="208"/>
      <c r="BB387" s="208"/>
      <c r="BC387" s="242"/>
    </row>
    <row r="388" spans="2:55" ht="12.75" customHeight="1">
      <c r="B388" s="207"/>
      <c r="C388" s="208"/>
      <c r="D388" s="208"/>
      <c r="E388" s="208"/>
      <c r="F388" s="208"/>
      <c r="G388" s="208"/>
      <c r="H388" s="256"/>
      <c r="I388" s="180"/>
      <c r="AW388" s="207"/>
      <c r="BC388" s="242"/>
    </row>
    <row r="389" spans="2:55" ht="12.75" customHeight="1">
      <c r="B389" s="612" t="s">
        <v>307</v>
      </c>
      <c r="C389" s="612"/>
      <c r="D389" s="612"/>
      <c r="E389" s="612"/>
      <c r="F389" s="612"/>
      <c r="G389" s="612"/>
      <c r="H389" s="612"/>
      <c r="I389" s="180"/>
      <c r="K389" s="208"/>
      <c r="L389" s="208"/>
      <c r="M389" s="208"/>
      <c r="N389" s="208"/>
      <c r="O389" s="208"/>
      <c r="P389" s="208"/>
      <c r="Q389" s="208"/>
      <c r="R389" s="208"/>
      <c r="S389" s="208"/>
      <c r="T389" s="208"/>
      <c r="U389" s="208"/>
      <c r="V389" s="208"/>
      <c r="W389" s="208"/>
      <c r="X389" s="208"/>
      <c r="Y389" s="208"/>
      <c r="Z389" s="208"/>
      <c r="AA389" s="208"/>
      <c r="AB389" s="208"/>
      <c r="AC389" s="208"/>
      <c r="AD389" s="208"/>
      <c r="AE389" s="208"/>
      <c r="AF389" s="208"/>
      <c r="AG389" s="208"/>
      <c r="AH389" s="208"/>
      <c r="AI389" s="208"/>
      <c r="AJ389" s="189"/>
      <c r="AK389" s="208"/>
      <c r="AL389" s="208"/>
      <c r="AM389" s="208"/>
      <c r="AN389" s="274" t="s">
        <v>95</v>
      </c>
      <c r="AO389" s="208"/>
      <c r="AP389" s="576">
        <f>(I387*M387*P387)+(S387*X387*AA387*AD387)+(AG387*AJ387*AO387*AR387*AU387)</f>
        <v>325.54928881880699</v>
      </c>
      <c r="AQ389" s="576"/>
      <c r="AR389" s="576"/>
      <c r="AS389" s="576"/>
      <c r="AT389" s="576"/>
      <c r="AU389" s="577"/>
      <c r="AV389" s="201"/>
      <c r="AW389" s="207"/>
      <c r="BC389" s="242"/>
    </row>
    <row r="390" spans="2:55" ht="12.75" customHeight="1">
      <c r="B390" s="207"/>
      <c r="C390" s="208"/>
      <c r="D390" s="208"/>
      <c r="E390" s="208"/>
      <c r="F390" s="208"/>
      <c r="G390" s="208"/>
      <c r="H390" s="256"/>
      <c r="I390" s="208"/>
      <c r="J390" s="208"/>
      <c r="K390" s="208"/>
      <c r="L390" s="208"/>
      <c r="M390" s="208"/>
      <c r="N390" s="208"/>
      <c r="O390" s="208"/>
      <c r="P390" s="208"/>
      <c r="Q390" s="208"/>
      <c r="R390" s="208"/>
      <c r="S390" s="208"/>
      <c r="T390" s="208"/>
      <c r="U390" s="208"/>
      <c r="V390" s="208"/>
      <c r="W390" s="208"/>
      <c r="X390" s="208"/>
      <c r="Y390" s="208"/>
      <c r="Z390" s="208"/>
      <c r="AA390" s="208"/>
      <c r="AB390" s="208"/>
      <c r="AC390" s="208"/>
      <c r="AD390" s="208"/>
      <c r="AE390" s="208"/>
      <c r="AF390" s="208"/>
      <c r="AG390" s="208"/>
      <c r="AH390" s="208"/>
      <c r="AI390" s="208"/>
      <c r="AJ390" s="189"/>
      <c r="AK390" s="208"/>
      <c r="AL390" s="208"/>
      <c r="AM390" s="208"/>
      <c r="AN390" s="208"/>
      <c r="AO390" s="208"/>
      <c r="AP390" s="208"/>
      <c r="AQ390" s="208"/>
      <c r="AR390" s="208"/>
      <c r="AS390" s="208"/>
      <c r="AT390" s="208"/>
      <c r="AU390" s="208"/>
      <c r="AV390" s="201"/>
      <c r="AW390" s="207"/>
      <c r="AX390" s="208"/>
      <c r="AY390" s="208"/>
      <c r="AZ390" s="208"/>
      <c r="BA390" s="208"/>
      <c r="BB390" s="208"/>
      <c r="BC390" s="242"/>
    </row>
    <row r="391" spans="2:55" ht="12.75" customHeight="1">
      <c r="B391" s="207"/>
      <c r="C391" s="208"/>
      <c r="D391" s="208"/>
      <c r="E391" s="208"/>
      <c r="F391" s="208"/>
      <c r="G391" s="208"/>
      <c r="H391" s="256"/>
      <c r="I391" s="180"/>
      <c r="J391" s="213" t="s">
        <v>146</v>
      </c>
      <c r="K391" s="213"/>
      <c r="L391" s="213"/>
      <c r="M391" s="213"/>
      <c r="N391" s="213"/>
      <c r="O391" s="213"/>
      <c r="P391" s="213"/>
      <c r="Q391" s="213"/>
      <c r="R391" s="213"/>
      <c r="S391" s="176"/>
      <c r="T391" s="176"/>
      <c r="U391" s="176"/>
      <c r="V391" s="176"/>
      <c r="W391" s="176"/>
      <c r="X391" s="176"/>
      <c r="Y391" s="176"/>
      <c r="Z391" s="176"/>
      <c r="AA391" s="176"/>
      <c r="AB391" s="176"/>
      <c r="AC391" s="400">
        <f>X362</f>
        <v>5.61</v>
      </c>
      <c r="AD391" s="400"/>
      <c r="AE391" s="400"/>
      <c r="AF391" s="226" t="s">
        <v>120</v>
      </c>
      <c r="AG391" s="618">
        <v>2</v>
      </c>
      <c r="AH391" s="618"/>
      <c r="AI391" s="226" t="s">
        <v>97</v>
      </c>
      <c r="AJ391" s="619">
        <f>V376/1000</f>
        <v>0.6</v>
      </c>
      <c r="AK391" s="619"/>
      <c r="AL391" s="619"/>
      <c r="AM391" s="226" t="s">
        <v>97</v>
      </c>
      <c r="AN391" s="326" t="s">
        <v>121</v>
      </c>
      <c r="AO391" s="326"/>
      <c r="AP391" s="400">
        <f>V372</f>
        <v>30</v>
      </c>
      <c r="AQ391" s="400"/>
      <c r="AR391" s="400"/>
      <c r="AV391" s="201"/>
      <c r="AW391" s="207"/>
      <c r="AX391" s="208"/>
      <c r="AY391" s="208"/>
      <c r="AZ391" s="208"/>
      <c r="BA391" s="208"/>
      <c r="BB391" s="208"/>
      <c r="BC391" s="242"/>
    </row>
    <row r="392" spans="2:55" ht="12.75" customHeight="1">
      <c r="B392" s="207"/>
      <c r="C392" s="208"/>
      <c r="D392" s="208"/>
      <c r="E392" s="208"/>
      <c r="F392" s="208"/>
      <c r="G392" s="208"/>
      <c r="H392" s="256"/>
      <c r="I392" s="180"/>
      <c r="AU392" s="208"/>
      <c r="AV392" s="201"/>
      <c r="AW392" s="207"/>
      <c r="AX392" s="208"/>
      <c r="AY392" s="208"/>
      <c r="AZ392" s="208"/>
      <c r="BA392" s="208"/>
      <c r="BB392" s="208"/>
      <c r="BC392" s="242"/>
    </row>
    <row r="393" spans="2:55" ht="12.75" customHeight="1">
      <c r="B393" s="207"/>
      <c r="C393" s="208"/>
      <c r="D393" s="208"/>
      <c r="E393" s="208"/>
      <c r="F393" s="208"/>
      <c r="G393" s="208"/>
      <c r="H393" s="256"/>
      <c r="I393" s="180"/>
      <c r="J393" s="273" t="s">
        <v>125</v>
      </c>
      <c r="K393" s="176"/>
      <c r="L393" s="176"/>
      <c r="M393" s="176"/>
      <c r="N393" s="176"/>
      <c r="O393" s="176"/>
      <c r="P393" s="176"/>
      <c r="Q393" s="176"/>
      <c r="R393" s="176"/>
      <c r="S393" s="176"/>
      <c r="T393" s="176"/>
      <c r="U393" s="176"/>
      <c r="V393" s="176"/>
      <c r="W393" s="176"/>
      <c r="X393" s="176"/>
      <c r="Y393" s="298"/>
      <c r="Z393" s="176"/>
      <c r="AA393" s="176"/>
      <c r="AB393" s="176"/>
      <c r="AC393" s="176"/>
      <c r="AD393" s="176"/>
      <c r="AE393" s="176"/>
      <c r="AF393" s="176"/>
      <c r="AG393" s="176"/>
      <c r="AH393" s="208"/>
      <c r="AI393" s="208"/>
      <c r="AJ393" s="189"/>
      <c r="AK393" s="208"/>
      <c r="AL393" s="176"/>
      <c r="AM393" s="176"/>
      <c r="AN393" s="208"/>
      <c r="AO393" s="176" t="s">
        <v>95</v>
      </c>
      <c r="AP393" s="402">
        <f>(AC391+(2*(TAN(AP391*PI()/180)*AJ391)))</f>
        <v>6.302820323027551</v>
      </c>
      <c r="AQ393" s="402"/>
      <c r="AR393" s="402"/>
      <c r="AS393" s="402"/>
      <c r="AT393" s="402"/>
      <c r="AU393" s="208"/>
      <c r="AV393" s="201"/>
      <c r="AW393" s="207"/>
      <c r="AX393" s="208"/>
      <c r="AY393" s="208"/>
      <c r="AZ393" s="208"/>
      <c r="BA393" s="208"/>
      <c r="BB393" s="208"/>
      <c r="BC393" s="242"/>
    </row>
    <row r="394" spans="2:55" ht="12.75" customHeight="1">
      <c r="B394" s="207"/>
      <c r="C394" s="208"/>
      <c r="D394" s="208"/>
      <c r="E394" s="208"/>
      <c r="F394" s="208"/>
      <c r="G394" s="208"/>
      <c r="H394" s="256"/>
      <c r="I394" s="180"/>
      <c r="J394" s="208"/>
      <c r="K394" s="208"/>
      <c r="L394" s="208"/>
      <c r="M394" s="208"/>
      <c r="N394" s="208"/>
      <c r="O394" s="208"/>
      <c r="P394" s="208"/>
      <c r="Q394" s="208"/>
      <c r="R394" s="208"/>
      <c r="S394" s="208"/>
      <c r="T394" s="208"/>
      <c r="U394" s="208"/>
      <c r="V394" s="208"/>
      <c r="W394" s="208"/>
      <c r="X394" s="208"/>
      <c r="Y394" s="208"/>
      <c r="Z394" s="208"/>
      <c r="AA394" s="208"/>
      <c r="AB394" s="208"/>
      <c r="AC394" s="176"/>
      <c r="AD394" s="176"/>
      <c r="AE394" s="176"/>
      <c r="AF394" s="176"/>
      <c r="AG394" s="176"/>
      <c r="AH394" s="176"/>
      <c r="AI394" s="176"/>
      <c r="AJ394" s="176"/>
      <c r="AK394" s="176"/>
      <c r="AL394" s="176"/>
      <c r="AM394" s="176"/>
      <c r="AN394" s="176"/>
      <c r="AO394" s="208"/>
      <c r="AP394" s="208"/>
      <c r="AQ394" s="208"/>
      <c r="AR394" s="208"/>
      <c r="AS394" s="208"/>
      <c r="AT394" s="208"/>
      <c r="AU394" s="208"/>
      <c r="AW394" s="207"/>
      <c r="BC394" s="242"/>
    </row>
    <row r="395" spans="2:55" ht="12.75" customHeight="1">
      <c r="B395" s="260"/>
      <c r="C395" s="176"/>
      <c r="D395" s="176"/>
      <c r="E395" s="176"/>
      <c r="F395" s="176"/>
      <c r="G395" s="213"/>
      <c r="H395" s="256"/>
      <c r="I395" s="180"/>
      <c r="J395" s="494" t="s">
        <v>122</v>
      </c>
      <c r="K395" s="494"/>
      <c r="L395" s="494"/>
      <c r="M395" s="494"/>
      <c r="N395" s="494"/>
      <c r="O395" s="494"/>
      <c r="P395" s="494"/>
      <c r="Q395" s="494"/>
      <c r="R395" s="494"/>
      <c r="S395" s="176" t="s">
        <v>100</v>
      </c>
      <c r="T395" s="176" t="s">
        <v>95</v>
      </c>
      <c r="U395" s="299"/>
      <c r="V395" s="299"/>
      <c r="W395" s="299"/>
      <c r="X395" s="299"/>
      <c r="Y395" s="213"/>
      <c r="Z395" s="213"/>
      <c r="AA395" s="213"/>
      <c r="AB395" s="213"/>
      <c r="AC395" s="400">
        <f>X361</f>
        <v>2.81</v>
      </c>
      <c r="AD395" s="400"/>
      <c r="AE395" s="400"/>
      <c r="AF395" s="226" t="s">
        <v>120</v>
      </c>
      <c r="AG395" s="618">
        <v>2</v>
      </c>
      <c r="AH395" s="618"/>
      <c r="AI395" s="226" t="s">
        <v>97</v>
      </c>
      <c r="AJ395" s="619">
        <f>V376/1000</f>
        <v>0.6</v>
      </c>
      <c r="AK395" s="619"/>
      <c r="AL395" s="619"/>
      <c r="AM395" s="226" t="s">
        <v>97</v>
      </c>
      <c r="AN395" s="326" t="s">
        <v>121</v>
      </c>
      <c r="AO395" s="326"/>
      <c r="AP395" s="400">
        <f>V372</f>
        <v>30</v>
      </c>
      <c r="AQ395" s="400"/>
      <c r="AR395" s="400"/>
      <c r="AU395" s="208"/>
      <c r="AW395" s="207"/>
      <c r="BC395" s="242"/>
    </row>
    <row r="396" spans="2:55" ht="12.75" customHeight="1">
      <c r="B396" s="260"/>
      <c r="C396" s="176"/>
      <c r="D396" s="176"/>
      <c r="E396" s="176"/>
      <c r="F396" s="176"/>
      <c r="G396" s="213"/>
      <c r="H396" s="256"/>
      <c r="I396" s="180"/>
      <c r="J396" s="185"/>
      <c r="K396" s="185"/>
      <c r="L396" s="185"/>
      <c r="M396" s="185"/>
      <c r="N396" s="185"/>
      <c r="O396" s="185"/>
      <c r="P396" s="185"/>
      <c r="Q396" s="185"/>
      <c r="R396" s="185"/>
      <c r="S396" s="185"/>
      <c r="T396" s="185"/>
      <c r="U396" s="185"/>
      <c r="V396" s="185"/>
      <c r="W396" s="185"/>
      <c r="X396" s="185"/>
      <c r="Y396" s="185"/>
      <c r="Z396" s="185"/>
      <c r="AA396" s="185"/>
      <c r="AB396" s="185"/>
      <c r="AC396" s="185"/>
      <c r="AD396" s="185"/>
      <c r="AE396" s="185"/>
      <c r="AF396" s="185"/>
      <c r="AG396" s="185"/>
      <c r="AH396" s="185"/>
      <c r="AI396" s="185"/>
      <c r="AJ396" s="190"/>
      <c r="AK396" s="185"/>
      <c r="AL396" s="185"/>
      <c r="AM396" s="185"/>
      <c r="AN396" s="185"/>
      <c r="AO396" s="185"/>
      <c r="AP396" s="185"/>
      <c r="AQ396" s="185"/>
      <c r="AR396" s="185"/>
      <c r="AS396" s="185"/>
      <c r="AT396" s="185"/>
      <c r="AU396" s="176"/>
      <c r="AV396" s="201"/>
      <c r="AW396" s="207"/>
      <c r="AX396" s="208"/>
      <c r="AY396" s="208"/>
      <c r="AZ396" s="208"/>
      <c r="BA396" s="208"/>
      <c r="BB396" s="208"/>
      <c r="BC396" s="242"/>
    </row>
    <row r="397" spans="2:55" ht="12.75" customHeight="1">
      <c r="B397" s="260"/>
      <c r="C397" s="176"/>
      <c r="D397" s="176"/>
      <c r="E397" s="176"/>
      <c r="F397" s="176"/>
      <c r="G397" s="213"/>
      <c r="H397" s="256"/>
      <c r="I397" s="185"/>
      <c r="J397" s="300" t="s">
        <v>126</v>
      </c>
      <c r="K397" s="208"/>
      <c r="L397" s="208"/>
      <c r="M397" s="208"/>
      <c r="N397" s="208"/>
      <c r="O397" s="208"/>
      <c r="P397" s="208"/>
      <c r="Q397" s="208"/>
      <c r="R397" s="208"/>
      <c r="S397" s="208"/>
      <c r="T397" s="208"/>
      <c r="U397" s="208"/>
      <c r="V397" s="208"/>
      <c r="W397" s="208"/>
      <c r="X397" s="208"/>
      <c r="Y397" s="208"/>
      <c r="Z397" s="208"/>
      <c r="AA397" s="208"/>
      <c r="AB397" s="208"/>
      <c r="AC397" s="176"/>
      <c r="AD397" s="176"/>
      <c r="AE397" s="176"/>
      <c r="AF397" s="176"/>
      <c r="AG397" s="176"/>
      <c r="AH397" s="176"/>
      <c r="AI397" s="176"/>
      <c r="AJ397" s="176"/>
      <c r="AK397" s="176"/>
      <c r="AL397" s="176"/>
      <c r="AM397" s="227" t="s">
        <v>95</v>
      </c>
      <c r="AN397" s="176"/>
      <c r="AO397" s="402">
        <f>(AC395+(2*(TAN(AP395*PI()/180)*AJ395)))</f>
        <v>3.5028203230275508</v>
      </c>
      <c r="AP397" s="402"/>
      <c r="AQ397" s="402"/>
      <c r="AR397" s="402"/>
      <c r="AS397" s="402"/>
      <c r="AT397" s="402"/>
      <c r="AU397" s="208"/>
      <c r="AV397" s="201"/>
      <c r="AW397" s="207"/>
      <c r="AX397" s="208"/>
      <c r="AY397" s="208"/>
      <c r="AZ397" s="208"/>
      <c r="BA397" s="208"/>
      <c r="BB397" s="208"/>
      <c r="BC397" s="242"/>
    </row>
    <row r="398" spans="2:55" ht="12.75" customHeight="1">
      <c r="B398" s="260"/>
      <c r="C398" s="176"/>
      <c r="D398" s="176"/>
      <c r="E398" s="176"/>
      <c r="F398" s="176"/>
      <c r="G398" s="213"/>
      <c r="H398" s="256"/>
      <c r="I398" s="180"/>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90"/>
      <c r="AK398" s="185"/>
      <c r="AL398" s="185"/>
      <c r="AM398" s="185"/>
      <c r="AN398" s="185"/>
      <c r="AO398" s="185"/>
      <c r="AP398" s="185"/>
      <c r="AQ398" s="185"/>
      <c r="AR398" s="185"/>
      <c r="AS398" s="185"/>
      <c r="AT398" s="185"/>
      <c r="AU398" s="185"/>
      <c r="AV398" s="201"/>
      <c r="AW398" s="207"/>
      <c r="AX398" s="208"/>
      <c r="AY398" s="208"/>
      <c r="AZ398" s="208"/>
      <c r="BA398" s="208"/>
      <c r="BB398" s="208"/>
      <c r="BC398" s="242"/>
    </row>
    <row r="399" spans="2:55" ht="12.75" customHeight="1">
      <c r="B399" s="627" t="s">
        <v>310</v>
      </c>
      <c r="C399" s="627"/>
      <c r="D399" s="627"/>
      <c r="E399" s="627"/>
      <c r="F399" s="627"/>
      <c r="G399" s="627"/>
      <c r="H399" s="627"/>
      <c r="I399" s="180"/>
      <c r="J399" s="213" t="s">
        <v>153</v>
      </c>
      <c r="K399" s="213"/>
      <c r="L399" s="213"/>
      <c r="M399" s="213"/>
      <c r="N399" s="213"/>
      <c r="O399" s="213"/>
      <c r="P399" s="213"/>
      <c r="Q399" s="213"/>
      <c r="R399" s="213"/>
      <c r="S399" s="213"/>
      <c r="T399" s="213"/>
      <c r="U399" s="213"/>
      <c r="V399" s="208"/>
      <c r="W399" s="208"/>
      <c r="X399" s="626">
        <f>V152</f>
        <v>294.3</v>
      </c>
      <c r="Y399" s="626"/>
      <c r="Z399" s="626"/>
      <c r="AA399" s="626"/>
      <c r="AB399" s="626"/>
      <c r="AC399" s="626"/>
      <c r="AD399" s="626"/>
      <c r="AE399" s="626"/>
      <c r="AF399" s="208"/>
      <c r="AG399" s="208"/>
      <c r="AH399" s="208"/>
      <c r="AI399" s="208"/>
      <c r="AJ399" s="189"/>
      <c r="AK399" s="208"/>
      <c r="AL399" s="208"/>
      <c r="AM399" s="227" t="s">
        <v>95</v>
      </c>
      <c r="AN399" s="208"/>
      <c r="AO399" s="385">
        <f>(X399)/(X400*AC400)</f>
        <v>13.330224837901113</v>
      </c>
      <c r="AP399" s="385"/>
      <c r="AQ399" s="385"/>
      <c r="AR399" s="385"/>
      <c r="AS399" s="385"/>
      <c r="AT399" s="385"/>
      <c r="AU399" s="185"/>
      <c r="AV399" s="201"/>
      <c r="AW399" s="207"/>
      <c r="AX399" s="208"/>
      <c r="AY399" s="208"/>
      <c r="AZ399" s="208"/>
      <c r="BA399" s="208"/>
      <c r="BB399" s="208"/>
      <c r="BC399" s="242"/>
    </row>
    <row r="400" spans="2:55" ht="12.75" customHeight="1">
      <c r="B400" s="260"/>
      <c r="C400" s="176"/>
      <c r="D400" s="176"/>
      <c r="E400" s="176"/>
      <c r="F400" s="176"/>
      <c r="G400" s="213"/>
      <c r="H400" s="256"/>
      <c r="I400" s="180"/>
      <c r="J400" s="185"/>
      <c r="K400" s="185"/>
      <c r="L400" s="185"/>
      <c r="M400" s="185"/>
      <c r="N400" s="185"/>
      <c r="O400" s="185"/>
      <c r="P400" s="185"/>
      <c r="Q400" s="185"/>
      <c r="R400" s="185"/>
      <c r="S400" s="185"/>
      <c r="T400" s="185"/>
      <c r="U400" s="185"/>
      <c r="V400" s="185"/>
      <c r="W400" s="185"/>
      <c r="X400" s="402">
        <f>AP393</f>
        <v>6.302820323027551</v>
      </c>
      <c r="Y400" s="402"/>
      <c r="Z400" s="402"/>
      <c r="AA400" s="402"/>
      <c r="AB400" s="272" t="s">
        <v>97</v>
      </c>
      <c r="AC400" s="402">
        <f>AO397</f>
        <v>3.5028203230275508</v>
      </c>
      <c r="AD400" s="402"/>
      <c r="AE400" s="402"/>
      <c r="AF400" s="185"/>
      <c r="AG400" s="185"/>
      <c r="AH400" s="185"/>
      <c r="AI400" s="185"/>
      <c r="AJ400" s="190"/>
      <c r="AK400" s="185"/>
      <c r="AL400" s="185"/>
      <c r="AM400" s="185"/>
      <c r="AN400" s="185"/>
      <c r="AO400" s="185"/>
      <c r="AP400" s="185"/>
      <c r="AQ400" s="185"/>
      <c r="AR400" s="185"/>
      <c r="AS400" s="185"/>
      <c r="AT400" s="185"/>
      <c r="AU400" s="185"/>
      <c r="AV400" s="201"/>
      <c r="AW400" s="207"/>
      <c r="AX400" s="208"/>
      <c r="AY400" s="208"/>
      <c r="AZ400" s="208"/>
      <c r="BA400" s="208"/>
      <c r="BB400" s="208"/>
      <c r="BC400" s="242"/>
    </row>
    <row r="401" spans="2:55" ht="12.75" customHeight="1">
      <c r="B401" s="4"/>
      <c r="H401" s="5"/>
      <c r="I401" s="180"/>
      <c r="J401" s="185"/>
      <c r="K401" s="185"/>
      <c r="L401" s="185"/>
      <c r="M401" s="185"/>
      <c r="N401" s="185"/>
      <c r="O401" s="185"/>
      <c r="P401" s="185"/>
      <c r="Q401" s="185"/>
      <c r="R401" s="185"/>
      <c r="S401" s="185"/>
      <c r="T401" s="185"/>
      <c r="U401" s="185"/>
      <c r="V401" s="185"/>
      <c r="W401" s="185"/>
      <c r="X401" s="185"/>
      <c r="Y401" s="185"/>
      <c r="Z401" s="185"/>
      <c r="AA401" s="185"/>
      <c r="AB401" s="185"/>
      <c r="AC401" s="185"/>
      <c r="AD401" s="185"/>
      <c r="AE401" s="185"/>
      <c r="AF401" s="185"/>
      <c r="AG401" s="185"/>
      <c r="AH401" s="185"/>
      <c r="AI401" s="185"/>
      <c r="AJ401" s="190"/>
      <c r="AK401" s="185"/>
      <c r="AL401" s="185"/>
      <c r="AM401" s="185"/>
      <c r="AN401" s="185"/>
      <c r="AO401" s="185"/>
      <c r="AP401" s="185"/>
      <c r="AQ401" s="185"/>
      <c r="AR401" s="185"/>
      <c r="AS401" s="185"/>
      <c r="AT401" s="185"/>
      <c r="AU401" s="208"/>
      <c r="AV401" s="201"/>
      <c r="AW401" s="207"/>
      <c r="AX401" s="208"/>
      <c r="AY401" s="208"/>
      <c r="AZ401" s="208"/>
      <c r="BA401" s="208"/>
      <c r="BB401" s="208"/>
      <c r="BC401" s="242"/>
    </row>
    <row r="402" spans="2:55" ht="12.75" customHeight="1">
      <c r="B402" s="627" t="s">
        <v>311</v>
      </c>
      <c r="C402" s="627"/>
      <c r="D402" s="627"/>
      <c r="E402" s="627"/>
      <c r="F402" s="627"/>
      <c r="G402" s="627"/>
      <c r="H402" s="627"/>
      <c r="I402" s="180"/>
      <c r="J402" s="213" t="s">
        <v>153</v>
      </c>
      <c r="K402" s="185"/>
      <c r="L402" s="185"/>
      <c r="M402" s="185"/>
      <c r="N402" s="185"/>
      <c r="O402" s="185"/>
      <c r="P402" s="185"/>
      <c r="Q402" s="185"/>
      <c r="R402" s="185"/>
      <c r="S402" s="185"/>
      <c r="T402" s="185"/>
      <c r="U402" s="185"/>
      <c r="V402" s="185"/>
      <c r="W402" s="208"/>
      <c r="X402" s="576">
        <f>V152</f>
        <v>294.3</v>
      </c>
      <c r="Y402" s="471"/>
      <c r="Z402" s="471"/>
      <c r="AA402" s="471"/>
      <c r="AB402" s="471"/>
      <c r="AC402" s="471"/>
      <c r="AD402" s="471"/>
      <c r="AE402" s="471"/>
      <c r="AF402" s="208" t="s">
        <v>97</v>
      </c>
      <c r="AG402" s="471">
        <v>1.3</v>
      </c>
      <c r="AH402" s="471"/>
      <c r="AI402" s="471"/>
      <c r="AJ402" s="189"/>
      <c r="AK402" s="208"/>
      <c r="AL402" s="208"/>
      <c r="AM402" s="227" t="s">
        <v>95</v>
      </c>
      <c r="AN402" s="208"/>
      <c r="AO402" s="385">
        <f>(X402*AG402)/(X403*AC403)</f>
        <v>17.329292289271446</v>
      </c>
      <c r="AP402" s="385"/>
      <c r="AQ402" s="385"/>
      <c r="AR402" s="385"/>
      <c r="AS402" s="385"/>
      <c r="AT402" s="385"/>
      <c r="AU402" s="208"/>
      <c r="AV402" s="201"/>
      <c r="AW402" s="207"/>
      <c r="AX402" s="208"/>
      <c r="AY402" s="208"/>
      <c r="AZ402" s="208"/>
      <c r="BA402" s="208"/>
      <c r="BB402" s="208"/>
      <c r="BC402" s="242"/>
    </row>
    <row r="403" spans="2:55" ht="12.75" customHeight="1">
      <c r="B403" s="260"/>
      <c r="C403" s="176"/>
      <c r="D403" s="176"/>
      <c r="E403" s="176"/>
      <c r="F403" s="176"/>
      <c r="G403" s="213"/>
      <c r="H403" s="256"/>
      <c r="I403" s="180"/>
      <c r="J403" s="176"/>
      <c r="K403" s="176"/>
      <c r="L403" s="176"/>
      <c r="M403" s="176"/>
      <c r="N403" s="176"/>
      <c r="O403" s="176"/>
      <c r="P403" s="176"/>
      <c r="Q403" s="176"/>
      <c r="R403" s="176"/>
      <c r="S403" s="176"/>
      <c r="T403" s="176"/>
      <c r="U403" s="298"/>
      <c r="V403" s="298"/>
      <c r="W403" s="298"/>
      <c r="X403" s="402">
        <f>AP393</f>
        <v>6.302820323027551</v>
      </c>
      <c r="Y403" s="402"/>
      <c r="Z403" s="402"/>
      <c r="AA403" s="402"/>
      <c r="AB403" s="272" t="s">
        <v>97</v>
      </c>
      <c r="AC403" s="402">
        <f>AO397</f>
        <v>3.5028203230275508</v>
      </c>
      <c r="AD403" s="402"/>
      <c r="AE403" s="402"/>
      <c r="AF403" s="176"/>
      <c r="AG403" s="176"/>
      <c r="AH403" s="176"/>
      <c r="AI403" s="176"/>
      <c r="AJ403" s="176"/>
      <c r="AK403" s="176"/>
      <c r="AL403" s="176"/>
      <c r="AM403" s="176"/>
      <c r="AN403" s="176"/>
      <c r="AO403" s="208"/>
      <c r="AP403" s="208"/>
      <c r="AQ403" s="208"/>
      <c r="AR403" s="208"/>
      <c r="AS403" s="208"/>
      <c r="AT403" s="208"/>
      <c r="AU403" s="208"/>
      <c r="AV403" s="201"/>
      <c r="AW403" s="207"/>
      <c r="AX403" s="208"/>
      <c r="AY403" s="208"/>
      <c r="AZ403" s="208"/>
      <c r="BA403" s="208"/>
      <c r="BB403" s="208"/>
      <c r="BC403" s="242"/>
    </row>
    <row r="404" spans="2:55" ht="12.75" customHeight="1">
      <c r="B404" s="4"/>
      <c r="H404" s="5"/>
      <c r="I404" s="180"/>
      <c r="J404" s="185"/>
      <c r="K404" s="185"/>
      <c r="L404" s="185"/>
      <c r="M404" s="185"/>
      <c r="N404" s="185"/>
      <c r="O404" s="185"/>
      <c r="P404" s="185"/>
      <c r="Q404" s="185"/>
      <c r="R404" s="185"/>
      <c r="S404" s="185"/>
      <c r="T404" s="185"/>
      <c r="U404" s="185"/>
      <c r="V404" s="185"/>
      <c r="W404" s="185"/>
      <c r="X404" s="185"/>
      <c r="Y404" s="185"/>
      <c r="Z404" s="185"/>
      <c r="AA404" s="185"/>
      <c r="AB404" s="185"/>
      <c r="AC404" s="185"/>
      <c r="AD404" s="185"/>
      <c r="AE404" s="185"/>
      <c r="AF404" s="185"/>
      <c r="AG404" s="185"/>
      <c r="AH404" s="185"/>
      <c r="AI404" s="185"/>
      <c r="AJ404" s="190"/>
      <c r="AK404" s="185"/>
      <c r="AL404" s="185"/>
      <c r="AM404" s="185"/>
      <c r="AN404" s="185"/>
      <c r="AO404" s="185"/>
      <c r="AP404" s="185"/>
      <c r="AQ404" s="185"/>
      <c r="AR404" s="185"/>
      <c r="AS404" s="185"/>
      <c r="AT404" s="185"/>
      <c r="AU404" s="208"/>
      <c r="AV404" s="201"/>
      <c r="AW404" s="207"/>
      <c r="AX404" s="208"/>
      <c r="AY404" s="208"/>
      <c r="AZ404" s="208"/>
      <c r="BA404" s="208"/>
      <c r="BB404" s="208"/>
      <c r="BC404" s="242"/>
    </row>
    <row r="405" spans="2:55" ht="12.75" customHeight="1">
      <c r="B405" s="628" t="s">
        <v>315</v>
      </c>
      <c r="C405" s="612"/>
      <c r="D405" s="612"/>
      <c r="E405" s="612"/>
      <c r="F405" s="612"/>
      <c r="G405" s="612"/>
      <c r="H405" s="612"/>
      <c r="I405" s="180"/>
      <c r="J405" s="213" t="s">
        <v>119</v>
      </c>
      <c r="K405" s="208"/>
      <c r="L405" s="208"/>
      <c r="M405" s="208"/>
      <c r="N405" s="208"/>
      <c r="O405" s="208"/>
      <c r="P405" s="208"/>
      <c r="Q405" s="208"/>
      <c r="R405" s="208"/>
      <c r="S405" s="208"/>
      <c r="T405" s="208"/>
      <c r="U405" s="208"/>
      <c r="V405" s="208"/>
      <c r="W405" s="208"/>
      <c r="X405" s="629">
        <f>AO402</f>
        <v>17.329292289271446</v>
      </c>
      <c r="Y405" s="615"/>
      <c r="Z405" s="615"/>
      <c r="AA405" s="615"/>
      <c r="AB405" s="615"/>
      <c r="AC405" s="615"/>
      <c r="AD405" s="615"/>
      <c r="AE405" s="208"/>
      <c r="AF405" s="208"/>
      <c r="AG405" s="208"/>
      <c r="AH405" s="208"/>
      <c r="AI405" s="208"/>
      <c r="AJ405" s="189"/>
      <c r="AK405" s="208"/>
      <c r="AL405" s="208"/>
      <c r="AM405" s="208"/>
      <c r="AN405" s="227" t="s">
        <v>95</v>
      </c>
      <c r="AO405" s="208"/>
      <c r="AP405" s="467">
        <f>(X405/X406)*100</f>
        <v>5.3230932717277479</v>
      </c>
      <c r="AQ405" s="467"/>
      <c r="AR405" s="467"/>
      <c r="AS405" s="467"/>
      <c r="AT405" s="467"/>
      <c r="AU405" s="467"/>
      <c r="AV405" s="208"/>
      <c r="AW405" s="406" t="str">
        <f>IF(AP405&lt;100,  "PASS", "FAIL")</f>
        <v>PASS</v>
      </c>
      <c r="AX405" s="407"/>
      <c r="AY405" s="407"/>
      <c r="AZ405" s="407"/>
      <c r="BA405" s="407"/>
      <c r="BB405" s="407"/>
      <c r="BC405" s="408"/>
    </row>
    <row r="406" spans="2:55" ht="12.75" customHeight="1">
      <c r="B406" s="612"/>
      <c r="C406" s="612"/>
      <c r="D406" s="612"/>
      <c r="E406" s="612"/>
      <c r="F406" s="612"/>
      <c r="G406" s="612"/>
      <c r="H406" s="612"/>
      <c r="I406" s="180"/>
      <c r="J406" s="185"/>
      <c r="K406" s="185"/>
      <c r="L406" s="185"/>
      <c r="M406" s="185"/>
      <c r="N406" s="185"/>
      <c r="O406" s="185"/>
      <c r="P406" s="185"/>
      <c r="Q406" s="185"/>
      <c r="R406" s="185"/>
      <c r="S406" s="185"/>
      <c r="T406" s="185"/>
      <c r="U406" s="185"/>
      <c r="V406" s="185"/>
      <c r="W406" s="185"/>
      <c r="X406" s="582">
        <f>AP389</f>
        <v>325.54928881880699</v>
      </c>
      <c r="Y406" s="615"/>
      <c r="Z406" s="615"/>
      <c r="AA406" s="615"/>
      <c r="AB406" s="615"/>
      <c r="AC406" s="615"/>
      <c r="AD406" s="615"/>
      <c r="AE406" s="185"/>
      <c r="AF406" s="185"/>
      <c r="AG406" s="185"/>
      <c r="AH406" s="185"/>
      <c r="AI406" s="185"/>
      <c r="AJ406" s="190"/>
      <c r="AK406" s="185"/>
      <c r="AL406" s="185"/>
      <c r="AM406" s="185"/>
      <c r="AN406" s="185"/>
      <c r="AO406" s="185"/>
      <c r="AP406" s="185"/>
      <c r="AQ406" s="185"/>
      <c r="AR406" s="185"/>
      <c r="AS406" s="185"/>
      <c r="AT406" s="185"/>
      <c r="AU406" s="208"/>
      <c r="AV406" s="201"/>
      <c r="AW406" s="202"/>
      <c r="AX406" s="203"/>
      <c r="AY406" s="203"/>
      <c r="AZ406" s="203"/>
      <c r="BA406" s="203"/>
      <c r="BB406" s="203"/>
      <c r="BC406" s="276"/>
    </row>
    <row r="407" spans="2:55" ht="12.75" customHeight="1">
      <c r="B407" s="4"/>
      <c r="H407" s="5"/>
      <c r="I407" s="180"/>
      <c r="J407" s="185"/>
      <c r="K407" s="185"/>
      <c r="L407" s="185"/>
      <c r="M407" s="185"/>
      <c r="N407" s="185"/>
      <c r="O407" s="185"/>
      <c r="P407" s="185"/>
      <c r="Q407" s="185"/>
      <c r="R407" s="185"/>
      <c r="S407" s="185"/>
      <c r="T407" s="185"/>
      <c r="U407" s="185"/>
      <c r="V407" s="185"/>
      <c r="W407" s="185"/>
      <c r="X407" s="185"/>
      <c r="Y407" s="185"/>
      <c r="Z407" s="185"/>
      <c r="AA407" s="185"/>
      <c r="AB407" s="185"/>
      <c r="AC407" s="185"/>
      <c r="AD407" s="185"/>
      <c r="AE407" s="185"/>
      <c r="AF407" s="185"/>
      <c r="AG407" s="185"/>
      <c r="AH407" s="185"/>
      <c r="AI407" s="185"/>
      <c r="AJ407" s="190"/>
      <c r="AK407" s="185"/>
      <c r="AL407" s="185"/>
      <c r="AM407" s="185"/>
      <c r="AN407" s="185"/>
      <c r="AO407" s="185"/>
      <c r="AP407" s="185"/>
      <c r="AQ407" s="185"/>
      <c r="AR407" s="185"/>
      <c r="AS407" s="185"/>
      <c r="AT407" s="185"/>
      <c r="AU407" s="208"/>
      <c r="AV407" s="201"/>
      <c r="AW407" s="207"/>
      <c r="AX407" s="208"/>
      <c r="AY407" s="208"/>
      <c r="AZ407" s="208"/>
      <c r="BA407" s="208"/>
      <c r="BB407" s="208"/>
      <c r="BC407" s="242"/>
    </row>
    <row r="408" spans="2:55" ht="12.75" customHeight="1">
      <c r="B408" s="4"/>
      <c r="H408" s="5"/>
      <c r="I408" s="180"/>
      <c r="AV408" s="201"/>
      <c r="AW408" s="4"/>
      <c r="BC408" s="5"/>
    </row>
    <row r="409" spans="2:55" ht="12.75" customHeight="1">
      <c r="B409" s="151"/>
      <c r="C409" s="80"/>
      <c r="D409" s="80"/>
      <c r="E409" s="80"/>
      <c r="F409" s="80"/>
      <c r="G409" s="152"/>
      <c r="H409" s="118"/>
      <c r="I409" s="244"/>
      <c r="J409" s="176"/>
      <c r="K409" s="176"/>
      <c r="L409" s="176"/>
      <c r="M409" s="176"/>
      <c r="N409" s="208"/>
      <c r="O409" s="208"/>
      <c r="P409" s="208"/>
      <c r="Q409" s="176"/>
      <c r="R409" s="176"/>
      <c r="S409" s="176"/>
      <c r="T409" s="176"/>
      <c r="U409" s="176"/>
      <c r="V409" s="208"/>
      <c r="W409" s="208"/>
      <c r="AE409" s="176"/>
      <c r="AF409" s="176"/>
      <c r="AG409" s="176"/>
      <c r="AH409" s="176"/>
      <c r="AI409" s="176"/>
      <c r="AJ409" s="176"/>
      <c r="AK409" s="176"/>
      <c r="AL409" s="176"/>
      <c r="AM409" s="176"/>
      <c r="AN409" s="176"/>
      <c r="AO409" s="208"/>
      <c r="AP409" s="208"/>
      <c r="AQ409" s="208"/>
      <c r="AR409" s="208"/>
      <c r="AS409" s="208"/>
      <c r="AT409" s="208"/>
      <c r="AU409" s="208"/>
      <c r="AV409" s="201"/>
      <c r="AW409" s="249"/>
      <c r="AX409" s="236"/>
      <c r="AY409" s="236"/>
      <c r="AZ409" s="236"/>
      <c r="BA409" s="236"/>
      <c r="BB409" s="236"/>
      <c r="BC409" s="286"/>
    </row>
    <row r="410" spans="2:55" ht="12.75" customHeight="1">
      <c r="B410" s="101"/>
      <c r="C410" s="102"/>
      <c r="D410" s="102"/>
      <c r="E410" s="102"/>
      <c r="F410" s="102"/>
      <c r="G410" s="102"/>
      <c r="H410" s="102"/>
      <c r="I410" s="102"/>
      <c r="J410" s="102"/>
      <c r="K410" s="102"/>
      <c r="L410" s="102"/>
      <c r="M410" s="102"/>
      <c r="N410" s="102"/>
      <c r="O410" s="102"/>
      <c r="P410" s="102"/>
      <c r="Q410" s="102"/>
      <c r="R410" s="102"/>
      <c r="S410" s="102"/>
      <c r="T410" s="320"/>
      <c r="U410" s="321"/>
      <c r="V410" s="478" t="s">
        <v>0</v>
      </c>
      <c r="W410" s="479"/>
      <c r="X410" s="479"/>
      <c r="Y410" s="479"/>
      <c r="Z410" s="479"/>
      <c r="AA410" s="479"/>
      <c r="AB410" s="479"/>
      <c r="AC410" s="479"/>
      <c r="AD410" s="479"/>
      <c r="AE410" s="479"/>
      <c r="AF410" s="479"/>
      <c r="AG410" s="479"/>
      <c r="AH410" s="479"/>
      <c r="AI410" s="479"/>
      <c r="AJ410" s="480"/>
      <c r="AK410" s="395" t="s">
        <v>1</v>
      </c>
      <c r="AL410" s="396"/>
      <c r="AM410" s="396"/>
      <c r="AN410" s="396"/>
      <c r="AO410" s="396"/>
      <c r="AP410" s="379" t="str">
        <f>$AP$2</f>
        <v>BB----</v>
      </c>
      <c r="AQ410" s="379"/>
      <c r="AR410" s="379"/>
      <c r="AS410" s="379"/>
      <c r="AT410" s="379"/>
      <c r="AU410" s="379"/>
      <c r="AV410" s="379"/>
      <c r="AW410" s="379"/>
      <c r="AX410" s="379"/>
      <c r="AY410" s="379"/>
      <c r="AZ410" s="379"/>
      <c r="BA410" s="379"/>
      <c r="BB410" s="379"/>
      <c r="BC410" s="380"/>
    </row>
    <row r="411" spans="2:55" ht="12.75" customHeight="1">
      <c r="B411" s="103"/>
      <c r="C411" s="104"/>
      <c r="D411" s="104"/>
      <c r="E411" s="104"/>
      <c r="F411" s="104"/>
      <c r="G411" s="104"/>
      <c r="H411" s="104"/>
      <c r="I411" s="104"/>
      <c r="J411" s="104"/>
      <c r="K411" s="104"/>
      <c r="L411" s="104"/>
      <c r="M411" s="104"/>
      <c r="N411" s="104"/>
      <c r="O411" s="104"/>
      <c r="P411" s="104"/>
      <c r="Q411" s="104"/>
      <c r="R411" s="104"/>
      <c r="S411" s="104"/>
      <c r="T411" s="322"/>
      <c r="U411" s="323"/>
      <c r="V411" s="481"/>
      <c r="W411" s="482"/>
      <c r="X411" s="482"/>
      <c r="Y411" s="482"/>
      <c r="Z411" s="482"/>
      <c r="AA411" s="482"/>
      <c r="AB411" s="482"/>
      <c r="AC411" s="482"/>
      <c r="AD411" s="482"/>
      <c r="AE411" s="482"/>
      <c r="AF411" s="482"/>
      <c r="AG411" s="482"/>
      <c r="AH411" s="482"/>
      <c r="AI411" s="482"/>
      <c r="AJ411" s="483"/>
      <c r="AK411" s="397"/>
      <c r="AL411" s="398"/>
      <c r="AM411" s="398"/>
      <c r="AN411" s="398"/>
      <c r="AO411" s="398"/>
      <c r="AP411" s="381"/>
      <c r="AQ411" s="381"/>
      <c r="AR411" s="381"/>
      <c r="AS411" s="381"/>
      <c r="AT411" s="381"/>
      <c r="AU411" s="381"/>
      <c r="AV411" s="381"/>
      <c r="AW411" s="381"/>
      <c r="AX411" s="381"/>
      <c r="AY411" s="381"/>
      <c r="AZ411" s="381"/>
      <c r="BA411" s="381"/>
      <c r="BB411" s="381"/>
      <c r="BC411" s="382"/>
    </row>
    <row r="412" spans="2:55" ht="12.75" customHeight="1">
      <c r="B412" s="103"/>
      <c r="C412" s="104"/>
      <c r="D412" s="104"/>
      <c r="E412" s="104"/>
      <c r="F412" s="104"/>
      <c r="G412" s="104"/>
      <c r="H412" s="104"/>
      <c r="I412" s="104"/>
      <c r="J412" s="104"/>
      <c r="K412" s="104"/>
      <c r="L412" s="104"/>
      <c r="M412" s="104"/>
      <c r="N412" s="104"/>
      <c r="O412" s="104"/>
      <c r="P412" s="104"/>
      <c r="Q412" s="104"/>
      <c r="R412" s="104"/>
      <c r="S412" s="104"/>
      <c r="T412" s="322"/>
      <c r="U412" s="323"/>
      <c r="V412" s="481"/>
      <c r="W412" s="482"/>
      <c r="X412" s="482"/>
      <c r="Y412" s="482"/>
      <c r="Z412" s="482"/>
      <c r="AA412" s="482"/>
      <c r="AB412" s="482"/>
      <c r="AC412" s="482"/>
      <c r="AD412" s="482"/>
      <c r="AE412" s="482"/>
      <c r="AF412" s="482"/>
      <c r="AG412" s="482"/>
      <c r="AH412" s="482"/>
      <c r="AI412" s="482"/>
      <c r="AJ412" s="483"/>
      <c r="AK412" s="358" t="s">
        <v>2</v>
      </c>
      <c r="AL412" s="359"/>
      <c r="AM412" s="359"/>
      <c r="AN412" s="359"/>
      <c r="AO412" s="359"/>
      <c r="AP412" s="381" t="str">
        <f>$AP$4</f>
        <v>TITLE</v>
      </c>
      <c r="AQ412" s="381"/>
      <c r="AR412" s="381"/>
      <c r="AS412" s="381"/>
      <c r="AT412" s="381"/>
      <c r="AU412" s="381"/>
      <c r="AV412" s="381"/>
      <c r="AW412" s="381"/>
      <c r="AX412" s="381"/>
      <c r="AY412" s="381"/>
      <c r="AZ412" s="381"/>
      <c r="BA412" s="381"/>
      <c r="BB412" s="381"/>
      <c r="BC412" s="382"/>
    </row>
    <row r="413" spans="2:55" ht="12.75" customHeight="1">
      <c r="B413" s="103"/>
      <c r="C413" s="104"/>
      <c r="D413" s="104"/>
      <c r="E413" s="104"/>
      <c r="F413" s="104"/>
      <c r="G413" s="104"/>
      <c r="H413" s="104"/>
      <c r="I413" s="104"/>
      <c r="J413" s="104"/>
      <c r="K413" s="104"/>
      <c r="L413" s="104"/>
      <c r="M413" s="104"/>
      <c r="N413" s="104"/>
      <c r="O413" s="104"/>
      <c r="P413" s="104"/>
      <c r="Q413" s="104"/>
      <c r="R413" s="104"/>
      <c r="S413" s="104"/>
      <c r="T413" s="322"/>
      <c r="U413" s="323"/>
      <c r="V413" s="481"/>
      <c r="W413" s="482"/>
      <c r="X413" s="482"/>
      <c r="Y413" s="482"/>
      <c r="Z413" s="482"/>
      <c r="AA413" s="482"/>
      <c r="AB413" s="482"/>
      <c r="AC413" s="482"/>
      <c r="AD413" s="482"/>
      <c r="AE413" s="482"/>
      <c r="AF413" s="482"/>
      <c r="AG413" s="482"/>
      <c r="AH413" s="482"/>
      <c r="AI413" s="482"/>
      <c r="AJ413" s="483"/>
      <c r="AK413" s="358"/>
      <c r="AL413" s="359"/>
      <c r="AM413" s="359"/>
      <c r="AN413" s="359"/>
      <c r="AO413" s="359"/>
      <c r="AP413" s="381"/>
      <c r="AQ413" s="381"/>
      <c r="AR413" s="381"/>
      <c r="AS413" s="381"/>
      <c r="AT413" s="381"/>
      <c r="AU413" s="381"/>
      <c r="AV413" s="381"/>
      <c r="AW413" s="381"/>
      <c r="AX413" s="381"/>
      <c r="AY413" s="381"/>
      <c r="AZ413" s="381"/>
      <c r="BA413" s="381"/>
      <c r="BB413" s="381"/>
      <c r="BC413" s="382"/>
    </row>
    <row r="414" spans="2:55" ht="12.75" customHeight="1">
      <c r="B414" s="103"/>
      <c r="C414" s="104"/>
      <c r="D414" s="104"/>
      <c r="E414" s="104"/>
      <c r="F414" s="104"/>
      <c r="G414" s="104"/>
      <c r="H414" s="104"/>
      <c r="I414" s="104"/>
      <c r="J414" s="104"/>
      <c r="K414" s="104"/>
      <c r="L414" s="104"/>
      <c r="M414" s="104"/>
      <c r="N414" s="104"/>
      <c r="O414" s="104"/>
      <c r="P414" s="104"/>
      <c r="Q414" s="104"/>
      <c r="R414" s="104"/>
      <c r="S414" s="104"/>
      <c r="T414" s="322"/>
      <c r="U414" s="323"/>
      <c r="V414" s="481"/>
      <c r="W414" s="482"/>
      <c r="X414" s="482"/>
      <c r="Y414" s="482"/>
      <c r="Z414" s="482"/>
      <c r="AA414" s="482"/>
      <c r="AB414" s="482"/>
      <c r="AC414" s="482"/>
      <c r="AD414" s="482"/>
      <c r="AE414" s="482"/>
      <c r="AF414" s="482"/>
      <c r="AG414" s="482"/>
      <c r="AH414" s="482"/>
      <c r="AI414" s="482"/>
      <c r="AJ414" s="483"/>
      <c r="AK414" s="401" t="s">
        <v>3</v>
      </c>
      <c r="AL414" s="401"/>
      <c r="AM414" s="401"/>
      <c r="AN414" s="401"/>
      <c r="AO414" s="401"/>
      <c r="AP414" s="381">
        <f>AP346+1</f>
        <v>7</v>
      </c>
      <c r="AQ414" s="381"/>
      <c r="AR414" s="381"/>
      <c r="AS414" s="381"/>
      <c r="AT414" s="381"/>
      <c r="AU414" s="381"/>
      <c r="AV414" s="381"/>
      <c r="AW414" s="381"/>
      <c r="AX414" s="381"/>
      <c r="AY414" s="381"/>
      <c r="AZ414" s="381"/>
      <c r="BA414" s="381"/>
      <c r="BB414" s="381"/>
      <c r="BC414" s="382"/>
    </row>
    <row r="415" spans="2:55" ht="12.75" customHeight="1">
      <c r="B415" s="103"/>
      <c r="C415" s="104"/>
      <c r="D415" s="104"/>
      <c r="E415" s="104"/>
      <c r="F415" s="104"/>
      <c r="G415" s="104"/>
      <c r="H415" s="104"/>
      <c r="I415" s="104"/>
      <c r="J415" s="104"/>
      <c r="K415" s="104"/>
      <c r="L415" s="104"/>
      <c r="M415" s="104"/>
      <c r="N415" s="104"/>
      <c r="O415" s="104"/>
      <c r="P415" s="104"/>
      <c r="Q415" s="104"/>
      <c r="R415" s="104"/>
      <c r="S415" s="104"/>
      <c r="T415" s="322"/>
      <c r="U415" s="323"/>
      <c r="V415" s="481"/>
      <c r="W415" s="482"/>
      <c r="X415" s="482"/>
      <c r="Y415" s="482"/>
      <c r="Z415" s="482"/>
      <c r="AA415" s="482"/>
      <c r="AB415" s="482"/>
      <c r="AC415" s="482"/>
      <c r="AD415" s="482"/>
      <c r="AE415" s="482"/>
      <c r="AF415" s="482"/>
      <c r="AG415" s="482"/>
      <c r="AH415" s="482"/>
      <c r="AI415" s="482"/>
      <c r="AJ415" s="483"/>
      <c r="AK415" s="401" t="s">
        <v>4</v>
      </c>
      <c r="AL415" s="401"/>
      <c r="AM415" s="401"/>
      <c r="AN415" s="401"/>
      <c r="AO415" s="401"/>
      <c r="AP415" s="383">
        <f ca="1">$AP$7</f>
        <v>45928</v>
      </c>
      <c r="AQ415" s="383"/>
      <c r="AR415" s="383"/>
      <c r="AS415" s="383"/>
      <c r="AT415" s="383"/>
      <c r="AU415" s="383"/>
      <c r="AV415" s="383"/>
      <c r="AW415" s="383"/>
      <c r="AX415" s="383"/>
      <c r="AY415" s="383"/>
      <c r="AZ415" s="383"/>
      <c r="BA415" s="383"/>
      <c r="BB415" s="383"/>
      <c r="BC415" s="384"/>
    </row>
    <row r="416" spans="2:55" ht="12.75" customHeight="1">
      <c r="B416" s="103"/>
      <c r="C416" s="104"/>
      <c r="D416" s="104"/>
      <c r="E416" s="104"/>
      <c r="F416" s="104"/>
      <c r="G416" s="104"/>
      <c r="H416" s="104"/>
      <c r="I416" s="104"/>
      <c r="J416" s="104"/>
      <c r="K416" s="104"/>
      <c r="L416" s="104"/>
      <c r="M416" s="104"/>
      <c r="N416" s="104"/>
      <c r="O416" s="104"/>
      <c r="P416" s="104"/>
      <c r="Q416" s="104"/>
      <c r="R416" s="104"/>
      <c r="S416" s="104"/>
      <c r="T416" s="322"/>
      <c r="U416" s="323"/>
      <c r="V416" s="481"/>
      <c r="W416" s="482"/>
      <c r="X416" s="482"/>
      <c r="Y416" s="482"/>
      <c r="Z416" s="482"/>
      <c r="AA416" s="482"/>
      <c r="AB416" s="482"/>
      <c r="AC416" s="482"/>
      <c r="AD416" s="482"/>
      <c r="AE416" s="482"/>
      <c r="AF416" s="482"/>
      <c r="AG416" s="482"/>
      <c r="AH416" s="482"/>
      <c r="AI416" s="482"/>
      <c r="AJ416" s="483"/>
      <c r="AK416" s="401" t="s">
        <v>5</v>
      </c>
      <c r="AL416" s="401"/>
      <c r="AM416" s="401"/>
      <c r="AN416" s="401"/>
      <c r="AO416" s="401"/>
      <c r="AP416" s="381" t="str">
        <f>$AP$8</f>
        <v>AB</v>
      </c>
      <c r="AQ416" s="381"/>
      <c r="AR416" s="381"/>
      <c r="AS416" s="381"/>
      <c r="AT416" s="381"/>
      <c r="AU416" s="381"/>
      <c r="AV416" s="381"/>
      <c r="AW416" s="381"/>
      <c r="AX416" s="381"/>
      <c r="AY416" s="381"/>
      <c r="AZ416" s="381"/>
      <c r="BA416" s="381"/>
      <c r="BB416" s="381"/>
      <c r="BC416" s="382"/>
    </row>
    <row r="417" spans="2:55" ht="12.75" customHeight="1">
      <c r="B417" s="105"/>
      <c r="C417" s="106"/>
      <c r="D417" s="106"/>
      <c r="E417" s="106"/>
      <c r="F417" s="106"/>
      <c r="G417" s="106"/>
      <c r="H417" s="106"/>
      <c r="I417" s="106"/>
      <c r="J417" s="106"/>
      <c r="K417" s="106"/>
      <c r="L417" s="106"/>
      <c r="M417" s="106"/>
      <c r="N417" s="106"/>
      <c r="O417" s="106"/>
      <c r="P417" s="106"/>
      <c r="Q417" s="106"/>
      <c r="R417" s="106"/>
      <c r="S417" s="106"/>
      <c r="T417" s="324"/>
      <c r="U417" s="325"/>
      <c r="V417" s="484"/>
      <c r="W417" s="485"/>
      <c r="X417" s="485"/>
      <c r="Y417" s="485"/>
      <c r="Z417" s="485"/>
      <c r="AA417" s="485"/>
      <c r="AB417" s="485"/>
      <c r="AC417" s="485"/>
      <c r="AD417" s="485"/>
      <c r="AE417" s="485"/>
      <c r="AF417" s="485"/>
      <c r="AG417" s="485"/>
      <c r="AH417" s="485"/>
      <c r="AI417" s="485"/>
      <c r="AJ417" s="486"/>
      <c r="AK417" s="460" t="s">
        <v>6</v>
      </c>
      <c r="AL417" s="460"/>
      <c r="AM417" s="460"/>
      <c r="AN417" s="460"/>
      <c r="AO417" s="460"/>
      <c r="AP417" s="386" t="str">
        <f>$AP$9</f>
        <v xml:space="preserve">CAT I / II </v>
      </c>
      <c r="AQ417" s="386"/>
      <c r="AR417" s="386"/>
      <c r="AS417" s="386"/>
      <c r="AT417" s="386"/>
      <c r="AU417" s="386"/>
      <c r="AV417" s="386"/>
      <c r="AW417" s="386"/>
      <c r="AX417" s="386"/>
      <c r="AY417" s="386"/>
      <c r="AZ417" s="386"/>
      <c r="BA417" s="386"/>
      <c r="BB417" s="386"/>
      <c r="BC417" s="387"/>
    </row>
    <row r="418" spans="2:55" ht="12.75" customHeight="1">
      <c r="B418" s="360" t="s">
        <v>7</v>
      </c>
      <c r="C418" s="361"/>
      <c r="D418" s="361"/>
      <c r="E418" s="361"/>
      <c r="F418" s="361"/>
      <c r="G418" s="361"/>
      <c r="H418" s="361"/>
      <c r="I418" s="361"/>
      <c r="J418" s="361"/>
      <c r="K418" s="361"/>
      <c r="L418" s="361"/>
      <c r="M418" s="361"/>
      <c r="N418" s="361"/>
      <c r="O418" s="361"/>
      <c r="P418" s="361"/>
      <c r="Q418" s="361"/>
      <c r="R418" s="361"/>
      <c r="S418" s="361"/>
      <c r="T418" s="361"/>
      <c r="U418" s="361"/>
      <c r="V418" s="361"/>
      <c r="W418" s="361"/>
      <c r="X418" s="361"/>
      <c r="Y418" s="361"/>
      <c r="Z418" s="361"/>
      <c r="AA418" s="361"/>
      <c r="AB418" s="361"/>
      <c r="AC418" s="361"/>
      <c r="AD418" s="361"/>
      <c r="AE418" s="361"/>
      <c r="AF418" s="361"/>
      <c r="AG418" s="361"/>
      <c r="AH418" s="361"/>
      <c r="AI418" s="361"/>
      <c r="AJ418" s="361"/>
      <c r="AK418" s="361"/>
      <c r="AL418" s="361"/>
      <c r="AM418" s="361"/>
      <c r="AN418" s="361"/>
      <c r="AO418" s="361"/>
      <c r="AP418" s="361"/>
      <c r="AQ418" s="361"/>
      <c r="AR418" s="361"/>
      <c r="AS418" s="361"/>
      <c r="AT418" s="361"/>
      <c r="AU418" s="361"/>
      <c r="AV418" s="361"/>
      <c r="AW418" s="361"/>
      <c r="AX418" s="361"/>
      <c r="AY418" s="361"/>
      <c r="AZ418" s="361"/>
      <c r="BA418" s="361"/>
      <c r="BB418" s="361"/>
      <c r="BC418" s="362"/>
    </row>
    <row r="419" spans="2:55" ht="12.75" customHeight="1">
      <c r="B419" s="363"/>
      <c r="C419" s="364"/>
      <c r="D419" s="364"/>
      <c r="E419" s="364"/>
      <c r="F419" s="364"/>
      <c r="G419" s="364"/>
      <c r="H419" s="364"/>
      <c r="I419" s="364"/>
      <c r="J419" s="364"/>
      <c r="K419" s="364"/>
      <c r="L419" s="364"/>
      <c r="M419" s="364"/>
      <c r="N419" s="364"/>
      <c r="O419" s="364"/>
      <c r="P419" s="364"/>
      <c r="Q419" s="364"/>
      <c r="R419" s="364"/>
      <c r="S419" s="364"/>
      <c r="T419" s="364"/>
      <c r="U419" s="364"/>
      <c r="V419" s="364"/>
      <c r="W419" s="364"/>
      <c r="X419" s="364"/>
      <c r="Y419" s="364"/>
      <c r="Z419" s="364"/>
      <c r="AA419" s="364"/>
      <c r="AB419" s="364"/>
      <c r="AC419" s="364"/>
      <c r="AD419" s="364"/>
      <c r="AE419" s="364"/>
      <c r="AF419" s="364"/>
      <c r="AG419" s="364"/>
      <c r="AH419" s="364"/>
      <c r="AI419" s="364"/>
      <c r="AJ419" s="364"/>
      <c r="AK419" s="364"/>
      <c r="AL419" s="364"/>
      <c r="AM419" s="364"/>
      <c r="AN419" s="364"/>
      <c r="AO419" s="364"/>
      <c r="AP419" s="364"/>
      <c r="AQ419" s="364"/>
      <c r="AR419" s="364"/>
      <c r="AS419" s="364"/>
      <c r="AT419" s="364"/>
      <c r="AU419" s="364"/>
      <c r="AV419" s="364"/>
      <c r="AW419" s="364"/>
      <c r="AX419" s="364"/>
      <c r="AY419" s="364"/>
      <c r="AZ419" s="364"/>
      <c r="BA419" s="364"/>
      <c r="BB419" s="364"/>
      <c r="BC419" s="365"/>
    </row>
    <row r="420" spans="2:55" ht="12.75" customHeight="1">
      <c r="B420" s="376"/>
      <c r="C420" s="377"/>
      <c r="D420" s="377"/>
      <c r="E420" s="377"/>
      <c r="F420" s="377"/>
      <c r="G420" s="377"/>
      <c r="H420" s="377"/>
      <c r="I420" s="377"/>
      <c r="J420" s="377"/>
      <c r="K420" s="377"/>
      <c r="L420" s="377"/>
      <c r="M420" s="377"/>
      <c r="N420" s="377"/>
      <c r="O420" s="377"/>
      <c r="P420" s="377"/>
      <c r="Q420" s="377"/>
      <c r="R420" s="377"/>
      <c r="S420" s="377"/>
      <c r="T420" s="377"/>
      <c r="U420" s="377"/>
      <c r="V420" s="377"/>
      <c r="W420" s="377"/>
      <c r="X420" s="377"/>
      <c r="Y420" s="377"/>
      <c r="Z420" s="377"/>
      <c r="AA420" s="377"/>
      <c r="AB420" s="377"/>
      <c r="AC420" s="377"/>
      <c r="AD420" s="377"/>
      <c r="AE420" s="377"/>
      <c r="AF420" s="377"/>
      <c r="AG420" s="377"/>
      <c r="AH420" s="377"/>
      <c r="AI420" s="377"/>
      <c r="AJ420" s="377"/>
      <c r="AK420" s="377"/>
      <c r="AL420" s="377"/>
      <c r="AM420" s="377"/>
      <c r="AN420" s="377"/>
      <c r="AO420" s="377"/>
      <c r="AP420" s="377"/>
      <c r="AQ420" s="377"/>
      <c r="AR420" s="377"/>
      <c r="AS420" s="377"/>
      <c r="AT420" s="377"/>
      <c r="AU420" s="377"/>
      <c r="AV420" s="377"/>
      <c r="AW420" s="377"/>
      <c r="AX420" s="377"/>
      <c r="AY420" s="377"/>
      <c r="AZ420" s="377"/>
      <c r="BA420" s="377"/>
      <c r="BB420" s="377"/>
      <c r="BC420" s="378"/>
    </row>
    <row r="421" spans="2:55" ht="12.75" customHeight="1">
      <c r="B421" s="461" t="s">
        <v>8</v>
      </c>
      <c r="C421" s="462"/>
      <c r="D421" s="462"/>
      <c r="E421" s="462"/>
      <c r="F421" s="462"/>
      <c r="G421" s="462"/>
      <c r="H421" s="463"/>
      <c r="I421" s="409" t="s">
        <v>246</v>
      </c>
      <c r="J421" s="410"/>
      <c r="K421" s="410"/>
      <c r="L421" s="410"/>
      <c r="M421" s="410"/>
      <c r="N421" s="410"/>
      <c r="O421" s="410"/>
      <c r="P421" s="410"/>
      <c r="Q421" s="410"/>
      <c r="R421" s="410"/>
      <c r="S421" s="410"/>
      <c r="T421" s="410"/>
      <c r="U421" s="410"/>
      <c r="V421" s="410"/>
      <c r="W421" s="410"/>
      <c r="X421" s="410"/>
      <c r="Y421" s="410"/>
      <c r="Z421" s="410"/>
      <c r="AA421" s="410"/>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1"/>
      <c r="AW421" s="403" t="s">
        <v>9</v>
      </c>
      <c r="AX421" s="404"/>
      <c r="AY421" s="404"/>
      <c r="AZ421" s="404"/>
      <c r="BA421" s="404"/>
      <c r="BB421" s="404"/>
      <c r="BC421" s="405"/>
    </row>
    <row r="422" spans="2:55" ht="12.75" customHeight="1">
      <c r="B422" s="267"/>
      <c r="C422" s="269"/>
      <c r="D422" s="269"/>
      <c r="E422" s="269"/>
      <c r="F422" s="269"/>
      <c r="G422" s="253"/>
      <c r="H422" s="254"/>
      <c r="I422" s="412"/>
      <c r="J422" s="413"/>
      <c r="K422" s="413"/>
      <c r="L422" s="413"/>
      <c r="M422" s="413"/>
      <c r="N422" s="413"/>
      <c r="O422" s="413"/>
      <c r="P422" s="413"/>
      <c r="Q422" s="413"/>
      <c r="R422" s="413"/>
      <c r="S422" s="413"/>
      <c r="T422" s="413"/>
      <c r="U422" s="413"/>
      <c r="V422" s="413"/>
      <c r="W422" s="413"/>
      <c r="X422" s="413"/>
      <c r="Y422" s="413"/>
      <c r="Z422" s="413"/>
      <c r="AA422" s="413"/>
      <c r="AB422" s="413"/>
      <c r="AC422" s="413"/>
      <c r="AD422" s="413"/>
      <c r="AE422" s="413"/>
      <c r="AF422" s="413"/>
      <c r="AG422" s="413"/>
      <c r="AH422" s="413"/>
      <c r="AI422" s="413"/>
      <c r="AJ422" s="413"/>
      <c r="AK422" s="413"/>
      <c r="AL422" s="413"/>
      <c r="AM422" s="413"/>
      <c r="AN422" s="413"/>
      <c r="AO422" s="413"/>
      <c r="AP422" s="413"/>
      <c r="AQ422" s="413"/>
      <c r="AR422" s="413"/>
      <c r="AS422" s="413"/>
      <c r="AT422" s="413"/>
      <c r="AU422" s="413"/>
      <c r="AV422" s="414"/>
      <c r="AW422" s="202"/>
      <c r="AX422" s="203"/>
      <c r="AY422" s="203"/>
      <c r="AZ422" s="203"/>
      <c r="BA422" s="203"/>
      <c r="BB422" s="203"/>
      <c r="BC422" s="276"/>
    </row>
    <row r="423" spans="2:55" ht="12.75" customHeight="1">
      <c r="B423" s="260"/>
      <c r="C423" s="176"/>
      <c r="D423" s="176"/>
      <c r="E423" s="176"/>
      <c r="F423" s="176"/>
      <c r="G423" s="213"/>
      <c r="H423" s="256"/>
      <c r="I423" s="415"/>
      <c r="J423" s="416"/>
      <c r="K423" s="416"/>
      <c r="L423" s="416"/>
      <c r="M423" s="416"/>
      <c r="N423" s="416"/>
      <c r="O423" s="416"/>
      <c r="P423" s="416"/>
      <c r="Q423" s="416"/>
      <c r="R423" s="416"/>
      <c r="S423" s="416"/>
      <c r="T423" s="416"/>
      <c r="U423" s="416"/>
      <c r="V423" s="416"/>
      <c r="W423" s="416"/>
      <c r="X423" s="416"/>
      <c r="Y423" s="416"/>
      <c r="Z423" s="416"/>
      <c r="AA423" s="416"/>
      <c r="AB423" s="416"/>
      <c r="AC423" s="416"/>
      <c r="AD423" s="416"/>
      <c r="AE423" s="416"/>
      <c r="AF423" s="416"/>
      <c r="AG423" s="416"/>
      <c r="AH423" s="416"/>
      <c r="AI423" s="416"/>
      <c r="AJ423" s="416"/>
      <c r="AK423" s="416"/>
      <c r="AL423" s="416"/>
      <c r="AM423" s="416"/>
      <c r="AN423" s="416"/>
      <c r="AO423" s="416"/>
      <c r="AP423" s="416"/>
      <c r="AQ423" s="416"/>
      <c r="AR423" s="416"/>
      <c r="AS423" s="416"/>
      <c r="AT423" s="416"/>
      <c r="AU423" s="416"/>
      <c r="AV423" s="417"/>
      <c r="AW423" s="207"/>
      <c r="AX423" s="208"/>
      <c r="AY423" s="208"/>
      <c r="AZ423" s="208"/>
      <c r="BA423" s="208"/>
      <c r="BB423" s="208"/>
      <c r="BC423" s="242"/>
    </row>
    <row r="424" spans="2:55" ht="12.75" customHeight="1">
      <c r="B424" s="260"/>
      <c r="C424" s="176"/>
      <c r="D424" s="176"/>
      <c r="E424" s="176"/>
      <c r="F424" s="176"/>
      <c r="G424" s="213"/>
      <c r="H424" s="256"/>
      <c r="I424" s="237"/>
      <c r="J424" s="229" t="s">
        <v>183</v>
      </c>
      <c r="K424" s="208"/>
      <c r="L424" s="208"/>
      <c r="M424" s="208"/>
      <c r="N424" s="208"/>
      <c r="O424" s="208"/>
      <c r="P424" s="208"/>
      <c r="Q424" s="208"/>
      <c r="R424" s="208"/>
      <c r="S424" s="208"/>
      <c r="T424" s="208"/>
      <c r="U424" s="208"/>
      <c r="V424" s="208"/>
      <c r="W424" s="208"/>
      <c r="X424" s="208"/>
      <c r="Y424" s="208"/>
      <c r="Z424" s="208"/>
      <c r="AA424" s="208"/>
      <c r="AB424" s="208"/>
      <c r="AC424" s="208"/>
      <c r="AD424" s="208"/>
      <c r="AE424" s="208"/>
      <c r="AF424" s="208"/>
      <c r="AG424" s="208"/>
      <c r="AH424" s="208"/>
      <c r="AI424" s="208"/>
      <c r="AJ424" s="208"/>
      <c r="AK424" s="208"/>
      <c r="AL424" s="208"/>
      <c r="AM424" s="208"/>
      <c r="AN424" s="208"/>
      <c r="AO424" s="208"/>
      <c r="AP424" s="208"/>
      <c r="AQ424" s="208"/>
      <c r="AR424" s="208"/>
      <c r="AS424" s="208"/>
      <c r="AT424" s="208"/>
      <c r="AU424" s="208"/>
      <c r="AV424" s="201"/>
      <c r="AW424" s="207"/>
      <c r="AX424" s="208"/>
      <c r="AY424" s="208"/>
      <c r="AZ424" s="208"/>
      <c r="BA424" s="208"/>
      <c r="BB424" s="208"/>
      <c r="BC424" s="242"/>
    </row>
    <row r="425" spans="2:55" ht="12.75" customHeight="1">
      <c r="B425" s="260"/>
      <c r="C425" s="176"/>
      <c r="D425" s="176"/>
      <c r="E425" s="176"/>
      <c r="F425" s="176"/>
      <c r="G425" s="213"/>
      <c r="H425" s="256"/>
      <c r="I425" s="237"/>
      <c r="J425" s="208"/>
      <c r="K425" s="208"/>
      <c r="L425" s="208"/>
      <c r="M425" s="208"/>
      <c r="N425" s="208"/>
      <c r="O425" s="208"/>
      <c r="P425" s="208"/>
      <c r="Q425" s="208"/>
      <c r="R425" s="208"/>
      <c r="S425" s="208"/>
      <c r="T425" s="208"/>
      <c r="U425" s="208"/>
      <c r="V425" s="208"/>
      <c r="W425" s="208"/>
      <c r="X425" s="208"/>
      <c r="Y425" s="208"/>
      <c r="Z425" s="208"/>
      <c r="AA425" s="208"/>
      <c r="AH425" s="208"/>
      <c r="AI425" s="208"/>
      <c r="AJ425" s="189"/>
      <c r="AK425" s="208"/>
      <c r="AL425" s="208"/>
      <c r="AM425" s="208"/>
      <c r="AN425" s="208"/>
      <c r="AO425" s="208"/>
      <c r="AP425" s="305"/>
      <c r="AQ425" s="180"/>
      <c r="AR425" s="180"/>
      <c r="AS425" s="180"/>
      <c r="AT425" s="180"/>
      <c r="AU425" s="180"/>
      <c r="AV425" s="201"/>
      <c r="AW425" s="207"/>
      <c r="AX425" s="208"/>
      <c r="AY425" s="208"/>
      <c r="AZ425" s="208"/>
      <c r="BA425" s="208"/>
      <c r="BB425" s="208"/>
      <c r="BC425" s="242"/>
    </row>
    <row r="426" spans="2:55" ht="12.75" customHeight="1">
      <c r="B426" s="260"/>
      <c r="C426" s="176"/>
      <c r="D426" s="176"/>
      <c r="E426" s="176"/>
      <c r="F426" s="176"/>
      <c r="G426" s="213"/>
      <c r="H426" s="256"/>
      <c r="I426" s="237"/>
      <c r="J426" s="189" t="s">
        <v>299</v>
      </c>
      <c r="K426" s="208"/>
      <c r="L426" s="208"/>
      <c r="M426" s="208"/>
      <c r="N426" s="208"/>
      <c r="O426" s="208"/>
      <c r="P426" s="208"/>
      <c r="Q426" s="208"/>
      <c r="R426" s="208"/>
      <c r="S426" s="208"/>
      <c r="T426" s="208"/>
      <c r="U426" s="208"/>
      <c r="V426" s="208"/>
      <c r="W426" s="208"/>
      <c r="X426" s="208"/>
      <c r="Y426" s="208"/>
      <c r="Z426" s="208"/>
      <c r="AA426" s="208"/>
      <c r="AB426" s="208"/>
      <c r="AC426" s="208"/>
      <c r="AD426" s="208"/>
      <c r="AE426" s="208"/>
      <c r="AF426" s="208"/>
      <c r="AG426" s="208"/>
      <c r="AH426" s="208"/>
      <c r="AU426" s="180"/>
      <c r="AV426" s="201"/>
      <c r="AW426" s="207"/>
      <c r="AX426" s="208"/>
      <c r="AY426" s="208"/>
      <c r="AZ426" s="208"/>
      <c r="BA426" s="208"/>
      <c r="BB426" s="208"/>
      <c r="BC426" s="242"/>
    </row>
    <row r="427" spans="2:55" ht="12.75" customHeight="1">
      <c r="B427" s="260"/>
      <c r="C427" s="176"/>
      <c r="D427" s="176"/>
      <c r="E427" s="176"/>
      <c r="F427" s="176"/>
      <c r="G427" s="213"/>
      <c r="H427" s="256"/>
      <c r="I427" s="207"/>
      <c r="J427" s="390" t="s">
        <v>151</v>
      </c>
      <c r="K427" s="390"/>
      <c r="L427" s="390"/>
      <c r="M427" s="390"/>
      <c r="N427" s="390"/>
      <c r="O427" s="390"/>
      <c r="P427" s="390"/>
      <c r="Q427" s="390"/>
      <c r="R427" s="390"/>
      <c r="S427" s="390"/>
      <c r="T427" s="390"/>
      <c r="U427" s="390"/>
      <c r="V427" s="189" t="s">
        <v>159</v>
      </c>
      <c r="W427" s="208"/>
      <c r="X427" s="208"/>
      <c r="Y427" s="208"/>
      <c r="Z427" s="208"/>
      <c r="AH427" s="208"/>
      <c r="AI427" s="208"/>
      <c r="AJ427" s="208"/>
      <c r="AM427" s="596">
        <f>VLOOKUP(J427, 'DATA SHEET'!J89:Y100, 16, FALSE)</f>
        <v>34</v>
      </c>
      <c r="AN427" s="596"/>
      <c r="AO427" s="596"/>
      <c r="AP427" s="596"/>
      <c r="AQ427" s="596"/>
      <c r="AR427" s="596"/>
      <c r="AS427" s="208"/>
      <c r="AT427" s="208"/>
      <c r="AU427" s="189" t="s">
        <v>158</v>
      </c>
      <c r="AV427" s="201"/>
      <c r="AW427" s="399" t="str">
        <f>IF(J430&gt;AI430,  "UNSUITABLE - Increase Track Mat Row Width (Sheet 2) OR Working Platform layer depth (Sheet 6)", "OK")</f>
        <v>OK</v>
      </c>
      <c r="AX427" s="399"/>
      <c r="AY427" s="399"/>
      <c r="AZ427" s="399"/>
      <c r="BA427" s="399"/>
      <c r="BB427" s="399"/>
      <c r="BC427" s="399"/>
    </row>
    <row r="428" spans="2:55" ht="12.75" customHeight="1">
      <c r="B428" s="260"/>
      <c r="C428" s="176"/>
      <c r="D428" s="176"/>
      <c r="E428" s="176"/>
      <c r="F428" s="176"/>
      <c r="G428" s="213"/>
      <c r="H428" s="256"/>
      <c r="I428" s="207"/>
      <c r="J428" s="208"/>
      <c r="K428" s="208"/>
      <c r="L428" s="208"/>
      <c r="M428" s="208"/>
      <c r="N428" s="208"/>
      <c r="O428" s="208"/>
      <c r="P428" s="208"/>
      <c r="Q428" s="208"/>
      <c r="R428" s="208"/>
      <c r="S428" s="208"/>
      <c r="T428" s="208"/>
      <c r="U428" s="180"/>
      <c r="V428" s="180"/>
      <c r="W428" s="180"/>
      <c r="X428" s="208"/>
      <c r="Y428" s="208"/>
      <c r="Z428" s="208"/>
      <c r="AA428" s="208"/>
      <c r="AB428" s="208"/>
      <c r="AC428" s="208"/>
      <c r="AD428" s="208"/>
      <c r="AE428" s="208"/>
      <c r="AF428" s="189" t="s">
        <v>158</v>
      </c>
      <c r="AG428" s="208"/>
      <c r="AH428" s="208"/>
      <c r="AI428" s="301"/>
      <c r="AJ428" s="189"/>
      <c r="AQ428" s="208"/>
      <c r="AR428" s="208"/>
      <c r="AS428" s="208"/>
      <c r="AT428" s="208"/>
      <c r="AU428" s="208"/>
      <c r="AV428" s="242"/>
      <c r="AW428" s="399"/>
      <c r="AX428" s="399"/>
      <c r="AY428" s="399"/>
      <c r="AZ428" s="399"/>
      <c r="BA428" s="399"/>
      <c r="BB428" s="399"/>
      <c r="BC428" s="399"/>
    </row>
    <row r="429" spans="2:55" ht="12.75" customHeight="1">
      <c r="B429" s="388" t="s">
        <v>250</v>
      </c>
      <c r="C429" s="388"/>
      <c r="D429" s="388"/>
      <c r="E429" s="388"/>
      <c r="F429" s="388"/>
      <c r="G429" s="388"/>
      <c r="H429" s="388"/>
      <c r="I429" s="207"/>
      <c r="J429" s="389" t="s">
        <v>251</v>
      </c>
      <c r="K429" s="389"/>
      <c r="L429" s="389"/>
      <c r="M429" s="389"/>
      <c r="N429" s="389"/>
      <c r="O429" s="389"/>
      <c r="P429" s="389"/>
      <c r="Q429" s="389"/>
      <c r="R429" s="389"/>
      <c r="S429" s="389"/>
      <c r="T429" s="389"/>
      <c r="U429" s="389"/>
      <c r="V429" s="389"/>
      <c r="W429" s="389"/>
      <c r="X429" s="389"/>
      <c r="Y429" s="389"/>
      <c r="Z429" s="389"/>
      <c r="AA429" s="389"/>
      <c r="AB429" s="208"/>
      <c r="AC429" s="208"/>
      <c r="AD429" s="208"/>
      <c r="AE429" s="208"/>
      <c r="AF429" s="180"/>
      <c r="AG429" s="180"/>
      <c r="AH429" s="208"/>
      <c r="AI429" s="208"/>
      <c r="AJ429" s="208"/>
      <c r="AK429" s="208"/>
      <c r="AL429" s="208"/>
      <c r="AM429" s="208"/>
      <c r="AN429" s="208"/>
      <c r="AO429" s="208"/>
      <c r="AP429" s="208"/>
      <c r="AQ429" s="208"/>
      <c r="AR429" s="208"/>
      <c r="AS429" s="208"/>
      <c r="AT429" s="208"/>
      <c r="AU429" s="208"/>
      <c r="AV429" s="201"/>
      <c r="AW429" s="399"/>
      <c r="AX429" s="399"/>
      <c r="AY429" s="399"/>
      <c r="AZ429" s="399"/>
      <c r="BA429" s="399"/>
      <c r="BB429" s="399"/>
      <c r="BC429" s="399"/>
    </row>
    <row r="430" spans="2:55" ht="12.75" customHeight="1">
      <c r="B430" s="388"/>
      <c r="C430" s="388"/>
      <c r="D430" s="388"/>
      <c r="E430" s="388"/>
      <c r="F430" s="388"/>
      <c r="G430" s="388"/>
      <c r="H430" s="388"/>
      <c r="I430" s="237"/>
      <c r="J430" s="597">
        <f>AO399</f>
        <v>13.330224837901113</v>
      </c>
      <c r="K430" s="597"/>
      <c r="L430" s="597"/>
      <c r="M430" s="597"/>
      <c r="N430" s="597"/>
      <c r="O430" s="597"/>
      <c r="P430" s="597"/>
      <c r="Q430" s="597"/>
      <c r="R430" s="597"/>
      <c r="S430" s="597"/>
      <c r="T430" s="597"/>
      <c r="U430" s="597"/>
      <c r="V430" s="597"/>
      <c r="W430" s="597"/>
      <c r="X430" s="597"/>
      <c r="Y430" s="597"/>
      <c r="Z430" s="597"/>
      <c r="AA430" s="597"/>
      <c r="AB430" s="208"/>
      <c r="AC430" s="208"/>
      <c r="AD430" s="302" t="s">
        <v>173</v>
      </c>
      <c r="AE430" s="208"/>
      <c r="AF430" s="208"/>
      <c r="AG430" s="208"/>
      <c r="AH430" s="208"/>
      <c r="AI430" s="572">
        <f>AM427</f>
        <v>34</v>
      </c>
      <c r="AJ430" s="572"/>
      <c r="AK430" s="572"/>
      <c r="AL430" s="572"/>
      <c r="AM430" s="572"/>
      <c r="AN430" s="572"/>
      <c r="AO430" s="572"/>
      <c r="AP430" s="572"/>
      <c r="AQ430" s="572"/>
      <c r="AR430" s="572"/>
      <c r="AS430" s="572"/>
      <c r="AT430" s="572"/>
      <c r="AU430" s="208"/>
      <c r="AV430" s="201"/>
      <c r="AW430" s="399"/>
      <c r="AX430" s="399"/>
      <c r="AY430" s="399"/>
      <c r="AZ430" s="399"/>
      <c r="BA430" s="399"/>
      <c r="BB430" s="399"/>
      <c r="BC430" s="399"/>
    </row>
    <row r="431" spans="2:55" ht="12.75" customHeight="1">
      <c r="B431" s="388"/>
      <c r="C431" s="388"/>
      <c r="D431" s="388"/>
      <c r="E431" s="388"/>
      <c r="F431" s="388"/>
      <c r="G431" s="388"/>
      <c r="H431" s="388"/>
      <c r="I431" s="237"/>
      <c r="J431" s="180"/>
      <c r="K431" s="180"/>
      <c r="L431" s="180"/>
      <c r="M431" s="180"/>
      <c r="N431" s="180"/>
      <c r="O431" s="180"/>
      <c r="P431" s="180"/>
      <c r="Q431" s="214"/>
      <c r="R431" s="180"/>
      <c r="S431" s="180"/>
      <c r="T431" s="215"/>
      <c r="U431" s="180"/>
      <c r="V431" s="180"/>
      <c r="W431" s="180"/>
      <c r="X431" s="180"/>
      <c r="Y431" s="214"/>
      <c r="Z431" s="214"/>
      <c r="AA431" s="214"/>
      <c r="AB431" s="214"/>
      <c r="AC431" s="214"/>
      <c r="AD431" s="214"/>
      <c r="AE431" s="214"/>
      <c r="AF431" s="214"/>
      <c r="AG431" s="180"/>
      <c r="AH431" s="180"/>
      <c r="AI431" s="180"/>
      <c r="AJ431" s="180"/>
      <c r="AK431" s="180"/>
      <c r="AL431" s="180"/>
      <c r="AM431" s="245"/>
      <c r="AN431" s="245"/>
      <c r="AO431" s="180"/>
      <c r="AP431" s="180"/>
      <c r="AQ431" s="180"/>
      <c r="AR431" s="180"/>
      <c r="AS431" s="180"/>
      <c r="AT431" s="180"/>
      <c r="AU431" s="180"/>
      <c r="AV431" s="201"/>
      <c r="AW431" s="399"/>
      <c r="AX431" s="399"/>
      <c r="AY431" s="399"/>
      <c r="AZ431" s="399"/>
      <c r="BA431" s="399"/>
      <c r="BB431" s="399"/>
      <c r="BC431" s="399"/>
    </row>
    <row r="432" spans="2:55" ht="12.75" customHeight="1">
      <c r="B432" s="260"/>
      <c r="C432" s="176"/>
      <c r="D432" s="176"/>
      <c r="E432" s="176"/>
      <c r="F432" s="176"/>
      <c r="G432" s="213"/>
      <c r="H432" s="256"/>
      <c r="I432" s="237"/>
      <c r="J432" s="229" t="s">
        <v>184</v>
      </c>
      <c r="K432" s="180"/>
      <c r="L432" s="180"/>
      <c r="M432" s="180"/>
      <c r="N432" s="180"/>
      <c r="O432" s="180"/>
      <c r="P432" s="180"/>
      <c r="Q432" s="214"/>
      <c r="R432" s="180"/>
      <c r="S432" s="180"/>
      <c r="T432" s="215"/>
      <c r="U432" s="180"/>
      <c r="V432" s="175" t="str">
        <f>AH443</f>
        <v>Combination 2 - BS EN 1997-1:2004</v>
      </c>
      <c r="W432" s="180"/>
      <c r="X432" s="180"/>
      <c r="Y432" s="214"/>
      <c r="Z432" s="214"/>
      <c r="AA432" s="214"/>
      <c r="AB432" s="214"/>
      <c r="AC432" s="214"/>
      <c r="AD432" s="214"/>
      <c r="AE432" s="214"/>
      <c r="AF432" s="214"/>
      <c r="AG432" s="180"/>
      <c r="AH432" s="180"/>
      <c r="AI432" s="180"/>
      <c r="AJ432" s="180"/>
      <c r="AK432" s="180"/>
      <c r="AL432" s="180"/>
      <c r="AM432" s="245"/>
      <c r="AN432" s="245"/>
      <c r="AO432" s="180"/>
      <c r="AP432" s="180"/>
      <c r="AQ432" s="180"/>
      <c r="AR432" s="180"/>
      <c r="AS432" s="180"/>
      <c r="AT432" s="180"/>
      <c r="AU432" s="180"/>
      <c r="AV432" s="201"/>
      <c r="AW432" s="399"/>
      <c r="AX432" s="399"/>
      <c r="AY432" s="399"/>
      <c r="AZ432" s="399"/>
      <c r="BA432" s="399"/>
      <c r="BB432" s="399"/>
      <c r="BC432" s="399"/>
    </row>
    <row r="433" spans="2:55" ht="12.75" customHeight="1">
      <c r="B433" s="260"/>
      <c r="C433" s="176"/>
      <c r="D433" s="176"/>
      <c r="E433" s="176"/>
      <c r="F433" s="176"/>
      <c r="G433" s="213"/>
      <c r="H433" s="256"/>
      <c r="I433" s="237"/>
      <c r="J433" s="180"/>
      <c r="K433" s="180"/>
      <c r="L433" s="180"/>
      <c r="M433" s="180"/>
      <c r="N433" s="180"/>
      <c r="O433" s="180"/>
      <c r="P433" s="180"/>
      <c r="Q433" s="214"/>
      <c r="R433" s="180"/>
      <c r="S433" s="180"/>
      <c r="T433" s="215"/>
      <c r="U433" s="180"/>
      <c r="V433" s="180"/>
      <c r="W433" s="180"/>
      <c r="X433" s="180"/>
      <c r="Y433" s="214"/>
      <c r="Z433" s="214"/>
      <c r="AA433" s="214"/>
      <c r="AB433" s="214"/>
      <c r="AC433" s="214"/>
      <c r="AD433" s="214"/>
      <c r="AE433" s="214"/>
      <c r="AF433" s="214"/>
      <c r="AG433" s="180"/>
      <c r="AH433" s="180"/>
      <c r="AI433" s="180"/>
      <c r="AJ433" s="180"/>
      <c r="AK433" s="180"/>
      <c r="AL433" s="180"/>
      <c r="AM433" s="245"/>
      <c r="AN433" s="245"/>
      <c r="AO433" s="180"/>
      <c r="AP433" s="180"/>
      <c r="AQ433" s="180"/>
      <c r="AR433" s="180"/>
      <c r="AS433" s="180"/>
      <c r="AT433" s="180"/>
      <c r="AU433" s="180"/>
      <c r="AV433" s="201"/>
      <c r="AW433" s="399"/>
      <c r="AX433" s="399"/>
      <c r="AY433" s="399"/>
      <c r="AZ433" s="399"/>
      <c r="BA433" s="399"/>
      <c r="BB433" s="399"/>
      <c r="BC433" s="399"/>
    </row>
    <row r="434" spans="2:55" ht="12.75" customHeight="1">
      <c r="B434" s="260"/>
      <c r="C434" s="176"/>
      <c r="D434" s="176"/>
      <c r="E434" s="176"/>
      <c r="F434" s="176"/>
      <c r="G434" s="213"/>
      <c r="H434" s="256"/>
      <c r="I434" s="237"/>
      <c r="J434" s="189" t="s">
        <v>107</v>
      </c>
      <c r="K434" s="200"/>
      <c r="L434" s="200"/>
      <c r="M434" s="200"/>
      <c r="N434" s="200"/>
      <c r="O434" s="200"/>
      <c r="P434" s="200"/>
      <c r="Q434" s="200"/>
      <c r="R434" s="200"/>
      <c r="S434" s="176"/>
      <c r="T434" s="176"/>
      <c r="U434" s="176"/>
      <c r="V434" s="176"/>
      <c r="W434" s="176"/>
      <c r="X434" s="391" t="str">
        <f>J427</f>
        <v xml:space="preserve">Made Ground </v>
      </c>
      <c r="Y434" s="391"/>
      <c r="Z434" s="391"/>
      <c r="AA434" s="391"/>
      <c r="AB434" s="391"/>
      <c r="AC434" s="391"/>
      <c r="AD434" s="391"/>
      <c r="AE434" s="391"/>
      <c r="AF434" s="391"/>
      <c r="AG434" s="391"/>
      <c r="AH434" s="290"/>
      <c r="AI434" s="290"/>
      <c r="AJ434" s="290"/>
      <c r="AK434" s="290"/>
      <c r="AL434" s="206"/>
      <c r="AM434" s="206"/>
      <c r="AN434" s="176"/>
      <c r="AO434" s="176"/>
      <c r="AP434" s="176"/>
      <c r="AQ434" s="176"/>
      <c r="AR434" s="180"/>
      <c r="AS434" s="180"/>
      <c r="AT434" s="180"/>
      <c r="AU434" s="180"/>
      <c r="AV434" s="201"/>
      <c r="AW434" s="207"/>
      <c r="AX434" s="208"/>
      <c r="AY434" s="208"/>
      <c r="AZ434" s="208"/>
      <c r="BA434" s="208"/>
      <c r="BB434" s="208"/>
      <c r="BC434" s="242"/>
    </row>
    <row r="435" spans="2:55" ht="12.75" customHeight="1">
      <c r="B435" s="260"/>
      <c r="C435" s="176"/>
      <c r="D435" s="176"/>
      <c r="E435" s="176"/>
      <c r="F435" s="176"/>
      <c r="G435" s="213"/>
      <c r="H435" s="256"/>
      <c r="I435" s="237"/>
      <c r="J435" s="189" t="s">
        <v>168</v>
      </c>
      <c r="K435" s="200"/>
      <c r="L435" s="200"/>
      <c r="M435" s="200"/>
      <c r="N435" s="200"/>
      <c r="O435" s="200"/>
      <c r="P435" s="200"/>
      <c r="Q435" s="200"/>
      <c r="R435" s="200"/>
      <c r="S435" s="176"/>
      <c r="T435" s="176"/>
      <c r="U435" s="176"/>
      <c r="V435" s="176"/>
      <c r="W435" s="176" t="s">
        <v>95</v>
      </c>
      <c r="X435" s="391" t="str">
        <f>VLOOKUP(X434, 'DATA SHEET'!J89:Y100,3, FALSE)</f>
        <v>Granular</v>
      </c>
      <c r="Y435" s="391"/>
      <c r="Z435" s="391"/>
      <c r="AA435" s="391"/>
      <c r="AB435" s="391"/>
      <c r="AC435" s="391"/>
      <c r="AD435" s="391"/>
      <c r="AE435" s="391"/>
      <c r="AF435" s="391"/>
      <c r="AG435" s="391"/>
      <c r="AH435" s="213"/>
      <c r="AI435" s="213"/>
      <c r="AJ435" s="213"/>
      <c r="AK435" s="213"/>
      <c r="AL435" s="213"/>
      <c r="AM435" s="213"/>
      <c r="AN435" s="213"/>
      <c r="AO435" s="180"/>
      <c r="AP435" s="180"/>
      <c r="AQ435" s="180"/>
      <c r="AR435" s="180"/>
      <c r="AS435" s="180"/>
      <c r="AT435" s="180"/>
      <c r="AU435" s="180"/>
      <c r="AV435" s="201"/>
      <c r="AW435" s="207"/>
      <c r="AX435" s="208"/>
      <c r="AY435" s="208"/>
      <c r="AZ435" s="208"/>
      <c r="BA435" s="208"/>
      <c r="BB435" s="208"/>
      <c r="BC435" s="242"/>
    </row>
    <row r="436" spans="2:55" ht="12.75" customHeight="1">
      <c r="B436" s="260"/>
      <c r="C436" s="176"/>
      <c r="D436" s="176"/>
      <c r="E436" s="176"/>
      <c r="F436" s="176"/>
      <c r="G436" s="213"/>
      <c r="H436" s="256"/>
      <c r="I436" s="237"/>
      <c r="J436" s="189" t="s">
        <v>108</v>
      </c>
      <c r="K436" s="200"/>
      <c r="L436" s="200"/>
      <c r="M436" s="200"/>
      <c r="N436" s="200"/>
      <c r="O436" s="200"/>
      <c r="P436" s="200"/>
      <c r="Q436" s="200"/>
      <c r="R436" s="200"/>
      <c r="S436" s="176"/>
      <c r="T436" s="176"/>
      <c r="U436" s="176"/>
      <c r="V436" s="176"/>
      <c r="W436" s="176" t="s">
        <v>95</v>
      </c>
      <c r="X436" s="392">
        <f>VLOOKUP(X434, 'DATA SHEET'!J89:Z100,9, FALSE)</f>
        <v>0</v>
      </c>
      <c r="Y436" s="392"/>
      <c r="Z436" s="392"/>
      <c r="AA436" s="392"/>
      <c r="AB436" s="392"/>
      <c r="AC436" s="392"/>
      <c r="AD436" s="392"/>
      <c r="AE436" s="392"/>
      <c r="AF436" s="392"/>
      <c r="AG436" s="392"/>
      <c r="AH436" s="213"/>
      <c r="AI436" s="213"/>
      <c r="AJ436" s="213"/>
      <c r="AK436" s="213"/>
      <c r="AL436" s="213"/>
      <c r="AM436" s="213"/>
      <c r="AN436" s="213"/>
      <c r="AO436" s="180"/>
      <c r="AP436" s="180"/>
      <c r="AQ436" s="180"/>
      <c r="AR436" s="180"/>
      <c r="AS436" s="180"/>
      <c r="AT436" s="180"/>
      <c r="AU436" s="180"/>
      <c r="AV436" s="201"/>
      <c r="AW436" s="207"/>
      <c r="AX436" s="208"/>
      <c r="AY436" s="208"/>
      <c r="AZ436" s="208"/>
      <c r="BA436" s="208"/>
      <c r="BB436" s="208"/>
      <c r="BC436" s="242"/>
    </row>
    <row r="437" spans="2:55" ht="12.75" customHeight="1">
      <c r="B437" s="260"/>
      <c r="C437" s="176"/>
      <c r="D437" s="176"/>
      <c r="E437" s="176"/>
      <c r="F437" s="176"/>
      <c r="G437" s="213"/>
      <c r="H437" s="256"/>
      <c r="I437" s="237"/>
      <c r="J437" s="189" t="s">
        <v>284</v>
      </c>
      <c r="K437" s="200"/>
      <c r="L437" s="200"/>
      <c r="M437" s="200"/>
      <c r="N437" s="200"/>
      <c r="O437" s="200"/>
      <c r="P437" s="200"/>
      <c r="Q437" s="200"/>
      <c r="R437" s="200"/>
      <c r="S437" s="176"/>
      <c r="T437" s="176"/>
      <c r="U437" s="176"/>
      <c r="V437" s="176"/>
      <c r="W437" s="176" t="s">
        <v>95</v>
      </c>
      <c r="X437" s="393">
        <v>15</v>
      </c>
      <c r="Y437" s="393"/>
      <c r="Z437" s="393"/>
      <c r="AA437" s="393"/>
      <c r="AB437" s="393"/>
      <c r="AC437" s="393"/>
      <c r="AD437" s="393"/>
      <c r="AE437" s="393"/>
      <c r="AF437" s="393"/>
      <c r="AG437" s="393"/>
      <c r="AH437" s="213"/>
      <c r="AI437" s="213"/>
      <c r="AJ437" s="213"/>
      <c r="AK437" s="213"/>
      <c r="AL437" s="213"/>
      <c r="AM437" s="213"/>
      <c r="AN437" s="213"/>
      <c r="AO437" s="180"/>
      <c r="AP437" s="180"/>
      <c r="AQ437" s="180"/>
      <c r="AR437" s="180"/>
      <c r="AS437" s="180"/>
      <c r="AT437" s="180"/>
      <c r="AU437" s="180"/>
      <c r="AV437" s="201"/>
      <c r="AW437" s="207"/>
      <c r="AX437" s="208"/>
      <c r="AY437" s="208"/>
      <c r="AZ437" s="208"/>
      <c r="BA437" s="208"/>
      <c r="BB437" s="208"/>
      <c r="BC437" s="242"/>
    </row>
    <row r="438" spans="2:55" ht="12.75" customHeight="1">
      <c r="B438" s="260"/>
      <c r="C438" s="176"/>
      <c r="D438" s="176"/>
      <c r="E438" s="176"/>
      <c r="F438" s="176"/>
      <c r="G438" s="213"/>
      <c r="H438" s="256"/>
      <c r="I438" s="237"/>
      <c r="J438" s="332" t="s">
        <v>296</v>
      </c>
      <c r="K438" s="291"/>
      <c r="L438" s="291"/>
      <c r="M438" s="291"/>
      <c r="N438" s="291"/>
      <c r="O438" s="291"/>
      <c r="P438" s="291"/>
      <c r="Q438" s="291"/>
      <c r="R438" s="291"/>
      <c r="S438" s="273" t="s">
        <v>318</v>
      </c>
      <c r="T438" s="176"/>
      <c r="U438" s="176"/>
      <c r="V438" s="176"/>
      <c r="W438" s="176" t="s">
        <v>95</v>
      </c>
      <c r="X438" s="565">
        <f>VLOOKUP(X434,'DATA SHEET'!J89:M100, 4, FALSE)</f>
        <v>28</v>
      </c>
      <c r="Y438" s="565"/>
      <c r="Z438" s="565"/>
      <c r="AA438" s="565"/>
      <c r="AB438" s="565"/>
      <c r="AC438" s="565"/>
      <c r="AD438" s="565"/>
      <c r="AE438" s="565"/>
      <c r="AF438" s="565"/>
      <c r="AG438" s="565"/>
      <c r="AH438" s="213"/>
      <c r="AI438" s="213"/>
      <c r="AJ438" s="213"/>
      <c r="AK438" s="213"/>
      <c r="AL438" s="213"/>
      <c r="AM438" s="213"/>
      <c r="AN438" s="213"/>
      <c r="AO438" s="180"/>
      <c r="AP438" s="180"/>
      <c r="AQ438" s="180"/>
      <c r="AR438" s="180"/>
      <c r="AS438" s="180"/>
      <c r="AT438" s="180"/>
      <c r="AU438" s="180"/>
      <c r="AV438" s="201"/>
      <c r="AW438" s="207"/>
      <c r="AX438" s="208"/>
      <c r="AY438" s="208"/>
      <c r="AZ438" s="208"/>
      <c r="BA438" s="208"/>
      <c r="BB438" s="208"/>
      <c r="BC438" s="242"/>
    </row>
    <row r="439" spans="2:55" ht="12.75" customHeight="1">
      <c r="B439" s="260"/>
      <c r="C439" s="176"/>
      <c r="D439" s="176"/>
      <c r="E439" s="176"/>
      <c r="F439" s="176"/>
      <c r="G439" s="213"/>
      <c r="H439" s="256"/>
      <c r="I439" s="237"/>
      <c r="J439" s="189" t="s">
        <v>109</v>
      </c>
      <c r="K439" s="200"/>
      <c r="L439" s="200"/>
      <c r="M439" s="200"/>
      <c r="N439" s="200"/>
      <c r="O439" s="200"/>
      <c r="P439" s="200"/>
      <c r="Q439" s="200"/>
      <c r="R439" s="200"/>
      <c r="S439" s="176"/>
      <c r="T439" s="176"/>
      <c r="U439" s="176"/>
      <c r="V439" s="176"/>
      <c r="W439" s="176" t="s">
        <v>95</v>
      </c>
      <c r="X439" s="394">
        <f>AP393</f>
        <v>6.302820323027551</v>
      </c>
      <c r="Y439" s="394"/>
      <c r="Z439" s="394"/>
      <c r="AA439" s="394"/>
      <c r="AB439" s="394"/>
      <c r="AC439" s="394"/>
      <c r="AD439" s="394"/>
      <c r="AE439" s="394"/>
      <c r="AF439" s="394"/>
      <c r="AG439" s="394"/>
      <c r="AH439" s="213"/>
      <c r="AI439" s="213"/>
      <c r="AJ439" s="213"/>
      <c r="AK439" s="213"/>
      <c r="AL439" s="213"/>
      <c r="AM439" s="213"/>
      <c r="AN439" s="213"/>
      <c r="AO439" s="180"/>
      <c r="AP439" s="180"/>
      <c r="AQ439" s="180"/>
      <c r="AR439" s="180"/>
      <c r="AS439" s="180"/>
      <c r="AT439" s="180"/>
      <c r="AU439" s="180"/>
      <c r="AV439" s="201"/>
      <c r="AW439" s="207"/>
      <c r="AX439" s="208"/>
      <c r="AY439" s="208"/>
      <c r="AZ439" s="208"/>
      <c r="BA439" s="208"/>
      <c r="BB439" s="208"/>
      <c r="BC439" s="242"/>
    </row>
    <row r="440" spans="2:55" ht="12.75" customHeight="1">
      <c r="B440" s="260"/>
      <c r="C440" s="176"/>
      <c r="D440" s="176"/>
      <c r="E440" s="176"/>
      <c r="F440" s="176"/>
      <c r="G440" s="213"/>
      <c r="H440" s="256"/>
      <c r="I440" s="237"/>
      <c r="J440" s="189" t="s">
        <v>110</v>
      </c>
      <c r="K440" s="200"/>
      <c r="L440" s="200"/>
      <c r="M440" s="200"/>
      <c r="N440" s="200"/>
      <c r="O440" s="200"/>
      <c r="P440" s="200"/>
      <c r="Q440" s="200"/>
      <c r="R440" s="200"/>
      <c r="S440" s="176"/>
      <c r="T440" s="176"/>
      <c r="U440" s="176"/>
      <c r="V440" s="176"/>
      <c r="W440" s="176" t="s">
        <v>95</v>
      </c>
      <c r="X440" s="394">
        <f>AO397</f>
        <v>3.5028203230275508</v>
      </c>
      <c r="Y440" s="394"/>
      <c r="Z440" s="394"/>
      <c r="AA440" s="394"/>
      <c r="AB440" s="394"/>
      <c r="AC440" s="394"/>
      <c r="AD440" s="394"/>
      <c r="AE440" s="394"/>
      <c r="AF440" s="394"/>
      <c r="AG440" s="394"/>
      <c r="AH440" s="176"/>
      <c r="AI440" s="176"/>
      <c r="AJ440" s="176"/>
      <c r="AK440" s="176"/>
      <c r="AL440" s="176"/>
      <c r="AM440" s="176"/>
      <c r="AN440" s="176"/>
      <c r="AO440" s="180"/>
      <c r="AP440" s="180"/>
      <c r="AQ440" s="180"/>
      <c r="AR440" s="180"/>
      <c r="AS440" s="180"/>
      <c r="AT440" s="180"/>
      <c r="AU440" s="180"/>
      <c r="AV440" s="201"/>
      <c r="AW440" s="207"/>
      <c r="AX440" s="208"/>
      <c r="AY440" s="208"/>
      <c r="AZ440" s="208"/>
      <c r="BA440" s="208"/>
      <c r="BB440" s="208"/>
      <c r="BC440" s="242"/>
    </row>
    <row r="441" spans="2:55" ht="12.75" customHeight="1">
      <c r="B441" s="260"/>
      <c r="C441" s="176"/>
      <c r="D441" s="176"/>
      <c r="E441" s="176"/>
      <c r="F441" s="176"/>
      <c r="G441" s="213"/>
      <c r="H441" s="256"/>
      <c r="I441" s="237"/>
      <c r="J441" s="189" t="s">
        <v>326</v>
      </c>
      <c r="K441" s="200"/>
      <c r="L441" s="200"/>
      <c r="M441" s="200"/>
      <c r="N441" s="200"/>
      <c r="O441" s="200"/>
      <c r="P441" s="200"/>
      <c r="Q441" s="200"/>
      <c r="R441" s="200"/>
      <c r="S441" s="176"/>
      <c r="T441" s="176"/>
      <c r="U441" s="176"/>
      <c r="V441" s="176"/>
      <c r="W441" s="176" t="s">
        <v>95</v>
      </c>
      <c r="X441" s="564">
        <f>V152</f>
        <v>294.3</v>
      </c>
      <c r="Y441" s="564"/>
      <c r="Z441" s="564"/>
      <c r="AA441" s="564"/>
      <c r="AB441" s="564"/>
      <c r="AC441" s="564"/>
      <c r="AD441" s="564"/>
      <c r="AE441" s="564"/>
      <c r="AF441" s="564"/>
      <c r="AG441" s="564"/>
      <c r="AH441" s="208"/>
      <c r="AI441" s="208"/>
      <c r="AJ441" s="189"/>
      <c r="AK441" s="208"/>
      <c r="AL441" s="208"/>
      <c r="AM441" s="208"/>
      <c r="AN441" s="208"/>
      <c r="AO441" s="208"/>
      <c r="AP441" s="208"/>
      <c r="AQ441" s="208"/>
      <c r="AR441" s="208"/>
      <c r="AS441" s="208"/>
      <c r="AT441" s="208"/>
      <c r="AU441" s="208"/>
      <c r="AV441" s="201"/>
      <c r="AW441" s="207"/>
      <c r="AX441" s="208"/>
      <c r="AY441" s="208"/>
      <c r="AZ441" s="208"/>
      <c r="BA441" s="208"/>
      <c r="BB441" s="208"/>
      <c r="BC441" s="242"/>
    </row>
    <row r="442" spans="2:55" ht="12.75" customHeight="1">
      <c r="B442" s="260"/>
      <c r="C442" s="176"/>
      <c r="D442" s="176"/>
      <c r="E442" s="176"/>
      <c r="F442" s="176"/>
      <c r="G442" s="213"/>
      <c r="H442" s="256"/>
      <c r="I442" s="237"/>
      <c r="J442" s="189" t="s">
        <v>164</v>
      </c>
      <c r="K442" s="200"/>
      <c r="L442" s="200"/>
      <c r="M442" s="200"/>
      <c r="N442" s="200"/>
      <c r="O442" s="200"/>
      <c r="P442" s="200"/>
      <c r="Q442" s="200"/>
      <c r="R442" s="200"/>
      <c r="S442" s="176"/>
      <c r="T442" s="176"/>
      <c r="U442" s="176"/>
      <c r="V442" s="176"/>
      <c r="W442" s="176" t="s">
        <v>95</v>
      </c>
      <c r="X442" s="392">
        <f>AO399</f>
        <v>13.330224837901113</v>
      </c>
      <c r="Y442" s="392"/>
      <c r="Z442" s="392"/>
      <c r="AA442" s="392"/>
      <c r="AB442" s="392"/>
      <c r="AC442" s="392"/>
      <c r="AD442" s="392"/>
      <c r="AE442" s="392"/>
      <c r="AF442" s="392"/>
      <c r="AG442" s="392"/>
      <c r="AH442" s="176"/>
      <c r="AI442" s="176"/>
      <c r="AJ442" s="176"/>
      <c r="AK442" s="176"/>
      <c r="AL442" s="176"/>
      <c r="AM442" s="176"/>
      <c r="AN442" s="176"/>
      <c r="AO442" s="180"/>
      <c r="AP442" s="180"/>
      <c r="AQ442" s="180"/>
      <c r="AR442" s="180"/>
      <c r="AS442" s="180"/>
      <c r="AT442" s="180"/>
      <c r="AU442" s="180"/>
      <c r="AV442" s="201"/>
      <c r="AW442" s="207"/>
      <c r="AX442" s="208"/>
      <c r="AY442" s="208"/>
      <c r="AZ442" s="208"/>
      <c r="BA442" s="208"/>
      <c r="BB442" s="208"/>
      <c r="BC442" s="242"/>
    </row>
    <row r="443" spans="2:55" ht="12.75" customHeight="1">
      <c r="B443" s="260"/>
      <c r="C443" s="176"/>
      <c r="D443" s="176"/>
      <c r="E443" s="176"/>
      <c r="F443" s="176"/>
      <c r="G443" s="213"/>
      <c r="H443" s="256"/>
      <c r="I443" s="237"/>
      <c r="J443" s="189" t="s">
        <v>112</v>
      </c>
      <c r="K443" s="200"/>
      <c r="L443" s="200"/>
      <c r="M443" s="200"/>
      <c r="N443" s="200"/>
      <c r="O443" s="200"/>
      <c r="P443" s="200"/>
      <c r="Q443" s="200"/>
      <c r="R443" s="292"/>
      <c r="S443" s="176"/>
      <c r="T443" s="176"/>
      <c r="U443" s="176"/>
      <c r="V443" s="176"/>
      <c r="W443" s="176" t="s">
        <v>95</v>
      </c>
      <c r="X443" s="336">
        <f>VLOOKUP(AH443, 'DATA SHEET'!A74:C75,2, FALSE)</f>
        <v>1.3</v>
      </c>
      <c r="Y443" s="336"/>
      <c r="Z443" s="336"/>
      <c r="AA443" s="336"/>
      <c r="AB443" s="336"/>
      <c r="AC443" s="336"/>
      <c r="AD443" s="336"/>
      <c r="AE443" s="336"/>
      <c r="AF443" s="336"/>
      <c r="AG443" s="336"/>
      <c r="AH443" s="570" t="s">
        <v>87</v>
      </c>
      <c r="AI443" s="570"/>
      <c r="AJ443" s="570"/>
      <c r="AK443" s="570"/>
      <c r="AL443" s="570"/>
      <c r="AM443" s="570"/>
      <c r="AN443" s="570"/>
      <c r="AO443" s="570"/>
      <c r="AP443" s="570"/>
      <c r="AQ443" s="570"/>
      <c r="AR443" s="570"/>
      <c r="AS443" s="570"/>
      <c r="AT443" s="570"/>
      <c r="AU443" s="570"/>
      <c r="AV443" s="571"/>
      <c r="AW443" s="207"/>
      <c r="AX443" s="208"/>
      <c r="AY443" s="208"/>
      <c r="AZ443" s="208"/>
      <c r="BA443" s="208"/>
      <c r="BB443" s="208"/>
      <c r="BC443" s="242"/>
    </row>
    <row r="444" spans="2:55" ht="12.75" customHeight="1">
      <c r="B444" s="260"/>
      <c r="C444" s="176"/>
      <c r="D444" s="176"/>
      <c r="E444" s="176"/>
      <c r="F444" s="176"/>
      <c r="G444" s="213"/>
      <c r="H444" s="256"/>
      <c r="I444" s="237"/>
      <c r="J444" s="180"/>
      <c r="K444" s="180"/>
      <c r="L444" s="180"/>
      <c r="M444" s="180"/>
      <c r="N444" s="180"/>
      <c r="O444" s="180"/>
      <c r="P444" s="180"/>
      <c r="Q444" s="214"/>
      <c r="R444" s="180"/>
      <c r="S444" s="180"/>
      <c r="T444" s="215"/>
      <c r="U444" s="180"/>
      <c r="V444" s="180"/>
      <c r="W444" s="180"/>
      <c r="X444" s="180"/>
      <c r="Y444" s="214"/>
      <c r="Z444" s="214"/>
      <c r="AA444" s="214"/>
      <c r="AB444" s="214"/>
      <c r="AC444" s="214"/>
      <c r="AD444" s="214"/>
      <c r="AE444" s="214"/>
      <c r="AF444" s="214"/>
      <c r="AG444" s="180"/>
      <c r="AH444" s="180"/>
      <c r="AI444" s="180"/>
      <c r="AJ444" s="180"/>
      <c r="AK444" s="180"/>
      <c r="AL444" s="180"/>
      <c r="AM444" s="245"/>
      <c r="AN444" s="245"/>
      <c r="AO444" s="180"/>
      <c r="AP444" s="180"/>
      <c r="AQ444" s="180"/>
      <c r="AR444" s="180"/>
      <c r="AS444" s="180"/>
      <c r="AT444" s="180"/>
      <c r="AU444" s="180"/>
      <c r="AV444" s="201"/>
      <c r="AW444" s="207"/>
      <c r="AX444" s="208"/>
      <c r="AY444" s="208"/>
      <c r="AZ444" s="208"/>
      <c r="BA444" s="208"/>
      <c r="BB444" s="208"/>
      <c r="BC444" s="242"/>
    </row>
    <row r="445" spans="2:55" ht="12.75" customHeight="1">
      <c r="B445" s="388" t="s">
        <v>320</v>
      </c>
      <c r="C445" s="388"/>
      <c r="D445" s="388"/>
      <c r="E445" s="388"/>
      <c r="F445" s="388"/>
      <c r="G445" s="388"/>
      <c r="H445" s="388"/>
      <c r="I445" s="237"/>
      <c r="J445" s="189" t="s">
        <v>327</v>
      </c>
      <c r="K445" s="208"/>
      <c r="L445" s="208"/>
      <c r="M445" s="208"/>
      <c r="N445" s="208"/>
      <c r="O445" s="208"/>
      <c r="P445" s="208"/>
      <c r="Q445" s="208"/>
      <c r="R445" s="208"/>
      <c r="S445" s="208"/>
      <c r="T445" s="176"/>
      <c r="U445" s="208"/>
      <c r="X445" s="385">
        <f>X442</f>
        <v>13.330224837901113</v>
      </c>
      <c r="Y445" s="385"/>
      <c r="Z445" s="385"/>
      <c r="AA445" s="385"/>
      <c r="AB445" s="385"/>
      <c r="AC445" s="385"/>
      <c r="AD445" s="385"/>
      <c r="AE445" s="385"/>
      <c r="AF445" s="385"/>
      <c r="AG445" s="385"/>
      <c r="AH445" s="176"/>
      <c r="AI445" s="176"/>
      <c r="AJ445" s="176"/>
      <c r="AK445" s="176"/>
      <c r="AL445" s="176"/>
      <c r="AM445" s="176"/>
      <c r="AN445" s="176"/>
      <c r="AO445" s="176"/>
      <c r="AP445" s="176"/>
      <c r="AQ445" s="176"/>
      <c r="AR445" s="176"/>
      <c r="AS445" s="176"/>
      <c r="AT445" s="176"/>
      <c r="AU445" s="176"/>
      <c r="AV445" s="303"/>
      <c r="AW445" s="207"/>
      <c r="AX445" s="208"/>
      <c r="AY445" s="208"/>
      <c r="AZ445" s="208"/>
      <c r="BA445" s="208"/>
      <c r="BB445" s="208"/>
      <c r="BC445" s="242"/>
    </row>
    <row r="446" spans="2:55" ht="12.75" customHeight="1">
      <c r="B446" s="388"/>
      <c r="C446" s="388"/>
      <c r="D446" s="388"/>
      <c r="E446" s="388"/>
      <c r="F446" s="388"/>
      <c r="G446" s="388"/>
      <c r="H446" s="388"/>
      <c r="I446" s="237"/>
      <c r="J446" s="208"/>
      <c r="K446" s="208"/>
      <c r="L446" s="208"/>
      <c r="M446" s="208"/>
      <c r="N446" s="208"/>
      <c r="O446" s="208"/>
      <c r="P446" s="208"/>
      <c r="Q446" s="176"/>
      <c r="R446" s="176"/>
      <c r="S446" s="176"/>
      <c r="T446" s="176"/>
      <c r="U446" s="176"/>
      <c r="V446" s="176"/>
      <c r="W446" s="208"/>
      <c r="AE446" s="295"/>
      <c r="AF446" s="295"/>
      <c r="AG446" s="295"/>
      <c r="AH446" s="295"/>
      <c r="AI446" s="295"/>
      <c r="AJ446" s="295"/>
      <c r="AK446" s="295"/>
      <c r="AL446" s="295"/>
      <c r="AM446" s="295"/>
      <c r="AN446" s="295"/>
      <c r="AO446" s="208"/>
      <c r="AP446" s="208"/>
      <c r="AQ446" s="208"/>
      <c r="AR446" s="208"/>
      <c r="AS446" s="208"/>
      <c r="AT446" s="208"/>
      <c r="AU446" s="208"/>
      <c r="AV446" s="303"/>
      <c r="AW446" s="207"/>
      <c r="AX446" s="208"/>
      <c r="AY446" s="208"/>
      <c r="AZ446" s="208"/>
      <c r="BA446" s="208"/>
      <c r="BB446" s="208"/>
      <c r="BC446" s="242"/>
    </row>
    <row r="447" spans="2:55" ht="12.75" customHeight="1">
      <c r="B447" s="260"/>
      <c r="C447" s="176"/>
      <c r="D447" s="176"/>
      <c r="E447" s="176"/>
      <c r="F447" s="176"/>
      <c r="G447" s="213"/>
      <c r="H447" s="256"/>
      <c r="I447" s="237"/>
      <c r="J447" s="189" t="s">
        <v>113</v>
      </c>
      <c r="K447" s="208"/>
      <c r="L447" s="208"/>
      <c r="M447" s="208"/>
      <c r="N447" s="208"/>
      <c r="O447" s="208"/>
      <c r="P447" s="208"/>
      <c r="Q447" s="208"/>
      <c r="R447" s="208"/>
      <c r="S447" s="208"/>
      <c r="T447" s="176"/>
      <c r="U447" s="176"/>
      <c r="V447" s="176"/>
      <c r="W447" s="176"/>
      <c r="X447" s="176"/>
      <c r="Y447" s="208"/>
      <c r="Z447" s="208"/>
      <c r="AA447" s="208"/>
      <c r="AB447" s="208"/>
      <c r="AC447" s="176"/>
      <c r="AD447" s="176"/>
      <c r="AE447" s="296"/>
      <c r="AF447" s="296"/>
      <c r="AG447" s="296"/>
      <c r="AH447" s="296"/>
      <c r="AI447" s="296"/>
      <c r="AJ447" s="296"/>
      <c r="AK447" s="208"/>
      <c r="AL447" s="208"/>
      <c r="AM447" s="208"/>
      <c r="AN447" s="208"/>
      <c r="AO447" s="208"/>
      <c r="AP447" s="208"/>
      <c r="AQ447" s="227" t="s">
        <v>95</v>
      </c>
      <c r="AR447" s="400">
        <f>VLOOKUP(AH443, 'DATA SHEET'!A74:C75,3, FALSE)</f>
        <v>1.25</v>
      </c>
      <c r="AS447" s="400"/>
      <c r="AT447" s="400"/>
      <c r="AU447" s="400"/>
      <c r="AV447" s="303"/>
      <c r="AW447" s="207"/>
      <c r="AX447" s="208"/>
      <c r="AY447" s="208"/>
      <c r="AZ447" s="208"/>
      <c r="BA447" s="208"/>
      <c r="BB447" s="208"/>
      <c r="BC447" s="242"/>
    </row>
    <row r="448" spans="2:55" ht="12.75" customHeight="1">
      <c r="B448" s="260"/>
      <c r="C448" s="176"/>
      <c r="D448" s="176"/>
      <c r="E448" s="176"/>
      <c r="F448" s="176"/>
      <c r="G448" s="213"/>
      <c r="H448" s="256"/>
      <c r="I448" s="237"/>
      <c r="J448" s="213"/>
      <c r="K448" s="213"/>
      <c r="L448" s="213"/>
      <c r="M448" s="213"/>
      <c r="N448" s="213"/>
      <c r="O448" s="213"/>
      <c r="P448" s="213"/>
      <c r="Q448" s="213"/>
      <c r="R448" s="213"/>
      <c r="S448" s="213"/>
      <c r="T448" s="213"/>
      <c r="U448" s="213"/>
      <c r="V448" s="213"/>
      <c r="W448" s="213"/>
      <c r="X448" s="213"/>
      <c r="Y448" s="213"/>
      <c r="Z448" s="213"/>
      <c r="AA448" s="213"/>
      <c r="AB448" s="213"/>
      <c r="AC448" s="213"/>
      <c r="AD448" s="213"/>
      <c r="AE448" s="213"/>
      <c r="AF448" s="213"/>
      <c r="AG448" s="213"/>
      <c r="AH448" s="213"/>
      <c r="AI448" s="213"/>
      <c r="AJ448" s="213"/>
      <c r="AK448" s="213"/>
      <c r="AL448" s="213"/>
      <c r="AM448" s="213"/>
      <c r="AN448" s="213"/>
      <c r="AO448" s="213"/>
      <c r="AP448" s="213"/>
      <c r="AQ448" s="213"/>
      <c r="AR448" s="213"/>
      <c r="AS448" s="213"/>
      <c r="AT448" s="213"/>
      <c r="AU448" s="213"/>
      <c r="AV448" s="303"/>
      <c r="AW448" s="207"/>
      <c r="AX448" s="208"/>
      <c r="AY448" s="208"/>
      <c r="AZ448" s="208"/>
      <c r="BA448" s="208"/>
      <c r="BB448" s="208"/>
      <c r="BC448" s="242"/>
    </row>
    <row r="449" spans="2:55" ht="12.75" customHeight="1">
      <c r="B449" s="388" t="s">
        <v>306</v>
      </c>
      <c r="C449" s="388"/>
      <c r="D449" s="388"/>
      <c r="E449" s="388"/>
      <c r="F449" s="388"/>
      <c r="G449" s="388"/>
      <c r="H449" s="388"/>
      <c r="I449" s="237"/>
      <c r="J449" s="181" t="s">
        <v>282</v>
      </c>
      <c r="K449" s="176"/>
      <c r="L449" s="176"/>
      <c r="M449" s="176"/>
      <c r="N449" s="176"/>
      <c r="O449" s="176"/>
      <c r="P449" s="176"/>
      <c r="Q449" s="176"/>
      <c r="R449" s="176"/>
      <c r="S449" s="176"/>
      <c r="T449" s="176"/>
      <c r="U449" s="176"/>
      <c r="V449" s="176"/>
      <c r="W449" s="176"/>
      <c r="X449" s="176"/>
      <c r="Y449" s="176"/>
      <c r="Z449" s="176"/>
      <c r="AA449" s="176"/>
      <c r="AB449" s="176"/>
      <c r="AC449" s="176"/>
      <c r="AD449" s="176"/>
      <c r="AE449" s="176"/>
      <c r="AF449" s="176"/>
      <c r="AG449" s="176"/>
      <c r="AH449" s="176"/>
      <c r="AI449" s="176"/>
      <c r="AJ449" s="176"/>
      <c r="AK449" s="176"/>
      <c r="AL449" s="176"/>
      <c r="AM449" s="176"/>
      <c r="AN449" s="176"/>
      <c r="AO449" s="208"/>
      <c r="AP449" s="208"/>
      <c r="AQ449" s="208"/>
      <c r="AR449" s="208"/>
      <c r="AS449" s="208"/>
      <c r="AT449" s="208"/>
      <c r="AU449" s="208"/>
      <c r="AV449" s="201"/>
      <c r="AW449" s="207"/>
      <c r="AX449" s="208"/>
      <c r="AY449" s="208"/>
      <c r="AZ449" s="208"/>
      <c r="BA449" s="208"/>
      <c r="BB449" s="208"/>
      <c r="BC449" s="242"/>
    </row>
    <row r="450" spans="2:55" ht="12.75" customHeight="1">
      <c r="B450" s="388"/>
      <c r="C450" s="388"/>
      <c r="D450" s="388"/>
      <c r="E450" s="388"/>
      <c r="F450" s="388"/>
      <c r="G450" s="388"/>
      <c r="H450" s="388"/>
      <c r="I450" s="237"/>
      <c r="J450" s="337" t="s">
        <v>317</v>
      </c>
      <c r="K450" s="337"/>
      <c r="L450" s="337"/>
      <c r="M450" s="337"/>
      <c r="N450" s="337"/>
      <c r="O450" s="337"/>
      <c r="P450" s="337"/>
      <c r="Q450" s="337"/>
      <c r="R450" s="337"/>
      <c r="S450" s="337"/>
      <c r="T450" s="176"/>
      <c r="U450" s="176" t="s">
        <v>95</v>
      </c>
      <c r="V450" s="566">
        <f>FLOOR(DEGREES(ATAN( TAN(RADIANS(X438)) / AR447 )), 1)</f>
        <v>23</v>
      </c>
      <c r="W450" s="566"/>
      <c r="X450" s="566"/>
      <c r="Y450" s="566"/>
      <c r="Z450" s="176"/>
      <c r="AA450" s="176"/>
      <c r="AB450" s="176"/>
      <c r="AC450" s="176"/>
      <c r="AD450" s="297"/>
      <c r="AE450" s="297"/>
      <c r="AF450" s="297"/>
      <c r="AG450" s="297"/>
      <c r="AH450" s="297"/>
      <c r="AI450" s="297"/>
      <c r="AJ450" s="297"/>
      <c r="AK450" s="297"/>
      <c r="AL450" s="297"/>
      <c r="AM450" s="297"/>
      <c r="AN450" s="297"/>
      <c r="AO450" s="208"/>
      <c r="AP450" s="208"/>
      <c r="AQ450" s="208"/>
      <c r="AR450" s="208"/>
      <c r="AS450" s="208"/>
      <c r="AT450" s="208"/>
      <c r="AU450" s="208"/>
      <c r="AV450" s="201"/>
      <c r="AW450" s="207"/>
      <c r="AX450" s="208"/>
      <c r="AY450" s="208"/>
      <c r="AZ450" s="208"/>
      <c r="BA450" s="208"/>
      <c r="BB450" s="208"/>
      <c r="BC450" s="242"/>
    </row>
    <row r="451" spans="2:55" ht="12.75" customHeight="1">
      <c r="B451" s="260"/>
      <c r="C451" s="176"/>
      <c r="D451" s="176"/>
      <c r="E451" s="176"/>
      <c r="F451" s="176"/>
      <c r="G451" s="213"/>
      <c r="H451" s="256"/>
      <c r="I451" s="237"/>
      <c r="J451" s="337" t="s">
        <v>278</v>
      </c>
      <c r="K451" s="337"/>
      <c r="L451" s="337"/>
      <c r="M451" s="337"/>
      <c r="N451" s="337"/>
      <c r="O451" s="337"/>
      <c r="P451" s="337"/>
      <c r="Q451" s="337"/>
      <c r="R451" s="337"/>
      <c r="S451" s="337"/>
      <c r="T451" s="176"/>
      <c r="U451" s="176" t="s">
        <v>95</v>
      </c>
      <c r="V451" s="336">
        <f>VLOOKUP(V450, 'DATA SHEET'!A80:F130,5, FALSE)</f>
        <v>8.6611904352691393</v>
      </c>
      <c r="W451" s="336"/>
      <c r="X451" s="336"/>
      <c r="Y451" s="336"/>
      <c r="Z451" s="273"/>
      <c r="AA451" s="176"/>
      <c r="AB451" s="176"/>
      <c r="AC451" s="273" t="s">
        <v>115</v>
      </c>
      <c r="AD451" s="176"/>
      <c r="AE451" s="176"/>
      <c r="AF451" s="176"/>
      <c r="AG451" s="176"/>
      <c r="AH451" s="176"/>
      <c r="AI451" s="176"/>
      <c r="AJ451" s="176"/>
      <c r="AK451" s="176"/>
      <c r="AL451" s="176"/>
      <c r="AM451" s="176"/>
      <c r="AN451" s="176"/>
      <c r="AO451" s="208"/>
      <c r="AP451" s="208"/>
      <c r="AQ451" s="208"/>
      <c r="AR451" s="208"/>
      <c r="AS451" s="208"/>
      <c r="AT451" s="208"/>
      <c r="AU451" s="208"/>
      <c r="AV451" s="201"/>
      <c r="AW451" s="207"/>
      <c r="AX451" s="208"/>
      <c r="AY451" s="208"/>
      <c r="AZ451" s="208"/>
      <c r="BA451" s="208"/>
      <c r="BB451" s="208"/>
      <c r="BC451" s="242"/>
    </row>
    <row r="452" spans="2:55" ht="12.75" customHeight="1">
      <c r="B452" s="558" t="s">
        <v>280</v>
      </c>
      <c r="C452" s="559"/>
      <c r="D452" s="559"/>
      <c r="E452" s="559"/>
      <c r="F452" s="559"/>
      <c r="G452" s="559"/>
      <c r="H452" s="560"/>
      <c r="I452" s="237"/>
      <c r="J452" s="337" t="s">
        <v>279</v>
      </c>
      <c r="K452" s="337"/>
      <c r="L452" s="337"/>
      <c r="M452" s="337"/>
      <c r="N452" s="337"/>
      <c r="O452" s="337"/>
      <c r="P452" s="337"/>
      <c r="Q452" s="337"/>
      <c r="R452" s="337"/>
      <c r="S452" s="337"/>
      <c r="T452" s="176"/>
      <c r="U452" s="176" t="s">
        <v>95</v>
      </c>
      <c r="V452" s="336">
        <f>VLOOKUP(V450, 'DATA SHEET'!A80:F130, 4, FALSE)</f>
        <v>18.048633611955108</v>
      </c>
      <c r="W452" s="336"/>
      <c r="X452" s="336"/>
      <c r="Y452" s="336"/>
      <c r="Z452" s="273"/>
      <c r="AA452" s="176"/>
      <c r="AB452" s="176"/>
      <c r="AC452" s="273" t="s">
        <v>115</v>
      </c>
      <c r="AD452" s="176"/>
      <c r="AE452" s="176"/>
      <c r="AF452" s="176"/>
      <c r="AG452" s="176"/>
      <c r="AH452" s="176"/>
      <c r="AI452" s="176"/>
      <c r="AJ452" s="176"/>
      <c r="AK452" s="176"/>
      <c r="AL452" s="176"/>
      <c r="AM452" s="176"/>
      <c r="AN452" s="176"/>
      <c r="AO452" s="208"/>
      <c r="AP452" s="208"/>
      <c r="AQ452" s="208"/>
      <c r="AR452" s="208"/>
      <c r="AS452" s="208"/>
      <c r="AT452" s="208"/>
      <c r="AU452" s="208"/>
      <c r="AV452" s="201"/>
      <c r="AW452" s="207"/>
      <c r="AX452" s="208"/>
      <c r="AY452" s="208"/>
      <c r="AZ452" s="208"/>
      <c r="BA452" s="208"/>
      <c r="BB452" s="208"/>
      <c r="BC452" s="242"/>
    </row>
    <row r="453" spans="2:55" ht="12.75" customHeight="1">
      <c r="B453" s="561"/>
      <c r="C453" s="562"/>
      <c r="D453" s="562"/>
      <c r="E453" s="562"/>
      <c r="F453" s="562"/>
      <c r="G453" s="562"/>
      <c r="H453" s="563"/>
      <c r="I453" s="237"/>
      <c r="J453" s="337" t="s">
        <v>295</v>
      </c>
      <c r="K453" s="337"/>
      <c r="L453" s="337"/>
      <c r="M453" s="337"/>
      <c r="N453" s="337"/>
      <c r="O453" s="337"/>
      <c r="P453" s="337"/>
      <c r="Q453" s="337"/>
      <c r="R453" s="337"/>
      <c r="S453" s="337"/>
      <c r="T453" s="176"/>
      <c r="U453" s="176" t="s">
        <v>95</v>
      </c>
      <c r="V453" s="336">
        <f>VLOOKUP(V450, 'DATA SHEET'!A80:F130,6, FALSE)</f>
        <v>4.8245090989064776</v>
      </c>
      <c r="W453" s="336"/>
      <c r="X453" s="336"/>
      <c r="Y453" s="336"/>
      <c r="Z453" s="273"/>
      <c r="AA453" s="176"/>
      <c r="AB453" s="176"/>
      <c r="AC453" s="273" t="s">
        <v>115</v>
      </c>
      <c r="AD453" s="176"/>
      <c r="AE453" s="176"/>
      <c r="AF453" s="176"/>
      <c r="AG453" s="176"/>
      <c r="AH453" s="176"/>
      <c r="AI453" s="176"/>
      <c r="AJ453" s="176"/>
      <c r="AK453" s="176"/>
      <c r="AL453" s="176"/>
      <c r="AM453" s="176"/>
      <c r="AN453" s="176"/>
      <c r="AO453" s="208"/>
      <c r="AP453" s="208"/>
      <c r="AQ453" s="208"/>
      <c r="AR453" s="208"/>
      <c r="AS453" s="208"/>
      <c r="AT453" s="208"/>
      <c r="AU453" s="208"/>
      <c r="AV453" s="201"/>
      <c r="AW453" s="207"/>
      <c r="AX453" s="208"/>
      <c r="AY453" s="208"/>
      <c r="AZ453" s="208"/>
      <c r="BA453" s="208"/>
      <c r="BB453" s="208"/>
      <c r="BC453" s="242"/>
    </row>
    <row r="454" spans="2:55" ht="12.75" customHeight="1">
      <c r="B454" s="260"/>
      <c r="C454" s="176"/>
      <c r="D454" s="176"/>
      <c r="E454" s="176"/>
      <c r="F454" s="176"/>
      <c r="G454" s="213"/>
      <c r="H454" s="256"/>
      <c r="I454" s="237"/>
      <c r="J454" s="337" t="s">
        <v>116</v>
      </c>
      <c r="K454" s="337"/>
      <c r="L454" s="337"/>
      <c r="M454" s="337"/>
      <c r="N454" s="337"/>
      <c r="O454" s="337"/>
      <c r="P454" s="337"/>
      <c r="Q454" s="337"/>
      <c r="R454" s="337"/>
      <c r="S454" s="337"/>
      <c r="T454" s="176"/>
      <c r="U454" s="176" t="s">
        <v>95</v>
      </c>
      <c r="V454" s="472">
        <v>600</v>
      </c>
      <c r="W454" s="472"/>
      <c r="X454" s="472"/>
      <c r="Y454" s="472"/>
      <c r="Z454" s="273"/>
      <c r="AA454" s="176"/>
      <c r="AB454" s="176"/>
      <c r="AC454" s="590" t="s">
        <v>258</v>
      </c>
      <c r="AD454" s="591"/>
      <c r="AE454" s="591"/>
      <c r="AF454" s="591"/>
      <c r="AG454" s="591"/>
      <c r="AH454" s="591"/>
      <c r="AI454" s="591"/>
      <c r="AJ454" s="591"/>
      <c r="AK454" s="591"/>
      <c r="AL454" s="591"/>
      <c r="AM454" s="591"/>
      <c r="AN454" s="591"/>
      <c r="AO454" s="591"/>
      <c r="AP454" s="591"/>
      <c r="AQ454" s="591"/>
      <c r="AR454" s="591"/>
      <c r="AS454" s="591"/>
      <c r="AT454" s="591"/>
      <c r="AU454" s="591"/>
      <c r="AV454" s="592"/>
      <c r="AW454" s="207"/>
      <c r="AX454" s="208"/>
      <c r="AY454" s="208"/>
      <c r="AZ454" s="208"/>
      <c r="BA454" s="208"/>
      <c r="BB454" s="208"/>
      <c r="BC454" s="242"/>
    </row>
    <row r="455" spans="2:55" ht="12.75" customHeight="1">
      <c r="B455" s="207"/>
      <c r="C455" s="208"/>
      <c r="D455" s="208"/>
      <c r="E455" s="208"/>
      <c r="F455" s="208"/>
      <c r="G455" s="208"/>
      <c r="H455" s="256"/>
      <c r="I455" s="237"/>
      <c r="J455" s="337" t="s">
        <v>300</v>
      </c>
      <c r="K455" s="337"/>
      <c r="L455" s="337"/>
      <c r="M455" s="337"/>
      <c r="N455" s="337"/>
      <c r="O455" s="337"/>
      <c r="P455" s="337"/>
      <c r="Q455" s="337"/>
      <c r="R455" s="337"/>
      <c r="S455" s="337"/>
      <c r="T455" s="208"/>
      <c r="U455" s="227" t="s">
        <v>95</v>
      </c>
      <c r="V455" s="336">
        <f>1-(0.3*(MIN(X439,X440)/MAX(X439,X440)))</f>
        <v>0.83327367066629421</v>
      </c>
      <c r="W455" s="336"/>
      <c r="X455" s="336"/>
      <c r="Y455" s="336"/>
      <c r="Z455" s="176"/>
      <c r="AA455" s="176"/>
      <c r="AB455" s="208"/>
      <c r="AC455" s="593" t="s">
        <v>260</v>
      </c>
      <c r="AD455" s="594"/>
      <c r="AE455" s="594"/>
      <c r="AF455" s="594"/>
      <c r="AG455" s="594"/>
      <c r="AH455" s="594"/>
      <c r="AI455" s="594"/>
      <c r="AJ455" s="594"/>
      <c r="AK455" s="594"/>
      <c r="AL455" s="594"/>
      <c r="AM455" s="594"/>
      <c r="AN455" s="594"/>
      <c r="AO455" s="594"/>
      <c r="AP455" s="594"/>
      <c r="AQ455" s="594"/>
      <c r="AR455" s="594"/>
      <c r="AS455" s="594"/>
      <c r="AT455" s="594"/>
      <c r="AU455" s="594"/>
      <c r="AV455" s="595"/>
      <c r="AW455" s="207"/>
      <c r="AX455" s="208"/>
      <c r="AY455" s="208"/>
      <c r="AZ455" s="208"/>
      <c r="BA455" s="208"/>
      <c r="BB455" s="208"/>
      <c r="BC455" s="242"/>
    </row>
    <row r="456" spans="2:55" ht="12.75" customHeight="1">
      <c r="B456" s="388" t="s">
        <v>309</v>
      </c>
      <c r="C456" s="388"/>
      <c r="D456" s="388"/>
      <c r="E456" s="388"/>
      <c r="F456" s="388"/>
      <c r="G456" s="388"/>
      <c r="H456" s="388"/>
      <c r="I456" s="237"/>
      <c r="J456" s="337" t="s">
        <v>302</v>
      </c>
      <c r="K456" s="337"/>
      <c r="L456" s="337"/>
      <c r="M456" s="337"/>
      <c r="N456" s="337"/>
      <c r="O456" s="337"/>
      <c r="P456" s="337"/>
      <c r="Q456" s="337"/>
      <c r="R456" s="337"/>
      <c r="S456" s="337"/>
      <c r="T456" s="208"/>
      <c r="U456" s="227" t="s">
        <v>95</v>
      </c>
      <c r="V456" s="336">
        <f>1 + (MIN(X439,X440)/MAX(X439,X440) ) * SIN(RADIANS(V450))</f>
        <v>1.217150556031444</v>
      </c>
      <c r="W456" s="336"/>
      <c r="X456" s="336"/>
      <c r="Y456" s="336"/>
      <c r="Z456" s="208"/>
      <c r="AA456" s="208"/>
      <c r="AB456" s="208"/>
      <c r="AC456" s="208"/>
      <c r="AD456" s="208"/>
      <c r="AE456" s="208"/>
      <c r="AF456" s="208"/>
      <c r="AG456" s="208"/>
      <c r="AH456" s="208"/>
      <c r="AI456" s="208"/>
      <c r="AJ456" s="189"/>
      <c r="AK456" s="208"/>
      <c r="AL456" s="208"/>
      <c r="AM456" s="208"/>
      <c r="AN456" s="208"/>
      <c r="AO456" s="208"/>
      <c r="AP456" s="208"/>
      <c r="AQ456" s="208"/>
      <c r="AR456" s="208"/>
      <c r="AS456" s="208"/>
      <c r="AT456" s="208"/>
      <c r="AU456" s="208"/>
      <c r="AV456" s="201"/>
      <c r="AW456" s="207"/>
      <c r="AX456" s="208"/>
      <c r="AY456" s="208"/>
      <c r="AZ456" s="208"/>
      <c r="BA456" s="208"/>
      <c r="BB456" s="208"/>
      <c r="BC456" s="242"/>
    </row>
    <row r="457" spans="2:55" ht="12.75" customHeight="1">
      <c r="B457" s="388"/>
      <c r="C457" s="388"/>
      <c r="D457" s="388"/>
      <c r="E457" s="388"/>
      <c r="F457" s="388"/>
      <c r="G457" s="388"/>
      <c r="H457" s="388"/>
      <c r="I457" s="237"/>
      <c r="J457" s="337" t="s">
        <v>303</v>
      </c>
      <c r="K457" s="337"/>
      <c r="L457" s="337"/>
      <c r="M457" s="337"/>
      <c r="N457" s="337"/>
      <c r="O457" s="337"/>
      <c r="P457" s="337"/>
      <c r="Q457" s="337"/>
      <c r="R457" s="337"/>
      <c r="S457" s="337"/>
      <c r="T457" s="208"/>
      <c r="U457" s="227" t="s">
        <v>95</v>
      </c>
      <c r="V457" s="338">
        <f>1 + (0.2*(MIN(X439,X440)/MAX(X439,X440)))</f>
        <v>1.1111508862224706</v>
      </c>
      <c r="W457" s="338"/>
      <c r="X457" s="338"/>
      <c r="Y457" s="338"/>
      <c r="Z457" s="208"/>
      <c r="AA457" s="208"/>
      <c r="AB457" s="208"/>
      <c r="AC457" s="208"/>
      <c r="AD457" s="272"/>
      <c r="AE457" s="272"/>
      <c r="AF457" s="176"/>
      <c r="AG457" s="272"/>
      <c r="AH457" s="272"/>
      <c r="AI457" s="176"/>
      <c r="AJ457" s="272"/>
      <c r="AK457" s="272"/>
      <c r="AL457" s="272"/>
      <c r="AM457" s="176"/>
      <c r="AN457" s="272"/>
      <c r="AO457" s="272"/>
      <c r="AP457" s="176"/>
      <c r="AQ457" s="272"/>
      <c r="AR457" s="272"/>
      <c r="AS457" s="176"/>
      <c r="AT457" s="272"/>
      <c r="AU457" s="272"/>
      <c r="AV457" s="201"/>
      <c r="AW457" s="207"/>
      <c r="AX457" s="208"/>
      <c r="AY457" s="208"/>
      <c r="AZ457" s="208"/>
      <c r="BA457" s="208"/>
      <c r="BB457" s="208"/>
      <c r="BC457" s="242"/>
    </row>
    <row r="458" spans="2:55" ht="12.75" customHeight="1">
      <c r="B458" s="388"/>
      <c r="C458" s="388"/>
      <c r="D458" s="388"/>
      <c r="E458" s="388"/>
      <c r="F458" s="388"/>
      <c r="G458" s="388"/>
      <c r="H458" s="388"/>
      <c r="AW458" s="207"/>
      <c r="AX458" s="208"/>
      <c r="AY458" s="208"/>
      <c r="AZ458" s="208"/>
      <c r="BA458" s="208"/>
      <c r="BB458" s="208"/>
      <c r="BC458" s="242"/>
    </row>
    <row r="459" spans="2:55" ht="12.75" customHeight="1">
      <c r="B459" s="207"/>
      <c r="C459" s="208"/>
      <c r="D459" s="208"/>
      <c r="E459" s="208"/>
      <c r="F459" s="208"/>
      <c r="G459" s="208"/>
      <c r="H459" s="256"/>
      <c r="I459" s="339" t="s">
        <v>330</v>
      </c>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c r="AF459" s="340"/>
      <c r="AG459" s="340"/>
      <c r="AH459" s="340"/>
      <c r="AI459" s="340"/>
      <c r="AJ459" s="340"/>
      <c r="AK459" s="340"/>
      <c r="AL459" s="340"/>
      <c r="AM459" s="340"/>
      <c r="AN459" s="340"/>
      <c r="AO459" s="340"/>
      <c r="AP459" s="340"/>
      <c r="AQ459" s="340"/>
      <c r="AR459" s="340"/>
      <c r="AS459" s="340"/>
      <c r="AT459" s="340"/>
      <c r="AU459" s="340"/>
      <c r="AV459" s="341"/>
      <c r="AW459" s="207"/>
      <c r="AX459" s="208"/>
      <c r="AY459" s="208"/>
      <c r="AZ459" s="208"/>
      <c r="BA459" s="208"/>
      <c r="BB459" s="208"/>
      <c r="BC459" s="242"/>
    </row>
    <row r="460" spans="2:55" ht="12.75" customHeight="1">
      <c r="B460" s="260"/>
      <c r="C460" s="176"/>
      <c r="D460" s="176"/>
      <c r="E460" s="176"/>
      <c r="F460" s="176"/>
      <c r="G460" s="213"/>
      <c r="H460" s="256"/>
      <c r="I460" s="342" t="s">
        <v>304</v>
      </c>
      <c r="J460" s="342"/>
      <c r="K460" s="342"/>
      <c r="L460" s="342"/>
      <c r="M460" s="342"/>
      <c r="N460" s="342"/>
      <c r="O460" s="342"/>
      <c r="P460" s="342"/>
      <c r="Q460" s="342"/>
      <c r="R460" s="342"/>
      <c r="S460" s="342"/>
      <c r="T460" s="342"/>
      <c r="U460" s="342"/>
      <c r="V460" s="342"/>
      <c r="W460" s="342"/>
      <c r="X460" s="342"/>
      <c r="Y460" s="342"/>
      <c r="Z460" s="342"/>
      <c r="AA460" s="342"/>
      <c r="AB460" s="342"/>
      <c r="AC460" s="342"/>
      <c r="AD460" s="342"/>
      <c r="AE460" s="342"/>
      <c r="AF460" s="342"/>
      <c r="AG460" s="342"/>
      <c r="AH460" s="342"/>
      <c r="AI460" s="342"/>
      <c r="AJ460" s="342"/>
      <c r="AK460" s="342"/>
      <c r="AL460" s="342"/>
      <c r="AM460" s="342"/>
      <c r="AN460" s="342"/>
      <c r="AO460" s="342"/>
      <c r="AP460" s="342"/>
      <c r="AQ460" s="342"/>
      <c r="AR460" s="342"/>
      <c r="AS460" s="342"/>
      <c r="AT460" s="342"/>
      <c r="AU460" s="342"/>
      <c r="AV460" s="342"/>
      <c r="AW460" s="207"/>
      <c r="AX460" s="208"/>
      <c r="AY460" s="208"/>
      <c r="AZ460" s="208"/>
      <c r="BA460" s="208"/>
      <c r="BB460" s="208"/>
      <c r="BC460" s="242"/>
    </row>
    <row r="461" spans="2:55" ht="12.75" customHeight="1">
      <c r="B461" s="207"/>
      <c r="C461" s="208"/>
      <c r="D461" s="208"/>
      <c r="E461" s="208"/>
      <c r="F461" s="208"/>
      <c r="G461" s="208"/>
      <c r="H461" s="256"/>
      <c r="I461" s="342"/>
      <c r="J461" s="342"/>
      <c r="K461" s="342"/>
      <c r="L461" s="342"/>
      <c r="M461" s="342"/>
      <c r="N461" s="342"/>
      <c r="O461" s="342"/>
      <c r="P461" s="342"/>
      <c r="Q461" s="342"/>
      <c r="R461" s="342"/>
      <c r="S461" s="342"/>
      <c r="T461" s="342"/>
      <c r="U461" s="342"/>
      <c r="V461" s="342"/>
      <c r="W461" s="342"/>
      <c r="X461" s="342"/>
      <c r="Y461" s="342"/>
      <c r="Z461" s="342"/>
      <c r="AA461" s="342"/>
      <c r="AB461" s="342"/>
      <c r="AC461" s="342"/>
      <c r="AD461" s="342"/>
      <c r="AE461" s="342"/>
      <c r="AF461" s="342"/>
      <c r="AG461" s="342"/>
      <c r="AH461" s="342"/>
      <c r="AI461" s="342"/>
      <c r="AJ461" s="342"/>
      <c r="AK461" s="342"/>
      <c r="AL461" s="342"/>
      <c r="AM461" s="342"/>
      <c r="AN461" s="342"/>
      <c r="AO461" s="342"/>
      <c r="AP461" s="342"/>
      <c r="AQ461" s="342"/>
      <c r="AR461" s="342"/>
      <c r="AS461" s="342"/>
      <c r="AT461" s="342"/>
      <c r="AU461" s="342"/>
      <c r="AV461" s="342"/>
      <c r="AW461" s="207"/>
      <c r="AX461" s="208"/>
      <c r="AY461" s="208"/>
      <c r="AZ461" s="208"/>
      <c r="BA461" s="208"/>
      <c r="BB461" s="208"/>
      <c r="BC461" s="242"/>
    </row>
    <row r="462" spans="2:55" ht="12.75" customHeight="1">
      <c r="B462" s="207"/>
      <c r="C462" s="208"/>
      <c r="D462" s="208"/>
      <c r="E462" s="208"/>
      <c r="F462" s="208"/>
      <c r="G462" s="208"/>
      <c r="H462" s="256"/>
      <c r="I462" s="343" t="s">
        <v>281</v>
      </c>
      <c r="J462" s="337"/>
      <c r="K462" s="274" t="s">
        <v>95</v>
      </c>
      <c r="L462" s="208"/>
      <c r="M462" s="208"/>
      <c r="N462" s="208"/>
      <c r="O462" s="208"/>
      <c r="P462" s="208"/>
      <c r="Q462" s="208"/>
      <c r="R462" s="208"/>
      <c r="S462" s="176"/>
      <c r="T462" s="176"/>
      <c r="U462" s="208"/>
      <c r="V462" s="208"/>
      <c r="W462" s="208"/>
      <c r="X462" s="208"/>
      <c r="Y462" s="208"/>
      <c r="Z462" s="208"/>
      <c r="AA462" s="208"/>
      <c r="AB462" s="208"/>
      <c r="AC462" s="208"/>
      <c r="AD462" s="176"/>
      <c r="AE462" s="208"/>
      <c r="AF462" s="208"/>
      <c r="AG462" s="208"/>
      <c r="AH462" s="208"/>
      <c r="AI462" s="208"/>
      <c r="AJ462" s="189"/>
      <c r="AK462" s="208"/>
      <c r="AL462" s="208"/>
      <c r="AM462" s="208"/>
      <c r="AN462" s="208"/>
      <c r="AO462" s="208"/>
      <c r="AP462" s="208"/>
      <c r="AQ462" s="208"/>
      <c r="AR462" s="208"/>
      <c r="AS462" s="208"/>
      <c r="AT462" s="208"/>
      <c r="AU462" s="208"/>
      <c r="AV462" s="201"/>
      <c r="AW462" s="207"/>
      <c r="AX462" s="208"/>
      <c r="AY462" s="208"/>
      <c r="AZ462" s="208"/>
      <c r="BA462" s="208"/>
      <c r="BB462" s="208"/>
      <c r="BC462" s="242"/>
    </row>
    <row r="463" spans="2:55" ht="12.75" customHeight="1">
      <c r="B463" s="207"/>
      <c r="C463" s="208"/>
      <c r="D463" s="208"/>
      <c r="E463" s="208"/>
      <c r="F463" s="208"/>
      <c r="G463" s="208"/>
      <c r="H463" s="256"/>
      <c r="I463" s="344">
        <f>X436</f>
        <v>0</v>
      </c>
      <c r="J463" s="344"/>
      <c r="K463" s="344"/>
      <c r="L463" s="327" t="s">
        <v>97</v>
      </c>
      <c r="M463" s="345">
        <f>V450</f>
        <v>23</v>
      </c>
      <c r="N463" s="346"/>
      <c r="O463" s="328" t="s">
        <v>97</v>
      </c>
      <c r="P463" s="347">
        <f>V457</f>
        <v>1.1111508862224706</v>
      </c>
      <c r="Q463" s="347"/>
      <c r="R463" s="329" t="s">
        <v>120</v>
      </c>
      <c r="S463" s="348">
        <f>X437</f>
        <v>15</v>
      </c>
      <c r="T463" s="349"/>
      <c r="U463" s="349"/>
      <c r="V463" s="350"/>
      <c r="W463" s="330" t="s">
        <v>97</v>
      </c>
      <c r="X463" s="351">
        <v>0.6</v>
      </c>
      <c r="Y463" s="352"/>
      <c r="Z463" s="328" t="s">
        <v>97</v>
      </c>
      <c r="AA463" s="347">
        <f>V451</f>
        <v>8.6611904352691393</v>
      </c>
      <c r="AB463" s="347"/>
      <c r="AC463" s="327" t="s">
        <v>97</v>
      </c>
      <c r="AD463" s="353">
        <f>V456</f>
        <v>1.217150556031444</v>
      </c>
      <c r="AE463" s="350"/>
      <c r="AF463" s="331" t="s">
        <v>120</v>
      </c>
      <c r="AG463" s="351">
        <v>0.5</v>
      </c>
      <c r="AH463" s="354"/>
      <c r="AI463" s="328" t="s">
        <v>97</v>
      </c>
      <c r="AJ463" s="355">
        <f>X437</f>
        <v>15</v>
      </c>
      <c r="AK463" s="356"/>
      <c r="AL463" s="356"/>
      <c r="AM463" s="356"/>
      <c r="AN463" s="330" t="s">
        <v>97</v>
      </c>
      <c r="AO463" s="353">
        <f>MIN(X439,X440)</f>
        <v>3.5028203230275508</v>
      </c>
      <c r="AP463" s="350"/>
      <c r="AQ463" s="328" t="s">
        <v>97</v>
      </c>
      <c r="AR463" s="353">
        <f>V453</f>
        <v>4.8245090989064776</v>
      </c>
      <c r="AS463" s="350"/>
      <c r="AT463" s="328" t="s">
        <v>97</v>
      </c>
      <c r="AU463" s="347">
        <f>V455</f>
        <v>0.83327367066629421</v>
      </c>
      <c r="AV463" s="357"/>
      <c r="AW463" s="207"/>
      <c r="AX463" s="208"/>
      <c r="AY463" s="208"/>
      <c r="AZ463" s="208"/>
      <c r="BA463" s="208"/>
      <c r="BB463" s="208"/>
      <c r="BC463" s="242"/>
    </row>
    <row r="464" spans="2:55" ht="12.75" customHeight="1">
      <c r="B464" s="207"/>
      <c r="C464" s="208"/>
      <c r="D464" s="208"/>
      <c r="E464" s="208"/>
      <c r="F464" s="208"/>
      <c r="G464" s="208"/>
      <c r="H464" s="256"/>
      <c r="I464" s="237"/>
      <c r="J464" s="176"/>
      <c r="K464" s="176"/>
      <c r="L464" s="176"/>
      <c r="M464" s="176"/>
      <c r="N464" s="176"/>
      <c r="O464" s="176"/>
      <c r="P464" s="176"/>
      <c r="Q464" s="176"/>
      <c r="R464" s="176"/>
      <c r="S464" s="176"/>
      <c r="T464" s="176"/>
      <c r="U464" s="176"/>
      <c r="V464" s="176"/>
      <c r="W464" s="176"/>
      <c r="X464" s="176"/>
      <c r="Y464" s="176"/>
      <c r="Z464" s="176"/>
      <c r="AA464" s="176"/>
      <c r="AB464" s="176"/>
      <c r="AS464" s="208"/>
      <c r="AT464" s="208"/>
      <c r="AU464" s="208"/>
      <c r="AV464" s="201"/>
      <c r="AW464" s="207"/>
      <c r="AX464" s="208"/>
      <c r="AY464" s="208"/>
      <c r="AZ464" s="208"/>
      <c r="BA464" s="208"/>
      <c r="BB464" s="208"/>
      <c r="BC464" s="242"/>
    </row>
    <row r="465" spans="2:55" ht="12.75" customHeight="1">
      <c r="B465" s="207"/>
      <c r="C465" s="208"/>
      <c r="D465" s="208"/>
      <c r="E465" s="208"/>
      <c r="F465" s="208"/>
      <c r="G465" s="208"/>
      <c r="H465" s="256"/>
      <c r="AN465" s="274" t="s">
        <v>95</v>
      </c>
      <c r="AO465" s="208"/>
      <c r="AP465" s="576">
        <f>(I463*M463*P463)+(S463*X463*AA463*AD463)+(AG463*AJ463*AO463*AR463*AU463)</f>
        <v>200.49137106996605</v>
      </c>
      <c r="AQ465" s="576"/>
      <c r="AR465" s="576"/>
      <c r="AS465" s="576"/>
      <c r="AT465" s="576"/>
      <c r="AU465" s="577"/>
      <c r="AW465" s="207"/>
      <c r="AX465" s="208"/>
      <c r="AY465" s="208"/>
      <c r="AZ465" s="208"/>
      <c r="BA465" s="208"/>
      <c r="BB465" s="208"/>
      <c r="BC465" s="242"/>
    </row>
    <row r="466" spans="2:55" ht="12.75" customHeight="1">
      <c r="B466" s="207"/>
      <c r="C466" s="208"/>
      <c r="D466" s="208"/>
      <c r="E466" s="208"/>
      <c r="F466" s="208"/>
      <c r="G466" s="208"/>
      <c r="H466" s="256"/>
      <c r="I466" s="237"/>
      <c r="J466" s="176"/>
      <c r="K466" s="176"/>
      <c r="L466" s="176"/>
      <c r="M466" s="176"/>
      <c r="N466" s="208"/>
      <c r="O466" s="208"/>
      <c r="P466" s="208"/>
      <c r="Q466" s="176"/>
      <c r="R466" s="176"/>
      <c r="S466" s="176"/>
      <c r="T466" s="176"/>
      <c r="U466" s="176"/>
      <c r="AB466" s="176"/>
      <c r="AC466" s="176"/>
      <c r="AD466" s="176"/>
      <c r="AE466" s="176"/>
      <c r="AF466" s="176"/>
      <c r="AG466" s="176"/>
      <c r="AH466" s="176"/>
      <c r="AI466" s="176"/>
      <c r="AJ466" s="176"/>
      <c r="AK466" s="176"/>
      <c r="AL466" s="176"/>
      <c r="AM466" s="176"/>
      <c r="AN466" s="176"/>
      <c r="AO466" s="208"/>
      <c r="AP466" s="208"/>
      <c r="AQ466" s="208"/>
      <c r="AR466" s="208"/>
      <c r="AS466" s="208"/>
      <c r="AT466" s="208"/>
      <c r="AU466" s="208"/>
      <c r="AV466" s="201"/>
      <c r="AW466" s="207"/>
      <c r="AX466" s="208"/>
      <c r="AY466" s="208"/>
      <c r="AZ466" s="208"/>
      <c r="BA466" s="208"/>
      <c r="BB466" s="208"/>
      <c r="BC466" s="242"/>
    </row>
    <row r="467" spans="2:55" ht="12.75" customHeight="1">
      <c r="B467" s="612" t="s">
        <v>314</v>
      </c>
      <c r="C467" s="612"/>
      <c r="D467" s="612"/>
      <c r="E467" s="612"/>
      <c r="F467" s="612"/>
      <c r="G467" s="612"/>
      <c r="H467" s="612"/>
      <c r="I467" s="237"/>
      <c r="J467" s="213" t="s">
        <v>119</v>
      </c>
      <c r="K467" s="213"/>
      <c r="L467" s="213"/>
      <c r="M467" s="213"/>
      <c r="N467" s="208"/>
      <c r="O467" s="208"/>
      <c r="P467" s="208"/>
      <c r="Q467" s="176"/>
      <c r="R467" s="208"/>
      <c r="S467" s="208"/>
      <c r="T467" s="208"/>
      <c r="U467" s="176"/>
      <c r="V467" s="582">
        <f>AO402</f>
        <v>17.329292289271446</v>
      </c>
      <c r="W467" s="582"/>
      <c r="X467" s="582"/>
      <c r="Y467" s="582"/>
      <c r="Z467" s="582"/>
      <c r="AA467" s="582"/>
      <c r="AB467" s="176"/>
      <c r="AC467" s="176"/>
      <c r="AD467" s="176"/>
      <c r="AE467" s="176"/>
      <c r="AF467" s="176"/>
      <c r="AG467" s="176"/>
      <c r="AH467" s="176"/>
      <c r="AI467" s="176"/>
      <c r="AJ467" s="176"/>
      <c r="AK467" s="176"/>
      <c r="AL467" s="176"/>
      <c r="AM467" s="176"/>
      <c r="AN467" s="176"/>
      <c r="AO467" s="227" t="s">
        <v>95</v>
      </c>
      <c r="AP467" s="467">
        <f>(V467/V468)*100</f>
        <v>8.6434105352214843</v>
      </c>
      <c r="AQ467" s="467"/>
      <c r="AR467" s="467"/>
      <c r="AS467" s="467"/>
      <c r="AT467" s="467"/>
      <c r="AU467" s="467"/>
      <c r="AV467" s="201"/>
      <c r="AW467" s="406" t="str">
        <f>IF(AP467&lt;100,  "PASS", "FAIL")</f>
        <v>PASS</v>
      </c>
      <c r="AX467" s="407"/>
      <c r="AY467" s="407"/>
      <c r="AZ467" s="407"/>
      <c r="BA467" s="407"/>
      <c r="BB467" s="407"/>
      <c r="BC467" s="408"/>
    </row>
    <row r="468" spans="2:55" ht="12.75" customHeight="1">
      <c r="B468" s="260"/>
      <c r="C468" s="176"/>
      <c r="D468" s="176"/>
      <c r="E468" s="176"/>
      <c r="F468" s="176"/>
      <c r="G468" s="213"/>
      <c r="H468" s="256"/>
      <c r="I468" s="237"/>
      <c r="J468" s="176"/>
      <c r="K468" s="176"/>
      <c r="L468" s="176"/>
      <c r="M468" s="176"/>
      <c r="N468" s="176"/>
      <c r="O468" s="176"/>
      <c r="P468" s="176"/>
      <c r="Q468" s="176"/>
      <c r="R468" s="176"/>
      <c r="S468" s="176"/>
      <c r="T468" s="176"/>
      <c r="U468" s="176"/>
      <c r="V468" s="576">
        <f>AP465</f>
        <v>200.49137106996605</v>
      </c>
      <c r="W468" s="576"/>
      <c r="X468" s="576"/>
      <c r="Y468" s="576"/>
      <c r="Z468" s="576"/>
      <c r="AA468" s="576"/>
      <c r="AB468" s="176"/>
      <c r="AS468" s="208"/>
      <c r="AT468" s="208"/>
      <c r="AU468" s="208"/>
      <c r="AV468" s="201"/>
      <c r="AW468" s="207"/>
      <c r="AX468" s="208"/>
      <c r="AY468" s="208"/>
      <c r="AZ468" s="208"/>
      <c r="BA468" s="208"/>
      <c r="BB468" s="208"/>
      <c r="BC468" s="242"/>
    </row>
    <row r="469" spans="2:55" ht="12.75" customHeight="1">
      <c r="B469" s="260"/>
      <c r="C469" s="176"/>
      <c r="D469" s="176"/>
      <c r="E469" s="176"/>
      <c r="F469" s="176"/>
      <c r="G469" s="213"/>
      <c r="H469" s="256"/>
      <c r="I469" s="237"/>
      <c r="J469" s="213" t="s">
        <v>146</v>
      </c>
      <c r="L469" s="213"/>
      <c r="M469" s="213"/>
      <c r="N469" s="213"/>
      <c r="O469" s="213"/>
      <c r="P469" s="213"/>
      <c r="Q469" s="213"/>
      <c r="R469" s="213"/>
      <c r="S469" s="213"/>
      <c r="T469" s="176"/>
      <c r="U469" s="176"/>
      <c r="V469" s="176"/>
      <c r="W469" s="176"/>
      <c r="X469" s="176"/>
      <c r="Y469" s="176"/>
      <c r="Z469" s="176"/>
      <c r="AA469" s="176"/>
      <c r="AB469" s="176"/>
      <c r="AC469" s="176"/>
      <c r="AD469" s="400">
        <f>X440</f>
        <v>3.5028203230275508</v>
      </c>
      <c r="AE469" s="400"/>
      <c r="AF469" s="400"/>
      <c r="AG469" s="226" t="s">
        <v>120</v>
      </c>
      <c r="AH469" s="618">
        <v>2</v>
      </c>
      <c r="AI469" s="618"/>
      <c r="AJ469" s="226" t="s">
        <v>97</v>
      </c>
      <c r="AK469" s="619">
        <f>V454/1000</f>
        <v>0.6</v>
      </c>
      <c r="AL469" s="619"/>
      <c r="AM469" s="619"/>
      <c r="AN469" s="226" t="s">
        <v>97</v>
      </c>
      <c r="AO469" s="326" t="s">
        <v>121</v>
      </c>
      <c r="AP469" s="326"/>
      <c r="AQ469" s="400">
        <f>V450</f>
        <v>23</v>
      </c>
      <c r="AR469" s="400"/>
      <c r="AS469" s="400"/>
      <c r="AU469" s="176"/>
      <c r="AV469" s="201"/>
      <c r="AW469" s="207"/>
      <c r="AX469" s="208"/>
      <c r="AY469" s="208"/>
      <c r="AZ469" s="208"/>
      <c r="BA469" s="208"/>
      <c r="BB469" s="208"/>
      <c r="BC469" s="242"/>
    </row>
    <row r="470" spans="2:55" ht="12.75" customHeight="1">
      <c r="B470" s="260"/>
      <c r="C470" s="176"/>
      <c r="D470" s="176"/>
      <c r="E470" s="176"/>
      <c r="F470" s="176"/>
      <c r="G470" s="213"/>
      <c r="H470" s="256"/>
      <c r="I470" s="237"/>
      <c r="J470" s="273" t="s">
        <v>125</v>
      </c>
      <c r="K470" s="176"/>
      <c r="L470" s="176"/>
      <c r="M470" s="176"/>
      <c r="N470" s="176"/>
      <c r="O470" s="176"/>
      <c r="P470" s="176"/>
      <c r="Q470" s="176"/>
      <c r="R470" s="176"/>
      <c r="S470" s="176"/>
      <c r="T470" s="176"/>
      <c r="U470" s="176"/>
      <c r="V470" s="176"/>
      <c r="W470" s="176"/>
      <c r="X470" s="176"/>
      <c r="Y470" s="298"/>
      <c r="Z470" s="176"/>
      <c r="AA470" s="176"/>
      <c r="AB470" s="176"/>
      <c r="AC470" s="176"/>
      <c r="AD470" s="176"/>
      <c r="AE470" s="176"/>
      <c r="AF470" s="176"/>
      <c r="AG470" s="176"/>
      <c r="AH470" s="208"/>
      <c r="AI470" s="208"/>
      <c r="AJ470" s="189"/>
      <c r="AK470" s="208"/>
      <c r="AL470" s="176"/>
      <c r="AM470" s="176"/>
      <c r="AN470" s="208"/>
      <c r="AO470" s="176" t="s">
        <v>95</v>
      </c>
      <c r="AP470" s="402">
        <f>(AD469+(2*(TAN(AQ469*PI()/180)*AK469)))</f>
        <v>4.0121901024790763</v>
      </c>
      <c r="AQ470" s="402"/>
      <c r="AR470" s="402"/>
      <c r="AS470" s="402"/>
      <c r="AT470" s="402"/>
      <c r="AU470" s="208"/>
      <c r="AV470" s="201"/>
      <c r="AW470" s="207"/>
      <c r="AX470" s="208"/>
      <c r="AY470" s="208"/>
      <c r="AZ470" s="208"/>
      <c r="BA470" s="208"/>
      <c r="BB470" s="208"/>
      <c r="BC470" s="242"/>
    </row>
    <row r="471" spans="2:55" ht="12.75" customHeight="1">
      <c r="B471" s="260"/>
      <c r="C471" s="176"/>
      <c r="D471" s="176"/>
      <c r="E471" s="176"/>
      <c r="F471" s="176"/>
      <c r="G471" s="213"/>
      <c r="H471" s="256"/>
      <c r="I471" s="237"/>
      <c r="AU471" s="208"/>
      <c r="AV471" s="201"/>
      <c r="AW471" s="207"/>
      <c r="AX471" s="208"/>
      <c r="AY471" s="208"/>
      <c r="AZ471" s="208"/>
      <c r="BA471" s="208"/>
      <c r="BB471" s="208"/>
      <c r="BC471" s="242"/>
    </row>
    <row r="472" spans="2:55" ht="12.75" customHeight="1">
      <c r="B472" s="260"/>
      <c r="C472" s="176"/>
      <c r="D472" s="176"/>
      <c r="E472" s="176"/>
      <c r="F472" s="176"/>
      <c r="G472" s="213"/>
      <c r="H472" s="256"/>
      <c r="I472" s="237"/>
      <c r="J472" s="494" t="s">
        <v>122</v>
      </c>
      <c r="K472" s="494"/>
      <c r="L472" s="494"/>
      <c r="M472" s="494"/>
      <c r="N472" s="494"/>
      <c r="O472" s="494"/>
      <c r="P472" s="494"/>
      <c r="Q472" s="494"/>
      <c r="R472" s="494"/>
      <c r="S472" s="176" t="s">
        <v>100</v>
      </c>
      <c r="T472" s="176" t="s">
        <v>95</v>
      </c>
      <c r="U472" s="299"/>
      <c r="V472" s="299"/>
      <c r="W472" s="299"/>
      <c r="X472" s="299"/>
      <c r="Y472" s="213"/>
      <c r="Z472" s="213"/>
      <c r="AA472" s="213"/>
      <c r="AB472" s="213"/>
      <c r="AC472" s="400">
        <f>X439</f>
        <v>6.302820323027551</v>
      </c>
      <c r="AD472" s="400"/>
      <c r="AE472" s="400"/>
      <c r="AF472" s="226" t="s">
        <v>120</v>
      </c>
      <c r="AG472" s="618">
        <v>2</v>
      </c>
      <c r="AH472" s="618"/>
      <c r="AI472" s="226" t="s">
        <v>97</v>
      </c>
      <c r="AJ472" s="619">
        <f>V454/1000</f>
        <v>0.6</v>
      </c>
      <c r="AK472" s="619"/>
      <c r="AL472" s="619"/>
      <c r="AM472" s="226" t="s">
        <v>97</v>
      </c>
      <c r="AN472" s="326" t="s">
        <v>121</v>
      </c>
      <c r="AO472" s="326"/>
      <c r="AP472" s="400">
        <f>V450</f>
        <v>23</v>
      </c>
      <c r="AQ472" s="400"/>
      <c r="AR472" s="400"/>
      <c r="AS472" s="208"/>
      <c r="AT472" s="208"/>
      <c r="AU472" s="208"/>
      <c r="AV472" s="201"/>
      <c r="AW472" s="207"/>
      <c r="AX472" s="208"/>
      <c r="AY472" s="208"/>
      <c r="AZ472" s="208"/>
      <c r="BA472" s="208"/>
      <c r="BB472" s="208"/>
      <c r="BC472" s="242"/>
    </row>
    <row r="473" spans="2:55" ht="12.75" customHeight="1">
      <c r="B473" s="260"/>
      <c r="C473" s="176"/>
      <c r="D473" s="176"/>
      <c r="E473" s="176"/>
      <c r="F473" s="176"/>
      <c r="G473" s="213"/>
      <c r="H473" s="256"/>
      <c r="I473" s="237"/>
      <c r="J473" s="300" t="s">
        <v>126</v>
      </c>
      <c r="K473" s="208"/>
      <c r="L473" s="208"/>
      <c r="M473" s="208"/>
      <c r="N473" s="208"/>
      <c r="O473" s="208"/>
      <c r="P473" s="208"/>
      <c r="Q473" s="208"/>
      <c r="R473" s="208"/>
      <c r="S473" s="208"/>
      <c r="T473" s="208"/>
      <c r="U473" s="208"/>
      <c r="V473" s="208"/>
      <c r="W473" s="208"/>
      <c r="X473" s="208"/>
      <c r="Y473" s="208"/>
      <c r="Z473" s="208"/>
      <c r="AA473" s="208"/>
      <c r="AB473" s="208"/>
      <c r="AC473" s="176"/>
      <c r="AD473" s="176"/>
      <c r="AE473" s="176"/>
      <c r="AF473" s="176"/>
      <c r="AG473" s="176"/>
      <c r="AH473" s="176"/>
      <c r="AI473" s="176"/>
      <c r="AJ473" s="176"/>
      <c r="AK473" s="176"/>
      <c r="AL473" s="176"/>
      <c r="AM473" s="176"/>
      <c r="AN473" s="176"/>
      <c r="AO473" s="227" t="s">
        <v>95</v>
      </c>
      <c r="AP473" s="402">
        <f>(AC472+(2*(TAN(AP472*PI()/180)*AJ472)))</f>
        <v>6.812190102479077</v>
      </c>
      <c r="AQ473" s="402"/>
      <c r="AR473" s="402"/>
      <c r="AS473" s="402"/>
      <c r="AT473" s="402"/>
      <c r="AU473" s="208"/>
      <c r="AV473" s="201"/>
      <c r="AW473" s="207"/>
      <c r="AX473" s="208"/>
      <c r="AY473" s="208"/>
      <c r="AZ473" s="208"/>
      <c r="BA473" s="208"/>
      <c r="BB473" s="208"/>
      <c r="BC473" s="242"/>
    </row>
    <row r="474" spans="2:55" ht="12.75" customHeight="1">
      <c r="B474" s="260"/>
      <c r="H474" s="256"/>
      <c r="AU474" s="208"/>
      <c r="AV474" s="201"/>
      <c r="AW474" s="207"/>
      <c r="AX474" s="208"/>
      <c r="AY474" s="208"/>
      <c r="AZ474" s="208"/>
      <c r="BA474" s="208"/>
      <c r="BB474" s="208"/>
      <c r="BC474" s="242"/>
    </row>
    <row r="475" spans="2:55" ht="12.75" customHeight="1">
      <c r="B475" s="627" t="s">
        <v>313</v>
      </c>
      <c r="C475" s="627"/>
      <c r="D475" s="627"/>
      <c r="E475" s="627"/>
      <c r="F475" s="627"/>
      <c r="G475" s="627"/>
      <c r="H475" s="627"/>
      <c r="I475" s="237"/>
      <c r="J475" s="213" t="s">
        <v>123</v>
      </c>
      <c r="K475" s="213"/>
      <c r="L475" s="213"/>
      <c r="M475" s="213"/>
      <c r="N475" s="213"/>
      <c r="O475" s="213"/>
      <c r="P475" s="213"/>
      <c r="Q475" s="213"/>
      <c r="R475" s="213"/>
      <c r="S475" s="213"/>
      <c r="T475" s="213"/>
      <c r="U475" s="213"/>
      <c r="V475" s="208"/>
      <c r="W475" s="208"/>
      <c r="X475" s="208"/>
      <c r="Y475" s="580">
        <f>X441</f>
        <v>294.3</v>
      </c>
      <c r="Z475" s="580"/>
      <c r="AA475" s="580"/>
      <c r="AB475" s="238" t="s">
        <v>97</v>
      </c>
      <c r="AC475" s="581">
        <v>1.3</v>
      </c>
      <c r="AD475" s="581"/>
      <c r="AE475" s="581"/>
      <c r="AF475" s="208"/>
      <c r="AG475" s="208"/>
      <c r="AH475" s="208"/>
      <c r="AI475" s="208"/>
      <c r="AJ475" s="189"/>
      <c r="AK475" s="208"/>
      <c r="AL475" s="208"/>
      <c r="AM475" s="208"/>
      <c r="AN475" s="208"/>
      <c r="AO475" s="227" t="s">
        <v>95</v>
      </c>
      <c r="AP475" s="385">
        <f>(AC475*Y475)/(Y476*AC476)</f>
        <v>13.997979501102417</v>
      </c>
      <c r="AQ475" s="385"/>
      <c r="AR475" s="385"/>
      <c r="AS475" s="385"/>
      <c r="AT475" s="385"/>
      <c r="AU475" s="208"/>
      <c r="AV475" s="201"/>
      <c r="AW475" s="207"/>
      <c r="AX475" s="208"/>
      <c r="AY475" s="208"/>
      <c r="AZ475" s="208"/>
      <c r="BA475" s="208"/>
      <c r="BB475" s="208"/>
      <c r="BC475" s="242"/>
    </row>
    <row r="476" spans="2:55" ht="12.75" customHeight="1">
      <c r="B476" s="260"/>
      <c r="C476" s="176"/>
      <c r="D476" s="176"/>
      <c r="E476" s="176"/>
      <c r="F476" s="176"/>
      <c r="G476" s="213"/>
      <c r="H476" s="256"/>
      <c r="I476" s="237"/>
      <c r="J476" s="213"/>
      <c r="K476" s="213"/>
      <c r="L476" s="213"/>
      <c r="M476" s="213"/>
      <c r="N476" s="213"/>
      <c r="O476" s="213"/>
      <c r="P476" s="213"/>
      <c r="Q476" s="213"/>
      <c r="R476" s="213"/>
      <c r="S476" s="213"/>
      <c r="T476" s="213"/>
      <c r="U476" s="213"/>
      <c r="V476" s="208"/>
      <c r="W476" s="208"/>
      <c r="X476" s="208"/>
      <c r="Y476" s="400">
        <f>AP470</f>
        <v>4.0121901024790763</v>
      </c>
      <c r="Z476" s="400"/>
      <c r="AA476" s="400"/>
      <c r="AB476" s="226" t="s">
        <v>97</v>
      </c>
      <c r="AC476" s="400">
        <f>AP473</f>
        <v>6.812190102479077</v>
      </c>
      <c r="AD476" s="400"/>
      <c r="AE476" s="400"/>
      <c r="AF476" s="208"/>
      <c r="AG476" s="208"/>
      <c r="AH476" s="208"/>
      <c r="AI476" s="208"/>
      <c r="AJ476" s="189"/>
      <c r="AK476" s="208"/>
      <c r="AL476" s="208"/>
      <c r="AM476" s="208"/>
      <c r="AN476" s="208"/>
      <c r="AO476" s="227"/>
      <c r="AP476" s="227"/>
      <c r="AQ476" s="227"/>
      <c r="AR476" s="227"/>
      <c r="AS476" s="227"/>
      <c r="AT476" s="227"/>
      <c r="AU476" s="208"/>
      <c r="AV476" s="201"/>
      <c r="AW476" s="207"/>
      <c r="AX476" s="208"/>
      <c r="AY476" s="208"/>
      <c r="AZ476" s="208"/>
      <c r="BA476" s="208"/>
      <c r="BB476" s="208"/>
      <c r="BC476" s="242"/>
    </row>
    <row r="477" spans="2:55" ht="12.75" customHeight="1">
      <c r="B477" s="264"/>
      <c r="C477" s="247"/>
      <c r="D477" s="247"/>
      <c r="E477" s="247"/>
      <c r="F477" s="247"/>
      <c r="G477" s="265"/>
      <c r="H477" s="266"/>
      <c r="I477" s="612" t="s">
        <v>312</v>
      </c>
      <c r="J477" s="612"/>
      <c r="K477" s="612"/>
      <c r="L477" s="612"/>
      <c r="M477" s="612"/>
      <c r="N477" s="612"/>
      <c r="O477" s="612"/>
      <c r="P477" s="612"/>
      <c r="Q477" s="612"/>
      <c r="R477" s="612"/>
      <c r="S477" s="612"/>
      <c r="T477" s="612"/>
      <c r="U477" s="612"/>
      <c r="V477" s="612"/>
      <c r="W477" s="612"/>
      <c r="X477" s="612"/>
      <c r="Y477" s="612"/>
      <c r="Z477" s="612"/>
      <c r="AA477" s="612"/>
      <c r="AB477" s="612"/>
      <c r="AC477" s="612"/>
      <c r="AD477" s="612"/>
      <c r="AE477" s="612"/>
      <c r="AF477" s="612"/>
      <c r="AG477" s="612"/>
      <c r="AH477" s="612"/>
      <c r="AI477" s="612"/>
      <c r="AJ477" s="612"/>
      <c r="AK477" s="612"/>
      <c r="AL477" s="612"/>
      <c r="AM477" s="612"/>
      <c r="AN477" s="612"/>
      <c r="AO477" s="612"/>
      <c r="AP477" s="612"/>
      <c r="AQ477" s="612"/>
      <c r="AR477" s="612"/>
      <c r="AS477" s="612"/>
      <c r="AT477" s="612"/>
      <c r="AU477" s="612"/>
      <c r="AV477" s="612"/>
      <c r="AW477" s="249"/>
      <c r="AX477" s="236"/>
      <c r="AY477" s="236"/>
      <c r="AZ477" s="236"/>
      <c r="BA477" s="236"/>
      <c r="BB477" s="236"/>
      <c r="BC477" s="286"/>
    </row>
    <row r="478" spans="2:55" ht="12.75" customHeight="1">
      <c r="B478" s="101"/>
      <c r="C478" s="102"/>
      <c r="D478" s="102"/>
      <c r="E478" s="102"/>
      <c r="F478" s="102"/>
      <c r="G478" s="102"/>
      <c r="H478" s="102"/>
      <c r="I478" s="102"/>
      <c r="J478" s="320"/>
      <c r="K478" s="320"/>
      <c r="L478" s="320"/>
      <c r="M478" s="320"/>
      <c r="N478" s="320"/>
      <c r="O478" s="320"/>
      <c r="P478" s="320"/>
      <c r="Q478" s="320"/>
      <c r="R478" s="320"/>
      <c r="S478" s="320"/>
      <c r="T478" s="320"/>
      <c r="U478" s="321"/>
      <c r="V478" s="478" t="s">
        <v>0</v>
      </c>
      <c r="W478" s="479"/>
      <c r="X478" s="479"/>
      <c r="Y478" s="479"/>
      <c r="Z478" s="479"/>
      <c r="AA478" s="479"/>
      <c r="AB478" s="479"/>
      <c r="AC478" s="479"/>
      <c r="AD478" s="479"/>
      <c r="AE478" s="479"/>
      <c r="AF478" s="479"/>
      <c r="AG478" s="479"/>
      <c r="AH478" s="479"/>
      <c r="AI478" s="479"/>
      <c r="AJ478" s="480"/>
      <c r="AK478" s="395" t="s">
        <v>1</v>
      </c>
      <c r="AL478" s="396"/>
      <c r="AM478" s="396"/>
      <c r="AN478" s="396"/>
      <c r="AO478" s="396"/>
      <c r="AP478" s="379" t="str">
        <f>$AP$2</f>
        <v>BB----</v>
      </c>
      <c r="AQ478" s="379"/>
      <c r="AR478" s="379"/>
      <c r="AS478" s="379"/>
      <c r="AT478" s="379"/>
      <c r="AU478" s="379"/>
      <c r="AV478" s="379"/>
      <c r="AW478" s="379"/>
      <c r="AX478" s="379"/>
      <c r="AY478" s="379"/>
      <c r="AZ478" s="379"/>
      <c r="BA478" s="379"/>
      <c r="BB478" s="379"/>
      <c r="BC478" s="380"/>
    </row>
    <row r="479" spans="2:55" ht="12.75" customHeight="1">
      <c r="B479" s="103"/>
      <c r="C479" s="104"/>
      <c r="D479" s="104"/>
      <c r="E479" s="104"/>
      <c r="F479" s="104"/>
      <c r="G479" s="104"/>
      <c r="H479" s="104"/>
      <c r="I479" s="104"/>
      <c r="J479" s="322"/>
      <c r="K479" s="322"/>
      <c r="L479" s="322"/>
      <c r="M479" s="322"/>
      <c r="N479" s="322"/>
      <c r="O479" s="322"/>
      <c r="P479" s="322"/>
      <c r="Q479" s="322"/>
      <c r="R479" s="322"/>
      <c r="S479" s="322"/>
      <c r="T479" s="322"/>
      <c r="U479" s="323"/>
      <c r="V479" s="481"/>
      <c r="W479" s="482"/>
      <c r="X479" s="482"/>
      <c r="Y479" s="482"/>
      <c r="Z479" s="482"/>
      <c r="AA479" s="482"/>
      <c r="AB479" s="482"/>
      <c r="AC479" s="482"/>
      <c r="AD479" s="482"/>
      <c r="AE479" s="482"/>
      <c r="AF479" s="482"/>
      <c r="AG479" s="482"/>
      <c r="AH479" s="482"/>
      <c r="AI479" s="482"/>
      <c r="AJ479" s="483"/>
      <c r="AK479" s="397"/>
      <c r="AL479" s="398"/>
      <c r="AM479" s="398"/>
      <c r="AN479" s="398"/>
      <c r="AO479" s="398"/>
      <c r="AP479" s="381"/>
      <c r="AQ479" s="381"/>
      <c r="AR479" s="381"/>
      <c r="AS479" s="381"/>
      <c r="AT479" s="381"/>
      <c r="AU479" s="381"/>
      <c r="AV479" s="381"/>
      <c r="AW479" s="381"/>
      <c r="AX479" s="381"/>
      <c r="AY479" s="381"/>
      <c r="AZ479" s="381"/>
      <c r="BA479" s="381"/>
      <c r="BB479" s="381"/>
      <c r="BC479" s="382"/>
    </row>
    <row r="480" spans="2:55" ht="12.75" customHeight="1">
      <c r="B480" s="103"/>
      <c r="C480" s="104"/>
      <c r="D480" s="104"/>
      <c r="E480" s="104"/>
      <c r="F480" s="104"/>
      <c r="G480" s="104"/>
      <c r="H480" s="104"/>
      <c r="I480" s="104"/>
      <c r="J480" s="322"/>
      <c r="K480" s="322"/>
      <c r="L480" s="322"/>
      <c r="M480" s="322"/>
      <c r="N480" s="322"/>
      <c r="O480" s="322"/>
      <c r="P480" s="322"/>
      <c r="Q480" s="322"/>
      <c r="R480" s="322"/>
      <c r="S480" s="322"/>
      <c r="T480" s="322"/>
      <c r="U480" s="323"/>
      <c r="V480" s="481"/>
      <c r="W480" s="482"/>
      <c r="X480" s="482"/>
      <c r="Y480" s="482"/>
      <c r="Z480" s="482"/>
      <c r="AA480" s="482"/>
      <c r="AB480" s="482"/>
      <c r="AC480" s="482"/>
      <c r="AD480" s="482"/>
      <c r="AE480" s="482"/>
      <c r="AF480" s="482"/>
      <c r="AG480" s="482"/>
      <c r="AH480" s="482"/>
      <c r="AI480" s="482"/>
      <c r="AJ480" s="483"/>
      <c r="AK480" s="358" t="s">
        <v>2</v>
      </c>
      <c r="AL480" s="359"/>
      <c r="AM480" s="359"/>
      <c r="AN480" s="359"/>
      <c r="AO480" s="359"/>
      <c r="AP480" s="381" t="str">
        <f>$AP$4</f>
        <v>TITLE</v>
      </c>
      <c r="AQ480" s="381"/>
      <c r="AR480" s="381"/>
      <c r="AS480" s="381"/>
      <c r="AT480" s="381"/>
      <c r="AU480" s="381"/>
      <c r="AV480" s="381"/>
      <c r="AW480" s="381"/>
      <c r="AX480" s="381"/>
      <c r="AY480" s="381"/>
      <c r="AZ480" s="381"/>
      <c r="BA480" s="381"/>
      <c r="BB480" s="381"/>
      <c r="BC480" s="382"/>
    </row>
    <row r="481" spans="2:55" ht="12.75" customHeight="1">
      <c r="B481" s="103"/>
      <c r="C481" s="104"/>
      <c r="D481" s="104"/>
      <c r="E481" s="104"/>
      <c r="F481" s="104"/>
      <c r="G481" s="104"/>
      <c r="H481" s="104"/>
      <c r="I481" s="104"/>
      <c r="J481" s="322"/>
      <c r="K481" s="322"/>
      <c r="L481" s="322"/>
      <c r="M481" s="322"/>
      <c r="N481" s="322"/>
      <c r="O481" s="322"/>
      <c r="P481" s="322"/>
      <c r="Q481" s="322"/>
      <c r="R481" s="322"/>
      <c r="S481" s="322"/>
      <c r="T481" s="322"/>
      <c r="U481" s="323"/>
      <c r="V481" s="481"/>
      <c r="W481" s="482"/>
      <c r="X481" s="482"/>
      <c r="Y481" s="482"/>
      <c r="Z481" s="482"/>
      <c r="AA481" s="482"/>
      <c r="AB481" s="482"/>
      <c r="AC481" s="482"/>
      <c r="AD481" s="482"/>
      <c r="AE481" s="482"/>
      <c r="AF481" s="482"/>
      <c r="AG481" s="482"/>
      <c r="AH481" s="482"/>
      <c r="AI481" s="482"/>
      <c r="AJ481" s="483"/>
      <c r="AK481" s="358"/>
      <c r="AL481" s="359"/>
      <c r="AM481" s="359"/>
      <c r="AN481" s="359"/>
      <c r="AO481" s="359"/>
      <c r="AP481" s="381"/>
      <c r="AQ481" s="381"/>
      <c r="AR481" s="381"/>
      <c r="AS481" s="381"/>
      <c r="AT481" s="381"/>
      <c r="AU481" s="381"/>
      <c r="AV481" s="381"/>
      <c r="AW481" s="381"/>
      <c r="AX481" s="381"/>
      <c r="AY481" s="381"/>
      <c r="AZ481" s="381"/>
      <c r="BA481" s="381"/>
      <c r="BB481" s="381"/>
      <c r="BC481" s="382"/>
    </row>
    <row r="482" spans="2:55" ht="12.75" customHeight="1">
      <c r="B482" s="103"/>
      <c r="C482" s="104"/>
      <c r="D482" s="104"/>
      <c r="E482" s="104"/>
      <c r="F482" s="104"/>
      <c r="G482" s="104"/>
      <c r="H482" s="104"/>
      <c r="I482" s="104"/>
      <c r="J482" s="322"/>
      <c r="K482" s="322"/>
      <c r="L482" s="322"/>
      <c r="M482" s="322"/>
      <c r="N482" s="322"/>
      <c r="O482" s="322"/>
      <c r="P482" s="322"/>
      <c r="Q482" s="322"/>
      <c r="R482" s="322"/>
      <c r="S482" s="322"/>
      <c r="T482" s="322"/>
      <c r="U482" s="323"/>
      <c r="V482" s="481"/>
      <c r="W482" s="482"/>
      <c r="X482" s="482"/>
      <c r="Y482" s="482"/>
      <c r="Z482" s="482"/>
      <c r="AA482" s="482"/>
      <c r="AB482" s="482"/>
      <c r="AC482" s="482"/>
      <c r="AD482" s="482"/>
      <c r="AE482" s="482"/>
      <c r="AF482" s="482"/>
      <c r="AG482" s="482"/>
      <c r="AH482" s="482"/>
      <c r="AI482" s="482"/>
      <c r="AJ482" s="483"/>
      <c r="AK482" s="401" t="s">
        <v>3</v>
      </c>
      <c r="AL482" s="401"/>
      <c r="AM482" s="401"/>
      <c r="AN482" s="401"/>
      <c r="AO482" s="401"/>
      <c r="AP482" s="381">
        <f>AP414+1</f>
        <v>8</v>
      </c>
      <c r="AQ482" s="381"/>
      <c r="AR482" s="381"/>
      <c r="AS482" s="381"/>
      <c r="AT482" s="381"/>
      <c r="AU482" s="381"/>
      <c r="AV482" s="381"/>
      <c r="AW482" s="381"/>
      <c r="AX482" s="381"/>
      <c r="AY482" s="381"/>
      <c r="AZ482" s="381"/>
      <c r="BA482" s="381"/>
      <c r="BB482" s="381"/>
      <c r="BC482" s="382"/>
    </row>
    <row r="483" spans="2:55" ht="12.75" customHeight="1">
      <c r="B483" s="103"/>
      <c r="C483" s="104"/>
      <c r="D483" s="104"/>
      <c r="E483" s="104"/>
      <c r="F483" s="104"/>
      <c r="G483" s="104"/>
      <c r="H483" s="104"/>
      <c r="I483" s="104"/>
      <c r="J483" s="322"/>
      <c r="K483" s="322"/>
      <c r="L483" s="322"/>
      <c r="M483" s="322"/>
      <c r="N483" s="322"/>
      <c r="O483" s="322"/>
      <c r="P483" s="322"/>
      <c r="Q483" s="322"/>
      <c r="R483" s="322"/>
      <c r="S483" s="322"/>
      <c r="T483" s="322"/>
      <c r="U483" s="323"/>
      <c r="V483" s="481"/>
      <c r="W483" s="482"/>
      <c r="X483" s="482"/>
      <c r="Y483" s="482"/>
      <c r="Z483" s="482"/>
      <c r="AA483" s="482"/>
      <c r="AB483" s="482"/>
      <c r="AC483" s="482"/>
      <c r="AD483" s="482"/>
      <c r="AE483" s="482"/>
      <c r="AF483" s="482"/>
      <c r="AG483" s="482"/>
      <c r="AH483" s="482"/>
      <c r="AI483" s="482"/>
      <c r="AJ483" s="483"/>
      <c r="AK483" s="401" t="s">
        <v>4</v>
      </c>
      <c r="AL483" s="401"/>
      <c r="AM483" s="401"/>
      <c r="AN483" s="401"/>
      <c r="AO483" s="401"/>
      <c r="AP483" s="383">
        <f ca="1">$AP$7</f>
        <v>45928</v>
      </c>
      <c r="AQ483" s="383"/>
      <c r="AR483" s="383"/>
      <c r="AS483" s="383"/>
      <c r="AT483" s="383"/>
      <c r="AU483" s="383"/>
      <c r="AV483" s="383"/>
      <c r="AW483" s="383"/>
      <c r="AX483" s="383"/>
      <c r="AY483" s="383"/>
      <c r="AZ483" s="383"/>
      <c r="BA483" s="383"/>
      <c r="BB483" s="383"/>
      <c r="BC483" s="384"/>
    </row>
    <row r="484" spans="2:55" ht="12.75" customHeight="1">
      <c r="B484" s="103"/>
      <c r="C484" s="104"/>
      <c r="D484" s="104"/>
      <c r="E484" s="104"/>
      <c r="F484" s="104"/>
      <c r="G484" s="104"/>
      <c r="H484" s="104"/>
      <c r="I484" s="104"/>
      <c r="J484" s="322"/>
      <c r="K484" s="322"/>
      <c r="L484" s="322"/>
      <c r="M484" s="322"/>
      <c r="N484" s="322"/>
      <c r="O484" s="322"/>
      <c r="P484" s="322"/>
      <c r="Q484" s="322"/>
      <c r="R484" s="322"/>
      <c r="S484" s="322"/>
      <c r="T484" s="322"/>
      <c r="U484" s="323"/>
      <c r="V484" s="481"/>
      <c r="W484" s="482"/>
      <c r="X484" s="482"/>
      <c r="Y484" s="482"/>
      <c r="Z484" s="482"/>
      <c r="AA484" s="482"/>
      <c r="AB484" s="482"/>
      <c r="AC484" s="482"/>
      <c r="AD484" s="482"/>
      <c r="AE484" s="482"/>
      <c r="AF484" s="482"/>
      <c r="AG484" s="482"/>
      <c r="AH484" s="482"/>
      <c r="AI484" s="482"/>
      <c r="AJ484" s="483"/>
      <c r="AK484" s="401" t="s">
        <v>5</v>
      </c>
      <c r="AL484" s="401"/>
      <c r="AM484" s="401"/>
      <c r="AN484" s="401"/>
      <c r="AO484" s="401"/>
      <c r="AP484" s="381" t="str">
        <f>$AP$8</f>
        <v>AB</v>
      </c>
      <c r="AQ484" s="381"/>
      <c r="AR484" s="381"/>
      <c r="AS484" s="381"/>
      <c r="AT484" s="381"/>
      <c r="AU484" s="381"/>
      <c r="AV484" s="381"/>
      <c r="AW484" s="381"/>
      <c r="AX484" s="381"/>
      <c r="AY484" s="381"/>
      <c r="AZ484" s="381"/>
      <c r="BA484" s="381"/>
      <c r="BB484" s="381"/>
      <c r="BC484" s="382"/>
    </row>
    <row r="485" spans="2:55" ht="12.75" customHeight="1">
      <c r="B485" s="105"/>
      <c r="C485" s="106"/>
      <c r="D485" s="106"/>
      <c r="E485" s="106"/>
      <c r="F485" s="106"/>
      <c r="G485" s="106"/>
      <c r="H485" s="106"/>
      <c r="I485" s="106"/>
      <c r="J485" s="324"/>
      <c r="K485" s="324"/>
      <c r="L485" s="324"/>
      <c r="M485" s="324"/>
      <c r="N485" s="324"/>
      <c r="O485" s="324"/>
      <c r="P485" s="324"/>
      <c r="Q485" s="324"/>
      <c r="R485" s="324"/>
      <c r="S485" s="324"/>
      <c r="T485" s="324"/>
      <c r="U485" s="325"/>
      <c r="V485" s="484"/>
      <c r="W485" s="485"/>
      <c r="X485" s="485"/>
      <c r="Y485" s="485"/>
      <c r="Z485" s="485"/>
      <c r="AA485" s="485"/>
      <c r="AB485" s="485"/>
      <c r="AC485" s="485"/>
      <c r="AD485" s="485"/>
      <c r="AE485" s="485"/>
      <c r="AF485" s="485"/>
      <c r="AG485" s="485"/>
      <c r="AH485" s="485"/>
      <c r="AI485" s="485"/>
      <c r="AJ485" s="486"/>
      <c r="AK485" s="460" t="s">
        <v>6</v>
      </c>
      <c r="AL485" s="460"/>
      <c r="AM485" s="460"/>
      <c r="AN485" s="460"/>
      <c r="AO485" s="460"/>
      <c r="AP485" s="386" t="str">
        <f>$AP$9</f>
        <v xml:space="preserve">CAT I / II </v>
      </c>
      <c r="AQ485" s="386"/>
      <c r="AR485" s="386"/>
      <c r="AS485" s="386"/>
      <c r="AT485" s="386"/>
      <c r="AU485" s="386"/>
      <c r="AV485" s="386"/>
      <c r="AW485" s="386"/>
      <c r="AX485" s="386"/>
      <c r="AY485" s="386"/>
      <c r="AZ485" s="386"/>
      <c r="BA485" s="386"/>
      <c r="BB485" s="386"/>
      <c r="BC485" s="387"/>
    </row>
    <row r="486" spans="2:55" ht="12.75" customHeight="1">
      <c r="B486" s="360" t="s">
        <v>7</v>
      </c>
      <c r="C486" s="361"/>
      <c r="D486" s="361"/>
      <c r="E486" s="361"/>
      <c r="F486" s="361"/>
      <c r="G486" s="361"/>
      <c r="H486" s="361"/>
      <c r="I486" s="361"/>
      <c r="J486" s="361"/>
      <c r="K486" s="361"/>
      <c r="L486" s="361"/>
      <c r="M486" s="361"/>
      <c r="N486" s="361"/>
      <c r="O486" s="361"/>
      <c r="P486" s="361"/>
      <c r="Q486" s="361"/>
      <c r="R486" s="361"/>
      <c r="S486" s="361"/>
      <c r="T486" s="361"/>
      <c r="U486" s="361"/>
      <c r="V486" s="361"/>
      <c r="W486" s="361"/>
      <c r="X486" s="361"/>
      <c r="Y486" s="361"/>
      <c r="Z486" s="361"/>
      <c r="AA486" s="361"/>
      <c r="AB486" s="361"/>
      <c r="AC486" s="361"/>
      <c r="AD486" s="361"/>
      <c r="AE486" s="361"/>
      <c r="AF486" s="361"/>
      <c r="AG486" s="361"/>
      <c r="AH486" s="361"/>
      <c r="AI486" s="361"/>
      <c r="AJ486" s="361"/>
      <c r="AK486" s="361"/>
      <c r="AL486" s="361"/>
      <c r="AM486" s="361"/>
      <c r="AN486" s="361"/>
      <c r="AO486" s="361"/>
      <c r="AP486" s="361"/>
      <c r="AQ486" s="361"/>
      <c r="AR486" s="361"/>
      <c r="AS486" s="361"/>
      <c r="AT486" s="361"/>
      <c r="AU486" s="361"/>
      <c r="AV486" s="361"/>
      <c r="AW486" s="361"/>
      <c r="AX486" s="361"/>
      <c r="AY486" s="361"/>
      <c r="AZ486" s="361"/>
      <c r="BA486" s="361"/>
      <c r="BB486" s="361"/>
      <c r="BC486" s="362"/>
    </row>
    <row r="487" spans="2:55" ht="12.75" customHeight="1">
      <c r="B487" s="363"/>
      <c r="C487" s="364"/>
      <c r="D487" s="364"/>
      <c r="E487" s="364"/>
      <c r="F487" s="364"/>
      <c r="G487" s="364"/>
      <c r="H487" s="364"/>
      <c r="I487" s="364"/>
      <c r="J487" s="364"/>
      <c r="K487" s="364"/>
      <c r="L487" s="364"/>
      <c r="M487" s="364"/>
      <c r="N487" s="364"/>
      <c r="O487" s="364"/>
      <c r="P487" s="364"/>
      <c r="Q487" s="364"/>
      <c r="R487" s="364"/>
      <c r="S487" s="364"/>
      <c r="T487" s="364"/>
      <c r="U487" s="364"/>
      <c r="V487" s="364"/>
      <c r="W487" s="364"/>
      <c r="X487" s="364"/>
      <c r="Y487" s="364"/>
      <c r="Z487" s="364"/>
      <c r="AA487" s="364"/>
      <c r="AB487" s="364"/>
      <c r="AC487" s="364"/>
      <c r="AD487" s="364"/>
      <c r="AE487" s="364"/>
      <c r="AF487" s="364"/>
      <c r="AG487" s="364"/>
      <c r="AH487" s="364"/>
      <c r="AI487" s="364"/>
      <c r="AJ487" s="364"/>
      <c r="AK487" s="364"/>
      <c r="AL487" s="364"/>
      <c r="AM487" s="364"/>
      <c r="AN487" s="364"/>
      <c r="AO487" s="364"/>
      <c r="AP487" s="364"/>
      <c r="AQ487" s="364"/>
      <c r="AR487" s="364"/>
      <c r="AS487" s="364"/>
      <c r="AT487" s="364"/>
      <c r="AU487" s="364"/>
      <c r="AV487" s="364"/>
      <c r="AW487" s="364"/>
      <c r="AX487" s="364"/>
      <c r="AY487" s="364"/>
      <c r="AZ487" s="364"/>
      <c r="BA487" s="364"/>
      <c r="BB487" s="364"/>
      <c r="BC487" s="365"/>
    </row>
    <row r="488" spans="2:55" ht="12.75" customHeight="1">
      <c r="B488" s="376"/>
      <c r="C488" s="377"/>
      <c r="D488" s="377"/>
      <c r="E488" s="377"/>
      <c r="F488" s="377"/>
      <c r="G488" s="377"/>
      <c r="H488" s="377"/>
      <c r="I488" s="377"/>
      <c r="J488" s="377"/>
      <c r="K488" s="377"/>
      <c r="L488" s="377"/>
      <c r="M488" s="377"/>
      <c r="N488" s="377"/>
      <c r="O488" s="377"/>
      <c r="P488" s="377"/>
      <c r="Q488" s="377"/>
      <c r="R488" s="377"/>
      <c r="S488" s="377"/>
      <c r="T488" s="377"/>
      <c r="U488" s="377"/>
      <c r="V488" s="377"/>
      <c r="W488" s="377"/>
      <c r="X488" s="377"/>
      <c r="Y488" s="377"/>
      <c r="Z488" s="377"/>
      <c r="AA488" s="377"/>
      <c r="AB488" s="377"/>
      <c r="AC488" s="377"/>
      <c r="AD488" s="377"/>
      <c r="AE488" s="377"/>
      <c r="AF488" s="377"/>
      <c r="AG488" s="377"/>
      <c r="AH488" s="377"/>
      <c r="AI488" s="377"/>
      <c r="AJ488" s="377"/>
      <c r="AK488" s="377"/>
      <c r="AL488" s="377"/>
      <c r="AM488" s="377"/>
      <c r="AN488" s="377"/>
      <c r="AO488" s="377"/>
      <c r="AP488" s="377"/>
      <c r="AQ488" s="377"/>
      <c r="AR488" s="377"/>
      <c r="AS488" s="377"/>
      <c r="AT488" s="377"/>
      <c r="AU488" s="377"/>
      <c r="AV488" s="377"/>
      <c r="AW488" s="377"/>
      <c r="AX488" s="377"/>
      <c r="AY488" s="377"/>
      <c r="AZ488" s="377"/>
      <c r="BA488" s="377"/>
      <c r="BB488" s="377"/>
      <c r="BC488" s="378"/>
    </row>
    <row r="489" spans="2:55" ht="12.75" customHeight="1">
      <c r="B489" s="461" t="s">
        <v>8</v>
      </c>
      <c r="C489" s="462"/>
      <c r="D489" s="462"/>
      <c r="E489" s="462"/>
      <c r="F489" s="462"/>
      <c r="G489" s="462"/>
      <c r="H489" s="463"/>
      <c r="I489" s="304"/>
      <c r="J489" s="308"/>
      <c r="K489" s="308"/>
      <c r="L489" s="308"/>
      <c r="M489" s="308"/>
      <c r="N489" s="308"/>
      <c r="O489" s="308"/>
      <c r="P489" s="308"/>
      <c r="Q489" s="308"/>
      <c r="R489" s="308"/>
      <c r="S489" s="308"/>
      <c r="T489" s="308"/>
      <c r="U489" s="308"/>
      <c r="V489" s="308"/>
      <c r="W489" s="308"/>
      <c r="X489" s="308"/>
      <c r="Y489" s="308"/>
      <c r="Z489" s="308"/>
      <c r="AA489" s="308"/>
      <c r="AB489" s="308"/>
      <c r="AC489" s="308"/>
      <c r="AD489" s="308"/>
      <c r="AE489" s="308"/>
      <c r="AF489" s="308"/>
      <c r="AG489" s="308"/>
      <c r="AH489" s="308"/>
      <c r="AI489" s="308"/>
      <c r="AJ489" s="308"/>
      <c r="AK489" s="308"/>
      <c r="AL489" s="308"/>
      <c r="AM489" s="308"/>
      <c r="AN489" s="308"/>
      <c r="AO489" s="197"/>
      <c r="AP489" s="197"/>
      <c r="AQ489" s="197"/>
      <c r="AR489" s="197"/>
      <c r="AS489" s="197"/>
      <c r="AT489" s="197"/>
      <c r="AU489" s="197"/>
      <c r="AV489" s="198"/>
      <c r="AW489" s="403" t="s">
        <v>9</v>
      </c>
      <c r="AX489" s="404"/>
      <c r="AY489" s="404"/>
      <c r="AZ489" s="404"/>
      <c r="BA489" s="404"/>
      <c r="BB489" s="404"/>
      <c r="BC489" s="405"/>
    </row>
    <row r="490" spans="2:55" ht="12.75" customHeight="1">
      <c r="B490" s="267"/>
      <c r="C490" s="269"/>
      <c r="D490" s="269"/>
      <c r="E490" s="269"/>
      <c r="F490" s="269"/>
      <c r="G490" s="253"/>
      <c r="H490" s="254"/>
      <c r="I490" s="237"/>
      <c r="J490" s="307" t="s">
        <v>185</v>
      </c>
      <c r="K490" s="180"/>
      <c r="L490" s="180"/>
      <c r="M490" s="180"/>
      <c r="N490" s="180"/>
      <c r="O490" s="180"/>
      <c r="P490" s="180"/>
      <c r="Q490" s="214"/>
      <c r="R490" s="180"/>
      <c r="S490" s="180"/>
      <c r="T490" s="215"/>
      <c r="U490" s="180"/>
      <c r="V490" s="180"/>
      <c r="W490" s="180"/>
      <c r="X490" s="180"/>
      <c r="Y490" s="214"/>
      <c r="Z490" s="214"/>
      <c r="AA490" s="214"/>
      <c r="AB490" s="214"/>
      <c r="AC490" s="214"/>
      <c r="AD490" s="214"/>
      <c r="AE490" s="214"/>
      <c r="AF490" s="214"/>
      <c r="AG490" s="180"/>
      <c r="AH490" s="180"/>
      <c r="AI490" s="180"/>
      <c r="AJ490" s="180"/>
      <c r="AK490" s="180"/>
      <c r="AL490" s="180"/>
      <c r="AM490" s="245"/>
      <c r="AN490" s="245"/>
      <c r="AO490" s="180"/>
      <c r="AP490" s="180"/>
      <c r="AQ490" s="180"/>
      <c r="AR490" s="180"/>
      <c r="AS490" s="180"/>
      <c r="AT490" s="180"/>
      <c r="AU490" s="180"/>
      <c r="AV490" s="201"/>
      <c r="AW490" s="202"/>
      <c r="AX490" s="203"/>
      <c r="AY490" s="203"/>
      <c r="AZ490" s="203"/>
      <c r="BA490" s="203"/>
      <c r="BB490" s="203"/>
      <c r="BC490" s="276"/>
    </row>
    <row r="491" spans="2:55" ht="12.75" customHeight="1">
      <c r="B491" s="260"/>
      <c r="C491" s="176"/>
      <c r="D491" s="176"/>
      <c r="E491" s="176"/>
      <c r="F491" s="176"/>
      <c r="G491" s="213"/>
      <c r="H491" s="256"/>
      <c r="I491" s="237"/>
      <c r="J491" s="180"/>
      <c r="K491" s="180"/>
      <c r="L491" s="180"/>
      <c r="M491" s="180"/>
      <c r="N491" s="180"/>
      <c r="O491" s="180"/>
      <c r="P491" s="180"/>
      <c r="Q491" s="214"/>
      <c r="R491" s="180"/>
      <c r="S491" s="180"/>
      <c r="T491" s="215"/>
      <c r="U491" s="180"/>
      <c r="V491" s="180"/>
      <c r="W491" s="180"/>
      <c r="X491" s="180"/>
      <c r="Y491" s="214"/>
      <c r="Z491" s="214"/>
      <c r="AA491" s="214"/>
      <c r="AB491" s="214"/>
      <c r="AC491" s="214"/>
      <c r="AD491" s="214"/>
      <c r="AE491" s="214"/>
      <c r="AF491" s="214"/>
      <c r="AG491" s="180"/>
      <c r="AH491" s="180"/>
      <c r="AI491" s="180"/>
      <c r="AJ491" s="180"/>
      <c r="AK491" s="180"/>
      <c r="AL491" s="180"/>
      <c r="AM491" s="245"/>
      <c r="AN491" s="245"/>
      <c r="AO491" s="180"/>
      <c r="AP491" s="180"/>
      <c r="AQ491" s="180"/>
      <c r="AR491" s="180"/>
      <c r="AS491" s="180"/>
      <c r="AT491" s="180"/>
      <c r="AU491" s="180"/>
      <c r="AV491" s="201"/>
      <c r="AW491" s="207"/>
      <c r="AX491" s="208"/>
      <c r="AY491" s="208"/>
      <c r="AZ491" s="208"/>
      <c r="BA491" s="208"/>
      <c r="BB491" s="208"/>
      <c r="BC491" s="242"/>
    </row>
    <row r="492" spans="2:55" ht="12.75" customHeight="1">
      <c r="B492" s="260"/>
      <c r="C492" s="176"/>
      <c r="D492" s="176"/>
      <c r="E492" s="176"/>
      <c r="F492" s="176"/>
      <c r="G492" s="213"/>
      <c r="H492" s="256"/>
      <c r="I492" s="237"/>
      <c r="J492" s="180"/>
      <c r="K492" s="180"/>
      <c r="L492" s="180"/>
      <c r="M492" s="180"/>
      <c r="N492" s="180"/>
      <c r="O492" s="180"/>
      <c r="P492" s="180"/>
      <c r="Q492" s="214"/>
      <c r="R492" s="180"/>
      <c r="S492" s="180"/>
      <c r="T492" s="215"/>
      <c r="U492" s="180"/>
      <c r="V492" s="180"/>
      <c r="W492" s="180"/>
      <c r="X492" s="180"/>
      <c r="Y492" s="214"/>
      <c r="Z492" s="214"/>
      <c r="AA492" s="214"/>
      <c r="AB492" s="214"/>
      <c r="AC492" s="214"/>
      <c r="AD492" s="214"/>
      <c r="AE492" s="214"/>
      <c r="AF492" s="214"/>
      <c r="AG492" s="180"/>
      <c r="AH492" s="180"/>
      <c r="AI492" s="180"/>
      <c r="AJ492" s="180"/>
      <c r="AK492" s="180"/>
      <c r="AL492" s="180"/>
      <c r="AM492" s="245"/>
      <c r="AN492" s="245"/>
      <c r="AO492" s="180"/>
      <c r="AP492" s="180"/>
      <c r="AQ492" s="180"/>
      <c r="AR492" s="180"/>
      <c r="AS492" s="180"/>
      <c r="AT492" s="180"/>
      <c r="AU492" s="180"/>
      <c r="AV492" s="201"/>
      <c r="AW492" s="207"/>
      <c r="AX492" s="208"/>
      <c r="AY492" s="208"/>
      <c r="AZ492" s="208"/>
      <c r="BA492" s="208"/>
      <c r="BB492" s="208"/>
      <c r="BC492" s="242"/>
    </row>
    <row r="493" spans="2:55" ht="12.75" customHeight="1">
      <c r="B493" s="260"/>
      <c r="C493" s="176"/>
      <c r="D493" s="176"/>
      <c r="E493" s="176"/>
      <c r="F493" s="176"/>
      <c r="G493" s="213"/>
      <c r="H493" s="256"/>
      <c r="I493" s="237"/>
      <c r="J493" s="180"/>
      <c r="K493" s="180"/>
      <c r="L493" s="180"/>
      <c r="M493" s="180"/>
      <c r="N493" s="180"/>
      <c r="O493" s="180"/>
      <c r="P493" s="180"/>
      <c r="Q493" s="214"/>
      <c r="R493" s="180"/>
      <c r="S493" s="180"/>
      <c r="T493" s="215"/>
      <c r="U493" s="180"/>
      <c r="V493" s="180"/>
      <c r="W493" s="180"/>
      <c r="X493" s="180"/>
      <c r="Y493" s="214"/>
      <c r="Z493" s="214"/>
      <c r="AA493" s="214"/>
      <c r="AB493" s="214"/>
      <c r="AC493" s="214"/>
      <c r="AD493" s="214"/>
      <c r="AE493" s="214"/>
      <c r="AF493" s="214"/>
      <c r="AG493" s="180"/>
      <c r="AH493" s="180"/>
      <c r="AI493" s="180"/>
      <c r="AJ493" s="180"/>
      <c r="AK493" s="180"/>
      <c r="AL493" s="180"/>
      <c r="AM493" s="245"/>
      <c r="AN493" s="245"/>
      <c r="AO493" s="180"/>
      <c r="AP493" s="180"/>
      <c r="AQ493" s="180"/>
      <c r="AR493" s="180"/>
      <c r="AS493" s="180"/>
      <c r="AT493" s="180"/>
      <c r="AU493" s="180"/>
      <c r="AV493" s="201"/>
      <c r="AW493" s="207"/>
      <c r="AX493" s="208"/>
      <c r="AY493" s="208"/>
      <c r="AZ493" s="208"/>
      <c r="BA493" s="208"/>
      <c r="BB493" s="208"/>
      <c r="BC493" s="242"/>
    </row>
    <row r="494" spans="2:55" ht="12.75" customHeight="1">
      <c r="B494" s="520" t="s">
        <v>170</v>
      </c>
      <c r="C494" s="520"/>
      <c r="D494" s="520"/>
      <c r="E494" s="520"/>
      <c r="F494" s="520"/>
      <c r="G494" s="520"/>
      <c r="H494" s="520"/>
      <c r="I494" s="237"/>
      <c r="J494" s="180"/>
      <c r="K494" s="180"/>
      <c r="L494" s="180"/>
      <c r="M494" s="180"/>
      <c r="N494" s="180"/>
      <c r="O494" s="180"/>
      <c r="P494" s="180"/>
      <c r="Q494" s="214"/>
      <c r="R494" s="180"/>
      <c r="S494" s="180"/>
      <c r="T494" s="215"/>
      <c r="U494" s="180"/>
      <c r="V494" s="180"/>
      <c r="W494" s="180"/>
      <c r="X494" s="180"/>
      <c r="Y494" s="214"/>
      <c r="Z494" s="214"/>
      <c r="AA494" s="214"/>
      <c r="AB494" s="214"/>
      <c r="AC494" s="214"/>
      <c r="AD494" s="214"/>
      <c r="AE494" s="214"/>
      <c r="AF494" s="214"/>
      <c r="AG494" s="180"/>
      <c r="AH494" s="180"/>
      <c r="AI494" s="180"/>
      <c r="AJ494" s="180"/>
      <c r="AK494" s="180"/>
      <c r="AL494" s="180"/>
      <c r="AM494" s="245"/>
      <c r="AN494" s="245"/>
      <c r="AO494" s="180"/>
      <c r="AP494" s="180"/>
      <c r="AQ494" s="180"/>
      <c r="AR494" s="180"/>
      <c r="AS494" s="180"/>
      <c r="AT494" s="180"/>
      <c r="AU494" s="180"/>
      <c r="AV494" s="201"/>
      <c r="AW494" s="207"/>
      <c r="AX494" s="208"/>
      <c r="AY494" s="208"/>
      <c r="AZ494" s="208"/>
      <c r="BA494" s="208"/>
      <c r="BB494" s="208"/>
      <c r="BC494" s="242"/>
    </row>
    <row r="495" spans="2:55" ht="12.75" customHeight="1">
      <c r="B495" s="520"/>
      <c r="C495" s="520"/>
      <c r="D495" s="520"/>
      <c r="E495" s="520"/>
      <c r="F495" s="520"/>
      <c r="G495" s="520"/>
      <c r="H495" s="520"/>
      <c r="I495" s="237"/>
      <c r="J495" s="180"/>
      <c r="K495" s="180"/>
      <c r="L495" s="180"/>
      <c r="M495" s="180"/>
      <c r="N495" s="180"/>
      <c r="O495" s="180"/>
      <c r="P495" s="180"/>
      <c r="Q495" s="214"/>
      <c r="R495" s="180"/>
      <c r="S495" s="180"/>
      <c r="T495" s="215"/>
      <c r="U495" s="180"/>
      <c r="V495" s="180"/>
      <c r="W495" s="180"/>
      <c r="X495" s="180"/>
      <c r="Y495" s="214"/>
      <c r="Z495" s="214"/>
      <c r="AA495" s="214"/>
      <c r="AB495" s="214"/>
      <c r="AC495" s="214"/>
      <c r="AD495" s="214"/>
      <c r="AE495" s="214"/>
      <c r="AF495" s="214"/>
      <c r="AG495" s="180"/>
      <c r="AH495" s="180"/>
      <c r="AI495" s="180"/>
      <c r="AJ495" s="180"/>
      <c r="AK495" s="180"/>
      <c r="AL495" s="180"/>
      <c r="AM495" s="245"/>
      <c r="AN495" s="245"/>
      <c r="AO495" s="180"/>
      <c r="AP495" s="180"/>
      <c r="AQ495" s="180"/>
      <c r="AR495" s="180"/>
      <c r="AS495" s="180"/>
      <c r="AT495" s="180"/>
      <c r="AU495" s="180"/>
      <c r="AV495" s="201"/>
      <c r="AW495" s="207"/>
      <c r="AX495" s="208"/>
      <c r="AY495" s="208"/>
      <c r="AZ495" s="208"/>
      <c r="BA495" s="208"/>
      <c r="BB495" s="208"/>
      <c r="BC495" s="242"/>
    </row>
    <row r="496" spans="2:55" ht="12.75" customHeight="1">
      <c r="B496" s="520"/>
      <c r="C496" s="520"/>
      <c r="D496" s="520"/>
      <c r="E496" s="520"/>
      <c r="F496" s="520"/>
      <c r="G496" s="520"/>
      <c r="H496" s="520"/>
      <c r="I496" s="237"/>
      <c r="J496" s="180"/>
      <c r="K496" s="180"/>
      <c r="L496" s="180"/>
      <c r="M496" s="180"/>
      <c r="N496" s="180"/>
      <c r="O496" s="180"/>
      <c r="P496" s="180"/>
      <c r="Q496" s="214"/>
      <c r="R496" s="180"/>
      <c r="S496" s="180"/>
      <c r="T496" s="215"/>
      <c r="U496" s="180"/>
      <c r="V496" s="180"/>
      <c r="W496" s="180"/>
      <c r="X496" s="180"/>
      <c r="Y496" s="214"/>
      <c r="Z496" s="214"/>
      <c r="AA496" s="214"/>
      <c r="AB496" s="214"/>
      <c r="AC496" s="214"/>
      <c r="AD496" s="214"/>
      <c r="AE496" s="214"/>
      <c r="AF496" s="214"/>
      <c r="AG496" s="180"/>
      <c r="AH496" s="180"/>
      <c r="AI496" s="180"/>
      <c r="AJ496" s="180"/>
      <c r="AK496" s="180"/>
      <c r="AL496" s="180"/>
      <c r="AM496" s="245"/>
      <c r="AN496" s="245"/>
      <c r="AO496" s="180"/>
      <c r="AP496" s="180"/>
      <c r="AQ496" s="180"/>
      <c r="AR496" s="180"/>
      <c r="AS496" s="180"/>
      <c r="AT496" s="180"/>
      <c r="AU496" s="180"/>
      <c r="AV496" s="201"/>
      <c r="AW496" s="207"/>
      <c r="AX496" s="208"/>
      <c r="AY496" s="208"/>
      <c r="AZ496" s="208"/>
      <c r="BA496" s="208"/>
      <c r="BB496" s="208"/>
      <c r="BC496" s="242"/>
    </row>
    <row r="497" spans="2:55" ht="12.75" customHeight="1">
      <c r="B497" s="520"/>
      <c r="C497" s="520"/>
      <c r="D497" s="520"/>
      <c r="E497" s="520"/>
      <c r="F497" s="520"/>
      <c r="G497" s="520"/>
      <c r="H497" s="520"/>
      <c r="I497" s="237"/>
      <c r="J497" s="180"/>
      <c r="K497" s="180"/>
      <c r="L497" s="180"/>
      <c r="M497" s="180"/>
      <c r="N497" s="180"/>
      <c r="O497" s="180"/>
      <c r="P497" s="180"/>
      <c r="Q497" s="214"/>
      <c r="R497" s="180"/>
      <c r="S497" s="180"/>
      <c r="T497" s="215"/>
      <c r="U497" s="180"/>
      <c r="V497" s="180"/>
      <c r="W497" s="180"/>
      <c r="X497" s="180"/>
      <c r="Y497" s="214"/>
      <c r="Z497" s="214"/>
      <c r="AA497" s="214"/>
      <c r="AB497" s="214"/>
      <c r="AC497" s="214"/>
      <c r="AD497" s="214"/>
      <c r="AE497" s="214"/>
      <c r="AF497" s="214"/>
      <c r="AG497" s="180"/>
      <c r="AH497" s="180"/>
      <c r="AI497" s="180"/>
      <c r="AJ497" s="180"/>
      <c r="AK497" s="180"/>
      <c r="AL497" s="180"/>
      <c r="AM497" s="245"/>
      <c r="AN497" s="245"/>
      <c r="AO497" s="180"/>
      <c r="AP497" s="180"/>
      <c r="AQ497" s="180"/>
      <c r="AR497" s="180"/>
      <c r="AS497" s="180"/>
      <c r="AT497" s="180"/>
      <c r="AU497" s="180"/>
      <c r="AV497" s="201"/>
      <c r="AW497" s="207"/>
      <c r="AX497" s="208"/>
      <c r="AY497" s="208"/>
      <c r="AZ497" s="208"/>
      <c r="BA497" s="208"/>
      <c r="BB497" s="208"/>
      <c r="BC497" s="242"/>
    </row>
    <row r="498" spans="2:55" ht="12.75" customHeight="1">
      <c r="B498" s="520"/>
      <c r="C498" s="520"/>
      <c r="D498" s="520"/>
      <c r="E498" s="520"/>
      <c r="F498" s="520"/>
      <c r="G498" s="520"/>
      <c r="H498" s="520"/>
      <c r="I498" s="237"/>
      <c r="J498" s="180"/>
      <c r="K498" s="180"/>
      <c r="L498" s="180"/>
      <c r="M498" s="180"/>
      <c r="N498" s="180"/>
      <c r="O498" s="180"/>
      <c r="P498" s="180"/>
      <c r="Q498" s="214"/>
      <c r="R498" s="180"/>
      <c r="S498" s="180"/>
      <c r="T498" s="215"/>
      <c r="U498" s="180"/>
      <c r="V498" s="180"/>
      <c r="W498" s="180"/>
      <c r="X498" s="180"/>
      <c r="Y498" s="214"/>
      <c r="Z498" s="214"/>
      <c r="AA498" s="214"/>
      <c r="AB498" s="214"/>
      <c r="AC498" s="214"/>
      <c r="AD498" s="214"/>
      <c r="AE498" s="214"/>
      <c r="AF498" s="214"/>
      <c r="AG498" s="180"/>
      <c r="AH498" s="180"/>
      <c r="AI498" s="180"/>
      <c r="AJ498" s="180"/>
      <c r="AK498" s="180"/>
      <c r="AL498" s="180"/>
      <c r="AM498" s="245"/>
      <c r="AN498" s="245"/>
      <c r="AO498" s="180"/>
      <c r="AP498" s="180"/>
      <c r="AQ498" s="180"/>
      <c r="AR498" s="180"/>
      <c r="AS498" s="180"/>
      <c r="AT498" s="180"/>
      <c r="AU498" s="180"/>
      <c r="AV498" s="201"/>
      <c r="AW498" s="207"/>
      <c r="AX498" s="208"/>
      <c r="AY498" s="208"/>
      <c r="AZ498" s="208"/>
      <c r="BA498" s="208"/>
      <c r="BB498" s="208"/>
      <c r="BC498" s="242"/>
    </row>
    <row r="499" spans="2:55" ht="12.75" customHeight="1">
      <c r="B499" s="260"/>
      <c r="C499" s="176"/>
      <c r="D499" s="176"/>
      <c r="E499" s="176"/>
      <c r="F499" s="176"/>
      <c r="G499" s="213"/>
      <c r="H499" s="256"/>
      <c r="I499" s="237"/>
      <c r="J499" s="180"/>
      <c r="K499" s="180"/>
      <c r="L499" s="180"/>
      <c r="M499" s="180"/>
      <c r="N499" s="180"/>
      <c r="O499" s="180"/>
      <c r="P499" s="180"/>
      <c r="Q499" s="214"/>
      <c r="R499" s="180"/>
      <c r="S499" s="180"/>
      <c r="T499" s="215"/>
      <c r="U499" s="180"/>
      <c r="V499" s="180"/>
      <c r="W499" s="180"/>
      <c r="X499" s="180"/>
      <c r="Y499" s="214"/>
      <c r="Z499" s="214"/>
      <c r="AA499" s="214"/>
      <c r="AB499" s="214"/>
      <c r="AC499" s="214"/>
      <c r="AD499" s="214"/>
      <c r="AE499" s="214"/>
      <c r="AF499" s="214"/>
      <c r="AG499" s="180"/>
      <c r="AH499" s="180"/>
      <c r="AI499" s="180"/>
      <c r="AJ499" s="180"/>
      <c r="AK499" s="180"/>
      <c r="AL499" s="180"/>
      <c r="AM499" s="245"/>
      <c r="AN499" s="245"/>
      <c r="AO499" s="180"/>
      <c r="AP499" s="180"/>
      <c r="AQ499" s="180"/>
      <c r="AR499" s="180"/>
      <c r="AS499" s="180"/>
      <c r="AT499" s="180"/>
      <c r="AU499" s="180"/>
      <c r="AV499" s="201"/>
      <c r="AW499" s="207"/>
      <c r="AX499" s="208"/>
      <c r="AY499" s="208"/>
      <c r="AZ499" s="208"/>
      <c r="BA499" s="208"/>
      <c r="BB499" s="208"/>
      <c r="BC499" s="242"/>
    </row>
    <row r="500" spans="2:55" ht="12.75" customHeight="1">
      <c r="B500" s="260"/>
      <c r="C500" s="176"/>
      <c r="D500" s="176"/>
      <c r="E500" s="176"/>
      <c r="F500" s="176"/>
      <c r="G500" s="213"/>
      <c r="H500" s="256"/>
      <c r="I500" s="237"/>
      <c r="J500" s="180"/>
      <c r="K500" s="180"/>
      <c r="L500" s="180"/>
      <c r="M500" s="180"/>
      <c r="N500" s="180"/>
      <c r="O500" s="180"/>
      <c r="P500" s="180"/>
      <c r="Q500" s="214"/>
      <c r="R500" s="180"/>
      <c r="S500" s="180"/>
      <c r="T500" s="215"/>
      <c r="U500" s="180"/>
      <c r="V500" s="180"/>
      <c r="W500" s="180"/>
      <c r="X500" s="180"/>
      <c r="Y500" s="214"/>
      <c r="Z500" s="214"/>
      <c r="AA500" s="214"/>
      <c r="AB500" s="214"/>
      <c r="AC500" s="214"/>
      <c r="AD500" s="214"/>
      <c r="AE500" s="214"/>
      <c r="AF500" s="214"/>
      <c r="AG500" s="180"/>
      <c r="AH500" s="180"/>
      <c r="AI500" s="180"/>
      <c r="AJ500" s="180"/>
      <c r="AK500" s="180"/>
      <c r="AL500" s="180"/>
      <c r="AM500" s="245"/>
      <c r="AN500" s="245"/>
      <c r="AO500" s="180"/>
      <c r="AP500" s="180"/>
      <c r="AQ500" s="180"/>
      <c r="AR500" s="180"/>
      <c r="AS500" s="180"/>
      <c r="AT500" s="180"/>
      <c r="AU500" s="180"/>
      <c r="AV500" s="201"/>
      <c r="AW500" s="207"/>
      <c r="AX500" s="208"/>
      <c r="AY500" s="208"/>
      <c r="AZ500" s="208"/>
      <c r="BA500" s="208"/>
      <c r="BB500" s="208"/>
      <c r="BC500" s="242"/>
    </row>
    <row r="501" spans="2:55" ht="12.75" customHeight="1">
      <c r="B501" s="260"/>
      <c r="C501" s="176"/>
      <c r="D501" s="176"/>
      <c r="E501" s="176"/>
      <c r="F501" s="176"/>
      <c r="G501" s="213"/>
      <c r="H501" s="256"/>
      <c r="I501" s="237"/>
      <c r="J501" s="180"/>
      <c r="K501" s="180"/>
      <c r="L501" s="180"/>
      <c r="M501" s="180"/>
      <c r="N501" s="180"/>
      <c r="O501" s="180"/>
      <c r="P501" s="180"/>
      <c r="Q501" s="214"/>
      <c r="R501" s="180"/>
      <c r="S501" s="180"/>
      <c r="T501" s="215"/>
      <c r="U501" s="180"/>
      <c r="V501" s="180"/>
      <c r="W501" s="180"/>
      <c r="X501" s="180"/>
      <c r="Y501" s="214"/>
      <c r="Z501" s="214"/>
      <c r="AA501" s="214"/>
      <c r="AB501" s="214"/>
      <c r="AC501" s="214"/>
      <c r="AD501" s="214"/>
      <c r="AE501" s="214"/>
      <c r="AF501" s="214"/>
      <c r="AG501" s="180"/>
      <c r="AH501" s="180"/>
      <c r="AI501" s="180"/>
      <c r="AJ501" s="180"/>
      <c r="AK501" s="180"/>
      <c r="AL501" s="180"/>
      <c r="AM501" s="245"/>
      <c r="AN501" s="245"/>
      <c r="AO501" s="180"/>
      <c r="AP501" s="180"/>
      <c r="AQ501" s="180"/>
      <c r="AR501" s="180"/>
      <c r="AS501" s="180"/>
      <c r="AT501" s="180"/>
      <c r="AU501" s="180"/>
      <c r="AV501" s="201"/>
      <c r="AW501" s="207"/>
      <c r="AX501" s="208"/>
      <c r="AY501" s="208"/>
      <c r="AZ501" s="208"/>
      <c r="BA501" s="208"/>
      <c r="BB501" s="208"/>
      <c r="BC501" s="242"/>
    </row>
    <row r="502" spans="2:55" ht="12.75" customHeight="1">
      <c r="B502" s="260"/>
      <c r="C502" s="176"/>
      <c r="D502" s="176"/>
      <c r="E502" s="176"/>
      <c r="F502" s="176"/>
      <c r="G502" s="213"/>
      <c r="H502" s="256"/>
      <c r="I502" s="237"/>
      <c r="J502" s="180"/>
      <c r="K502" s="180"/>
      <c r="L502" s="180"/>
      <c r="M502" s="180"/>
      <c r="N502" s="180"/>
      <c r="O502" s="180"/>
      <c r="P502" s="180"/>
      <c r="Q502" s="214"/>
      <c r="R502" s="180"/>
      <c r="S502" s="180"/>
      <c r="T502" s="215"/>
      <c r="U502" s="180"/>
      <c r="V502" s="180"/>
      <c r="W502" s="180"/>
      <c r="X502" s="180"/>
      <c r="Y502" s="214"/>
      <c r="Z502" s="214"/>
      <c r="AA502" s="214"/>
      <c r="AB502" s="214"/>
      <c r="AC502" s="214"/>
      <c r="AD502" s="214"/>
      <c r="AE502" s="214"/>
      <c r="AF502" s="214"/>
      <c r="AG502" s="180"/>
      <c r="AH502" s="180"/>
      <c r="AI502" s="180"/>
      <c r="AJ502" s="180"/>
      <c r="AK502" s="180"/>
      <c r="AL502" s="180"/>
      <c r="AM502" s="245"/>
      <c r="AN502" s="245"/>
      <c r="AO502" s="180"/>
      <c r="AP502" s="180"/>
      <c r="AQ502" s="180"/>
      <c r="AR502" s="180"/>
      <c r="AS502" s="180"/>
      <c r="AT502" s="180"/>
      <c r="AU502" s="180"/>
      <c r="AV502" s="201"/>
      <c r="AW502" s="207"/>
      <c r="AX502" s="208"/>
      <c r="AY502" s="208"/>
      <c r="AZ502" s="208"/>
      <c r="BA502" s="208"/>
      <c r="BB502" s="208"/>
      <c r="BC502" s="242"/>
    </row>
    <row r="503" spans="2:55" ht="12.75" customHeight="1">
      <c r="B503" s="260"/>
      <c r="C503" s="176"/>
      <c r="D503" s="176"/>
      <c r="E503" s="176"/>
      <c r="F503" s="176"/>
      <c r="G503" s="213"/>
      <c r="H503" s="256"/>
      <c r="I503" s="237"/>
      <c r="J503" s="180"/>
      <c r="K503" s="180"/>
      <c r="L503" s="180"/>
      <c r="M503" s="180"/>
      <c r="N503" s="180"/>
      <c r="O503" s="180"/>
      <c r="P503" s="180"/>
      <c r="Q503" s="214"/>
      <c r="R503" s="180"/>
      <c r="S503" s="180"/>
      <c r="T503" s="215"/>
      <c r="U503" s="180"/>
      <c r="V503" s="180"/>
      <c r="W503" s="180"/>
      <c r="X503" s="180"/>
      <c r="Y503" s="214"/>
      <c r="Z503" s="214"/>
      <c r="AA503" s="214"/>
      <c r="AB503" s="214"/>
      <c r="AC503" s="214"/>
      <c r="AD503" s="214"/>
      <c r="AE503" s="214"/>
      <c r="AF503" s="214"/>
      <c r="AG503" s="180"/>
      <c r="AH503" s="180"/>
      <c r="AI503" s="180"/>
      <c r="AJ503" s="180"/>
      <c r="AK503" s="180"/>
      <c r="AL503" s="180"/>
      <c r="AM503" s="245"/>
      <c r="AN503" s="245"/>
      <c r="AO503" s="180"/>
      <c r="AP503" s="180"/>
      <c r="AQ503" s="180"/>
      <c r="AR503" s="180"/>
      <c r="AS503" s="180"/>
      <c r="AT503" s="180"/>
      <c r="AU503" s="180"/>
      <c r="AV503" s="201"/>
      <c r="AW503" s="207"/>
      <c r="AX503" s="208"/>
      <c r="AY503" s="208"/>
      <c r="AZ503" s="208"/>
      <c r="BA503" s="208"/>
      <c r="BB503" s="208"/>
      <c r="BC503" s="242"/>
    </row>
    <row r="504" spans="2:55" ht="12.75" customHeight="1">
      <c r="B504" s="260"/>
      <c r="C504" s="176"/>
      <c r="D504" s="176"/>
      <c r="E504" s="176"/>
      <c r="F504" s="176"/>
      <c r="G504" s="213"/>
      <c r="H504" s="256"/>
      <c r="I504" s="237"/>
      <c r="J504" s="180"/>
      <c r="K504" s="180"/>
      <c r="L504" s="180"/>
      <c r="M504" s="180"/>
      <c r="N504" s="180"/>
      <c r="O504" s="180"/>
      <c r="P504" s="180"/>
      <c r="Q504" s="214"/>
      <c r="R504" s="180"/>
      <c r="S504" s="180"/>
      <c r="T504" s="215"/>
      <c r="U504" s="180"/>
      <c r="V504" s="180"/>
      <c r="W504" s="180"/>
      <c r="X504" s="180"/>
      <c r="Y504" s="214"/>
      <c r="Z504" s="214"/>
      <c r="AA504" s="214"/>
      <c r="AB504" s="214"/>
      <c r="AC504" s="214"/>
      <c r="AD504" s="214"/>
      <c r="AE504" s="214"/>
      <c r="AF504" s="214"/>
      <c r="AG504" s="180"/>
      <c r="AH504" s="180"/>
      <c r="AI504" s="180"/>
      <c r="AJ504" s="180"/>
      <c r="AK504" s="180"/>
      <c r="AL504" s="180"/>
      <c r="AM504" s="245"/>
      <c r="AN504" s="245"/>
      <c r="AO504" s="180"/>
      <c r="AP504" s="180"/>
      <c r="AQ504" s="180"/>
      <c r="AR504" s="180"/>
      <c r="AS504" s="180"/>
      <c r="AT504" s="180"/>
      <c r="AU504" s="180"/>
      <c r="AV504" s="201"/>
      <c r="AW504" s="207"/>
      <c r="AX504" s="208"/>
      <c r="AY504" s="208"/>
      <c r="AZ504" s="208"/>
      <c r="BA504" s="208"/>
      <c r="BB504" s="208"/>
      <c r="BC504" s="242"/>
    </row>
    <row r="505" spans="2:55" ht="12.75" customHeight="1">
      <c r="B505" s="260"/>
      <c r="C505" s="176"/>
      <c r="D505" s="176"/>
      <c r="E505" s="176"/>
      <c r="F505" s="176"/>
      <c r="G505" s="213"/>
      <c r="H505" s="256"/>
      <c r="I505" s="237"/>
      <c r="J505" s="180"/>
      <c r="K505" s="180"/>
      <c r="L505" s="180"/>
      <c r="M505" s="180"/>
      <c r="N505" s="180"/>
      <c r="O505" s="180"/>
      <c r="P505" s="180"/>
      <c r="Q505" s="214"/>
      <c r="R505" s="180"/>
      <c r="S505" s="180"/>
      <c r="T505" s="208"/>
      <c r="U505" s="208"/>
      <c r="V505" s="208"/>
      <c r="W505" s="180"/>
      <c r="X505" s="180"/>
      <c r="Y505" s="214"/>
      <c r="Z505" s="214"/>
      <c r="AA505" s="214"/>
      <c r="AB505" s="214"/>
      <c r="AC505" s="214"/>
      <c r="AD505" s="214"/>
      <c r="AE505" s="214"/>
      <c r="AF505" s="214"/>
      <c r="AG505" s="180"/>
      <c r="AH505" s="180"/>
      <c r="AI505" s="180"/>
      <c r="AJ505" s="180"/>
      <c r="AK505" s="180"/>
      <c r="AL505" s="180"/>
      <c r="AM505" s="245"/>
      <c r="AN505" s="245"/>
      <c r="AO505" s="180"/>
      <c r="AP505" s="180"/>
      <c r="AQ505" s="180"/>
      <c r="AR505" s="180"/>
      <c r="AS505" s="180"/>
      <c r="AT505" s="180"/>
      <c r="AU505" s="180"/>
      <c r="AV505" s="201"/>
      <c r="AW505" s="207"/>
      <c r="AX505" s="208"/>
      <c r="AY505" s="208"/>
      <c r="AZ505" s="208"/>
      <c r="BA505" s="208"/>
      <c r="BB505" s="208"/>
      <c r="BC505" s="242"/>
    </row>
    <row r="506" spans="2:55" ht="12.75" customHeight="1">
      <c r="B506" s="260"/>
      <c r="C506" s="176"/>
      <c r="D506" s="176"/>
      <c r="E506" s="176"/>
      <c r="F506" s="176"/>
      <c r="G506" s="213"/>
      <c r="H506" s="256"/>
      <c r="I506" s="237"/>
      <c r="J506" s="189" t="s">
        <v>171</v>
      </c>
      <c r="K506" s="208"/>
      <c r="L506" s="208"/>
      <c r="M506" s="208"/>
      <c r="N506" s="208"/>
      <c r="O506" s="208"/>
      <c r="P506" s="208"/>
      <c r="Q506" s="208"/>
      <c r="R506" s="208"/>
      <c r="S506" s="208"/>
      <c r="T506" s="575">
        <v>0.7</v>
      </c>
      <c r="U506" s="575"/>
      <c r="V506" s="575"/>
      <c r="W506" s="189" t="s">
        <v>178</v>
      </c>
      <c r="X506" s="208"/>
      <c r="Y506" s="208"/>
      <c r="Z506" s="208"/>
      <c r="AA506" s="208"/>
      <c r="AB506" s="208"/>
      <c r="AC506" s="208"/>
      <c r="AD506" s="208"/>
      <c r="AE506" s="208"/>
      <c r="AF506" s="208"/>
      <c r="AG506" s="208"/>
      <c r="AH506" s="208"/>
      <c r="AI506" s="208"/>
      <c r="AJ506" s="189"/>
      <c r="AK506" s="208"/>
      <c r="AL506" s="208"/>
      <c r="AM506" s="208"/>
      <c r="AN506" s="208"/>
      <c r="AO506" s="208"/>
      <c r="AP506" s="208"/>
      <c r="AQ506" s="208"/>
      <c r="AR506" s="208"/>
      <c r="AS506" s="208"/>
      <c r="AT506" s="208"/>
      <c r="AU506" s="208"/>
      <c r="AV506" s="201"/>
      <c r="AW506" s="207"/>
      <c r="AX506" s="208"/>
      <c r="AY506" s="208"/>
      <c r="AZ506" s="208"/>
      <c r="BA506" s="208"/>
      <c r="BB506" s="208"/>
      <c r="BC506" s="242"/>
    </row>
    <row r="507" spans="2:55" ht="12.75" customHeight="1">
      <c r="B507" s="260"/>
      <c r="C507" s="176"/>
      <c r="D507" s="176"/>
      <c r="E507" s="176"/>
      <c r="F507" s="176"/>
      <c r="G507" s="213"/>
      <c r="H507" s="256"/>
      <c r="I507" s="237"/>
      <c r="J507" s="189" t="s">
        <v>177</v>
      </c>
      <c r="K507" s="208"/>
      <c r="L507" s="208"/>
      <c r="M507" s="208"/>
      <c r="N507" s="208"/>
      <c r="O507" s="208"/>
      <c r="P507" s="208"/>
      <c r="Q507" s="208"/>
      <c r="R507" s="208"/>
      <c r="S507" s="208"/>
      <c r="T507" s="208"/>
      <c r="U507" s="208"/>
      <c r="V507" s="208"/>
      <c r="W507" s="208"/>
      <c r="X507" s="579">
        <f>INDEX('DATA SHEET'!B136:AJ137, MATCH(J508, 'DATA SHEET'!A136:A137, 0), MATCH(T506, 'DATA SHEET'!B135:AJ135, 0))</f>
        <v>58</v>
      </c>
      <c r="Y507" s="578"/>
      <c r="Z507" s="578"/>
      <c r="AA507" s="578"/>
      <c r="AB507" s="578"/>
      <c r="AC507" s="578"/>
      <c r="AD507" s="578"/>
      <c r="AE507" s="578"/>
      <c r="AF507" s="578"/>
      <c r="AG507" s="578"/>
      <c r="AH507" s="189" t="s">
        <v>172</v>
      </c>
      <c r="AI507" s="208"/>
      <c r="AJ507" s="189"/>
      <c r="AK507" s="208"/>
      <c r="AL507" s="208"/>
      <c r="AM507" s="208"/>
      <c r="AN507" s="208"/>
      <c r="AO507" s="208"/>
      <c r="AP507" s="208"/>
      <c r="AQ507" s="208"/>
      <c r="AR507" s="208"/>
      <c r="AS507" s="208"/>
      <c r="AT507" s="208"/>
      <c r="AU507" s="208"/>
      <c r="AV507" s="201"/>
      <c r="AW507" s="207"/>
      <c r="AX507" s="208"/>
      <c r="AY507" s="208"/>
      <c r="AZ507" s="208"/>
      <c r="BA507" s="208"/>
      <c r="BB507" s="208"/>
      <c r="BC507" s="242"/>
    </row>
    <row r="508" spans="2:55" ht="12.75" customHeight="1">
      <c r="B508" s="260"/>
      <c r="C508" s="176"/>
      <c r="D508" s="176"/>
      <c r="E508" s="176"/>
      <c r="F508" s="176"/>
      <c r="G508" s="213"/>
      <c r="H508" s="256"/>
      <c r="I508" s="237"/>
      <c r="J508" s="586" t="s">
        <v>175</v>
      </c>
      <c r="K508" s="587"/>
      <c r="L508" s="587"/>
      <c r="M508" s="587"/>
      <c r="N508" s="587"/>
      <c r="O508" s="587"/>
      <c r="P508" s="587"/>
      <c r="Q508" s="587"/>
      <c r="R508" s="587"/>
      <c r="S508" s="189" t="s">
        <v>179</v>
      </c>
      <c r="T508" s="208"/>
      <c r="U508" s="208"/>
      <c r="V508" s="208"/>
      <c r="W508" s="208"/>
      <c r="X508" s="208"/>
      <c r="Y508" s="208"/>
      <c r="Z508" s="208"/>
      <c r="AA508" s="208"/>
      <c r="AB508" s="208"/>
      <c r="AC508" s="208"/>
      <c r="AD508" s="208"/>
      <c r="AE508" s="208"/>
      <c r="AF508" s="208"/>
      <c r="AG508" s="208"/>
      <c r="AH508" s="208"/>
      <c r="AI508" s="208"/>
      <c r="AJ508" s="189"/>
      <c r="AK508" s="208"/>
      <c r="AL508" s="208"/>
      <c r="AM508" s="208"/>
      <c r="AN508" s="208"/>
      <c r="AO508" s="208"/>
      <c r="AP508" s="208"/>
      <c r="AQ508" s="208"/>
      <c r="AR508" s="208"/>
      <c r="AS508" s="208"/>
      <c r="AT508" s="208"/>
      <c r="AU508" s="208"/>
      <c r="AV508" s="201"/>
      <c r="AW508" s="207"/>
      <c r="AX508" s="208"/>
      <c r="AY508" s="208"/>
      <c r="AZ508" s="208"/>
      <c r="BA508" s="208"/>
      <c r="BB508" s="208"/>
      <c r="BC508" s="242"/>
    </row>
    <row r="509" spans="2:55" ht="12.75" customHeight="1">
      <c r="B509" s="260"/>
      <c r="C509" s="176"/>
      <c r="D509" s="176"/>
      <c r="E509" s="176"/>
      <c r="F509" s="176"/>
      <c r="G509" s="213"/>
      <c r="H509" s="256"/>
      <c r="I509" s="237"/>
      <c r="J509" s="180"/>
      <c r="K509" s="180"/>
      <c r="L509" s="180"/>
      <c r="M509" s="180"/>
      <c r="N509" s="180"/>
      <c r="O509" s="180"/>
      <c r="P509" s="180"/>
      <c r="Q509" s="180"/>
      <c r="R509" s="208"/>
      <c r="S509" s="208"/>
      <c r="T509" s="208"/>
      <c r="U509" s="208"/>
      <c r="V509" s="180"/>
      <c r="W509" s="180"/>
      <c r="X509" s="180"/>
      <c r="Y509" s="180"/>
      <c r="Z509" s="180"/>
      <c r="AA509" s="180"/>
      <c r="AB509" s="180"/>
      <c r="AC509" s="180"/>
      <c r="AD509" s="180"/>
      <c r="AE509" s="180"/>
      <c r="AF509" s="180"/>
      <c r="AG509" s="180"/>
      <c r="AH509" s="180"/>
      <c r="AI509" s="180"/>
      <c r="AJ509" s="180"/>
      <c r="AK509" s="180"/>
      <c r="AL509" s="180"/>
      <c r="AM509" s="180"/>
      <c r="AN509" s="180"/>
      <c r="AO509" s="180"/>
      <c r="AP509" s="180"/>
      <c r="AQ509" s="180"/>
      <c r="AR509" s="180"/>
      <c r="AS509" s="180"/>
      <c r="AT509" s="180"/>
      <c r="AU509" s="180"/>
      <c r="AV509" s="201"/>
      <c r="AW509" s="207"/>
      <c r="AX509" s="208"/>
      <c r="AY509" s="208"/>
      <c r="AZ509" s="208"/>
      <c r="BA509" s="208"/>
      <c r="BB509" s="208"/>
      <c r="BC509" s="242"/>
    </row>
    <row r="510" spans="2:55" ht="12.75" customHeight="1">
      <c r="B510" s="260"/>
      <c r="C510" s="176"/>
      <c r="D510" s="176"/>
      <c r="E510" s="176"/>
      <c r="F510" s="176"/>
      <c r="G510" s="213"/>
      <c r="H510" s="256"/>
      <c r="I510" s="237"/>
      <c r="J510" s="180"/>
      <c r="K510" s="180"/>
      <c r="L510" s="180"/>
      <c r="M510" s="180"/>
      <c r="N510" s="180"/>
      <c r="O510" s="180"/>
      <c r="P510" s="180"/>
      <c r="Q510" s="180"/>
      <c r="R510" s="180"/>
      <c r="S510" s="180"/>
      <c r="T510" s="180"/>
      <c r="U510" s="180"/>
      <c r="V510" s="180"/>
      <c r="W510" s="180"/>
      <c r="X510" s="180"/>
      <c r="Y510" s="180"/>
      <c r="Z510" s="180"/>
      <c r="AA510" s="180"/>
      <c r="AB510" s="180"/>
      <c r="AC510" s="180"/>
      <c r="AD510" s="180"/>
      <c r="AE510" s="180"/>
      <c r="AF510" s="180"/>
      <c r="AG510" s="180"/>
      <c r="AH510" s="180"/>
      <c r="AI510" s="180"/>
      <c r="AJ510" s="180"/>
      <c r="AK510" s="180"/>
      <c r="AL510" s="180"/>
      <c r="AM510" s="180"/>
      <c r="AN510" s="180"/>
      <c r="AO510" s="180"/>
      <c r="AP510" s="180"/>
      <c r="AQ510" s="180"/>
      <c r="AR510" s="180"/>
      <c r="AS510" s="180"/>
      <c r="AT510" s="180"/>
      <c r="AU510" s="180"/>
      <c r="AV510" s="201"/>
      <c r="AW510" s="207"/>
      <c r="AX510" s="208"/>
      <c r="AY510" s="208"/>
      <c r="AZ510" s="208"/>
      <c r="BA510" s="208"/>
      <c r="BB510" s="208"/>
      <c r="BC510" s="242"/>
    </row>
    <row r="511" spans="2:55" ht="12.75" customHeight="1">
      <c r="B511" s="260"/>
      <c r="C511" s="176"/>
      <c r="D511" s="176"/>
      <c r="E511" s="176"/>
      <c r="F511" s="176"/>
      <c r="G511" s="213"/>
      <c r="H511" s="256"/>
      <c r="I511" s="237"/>
      <c r="J511" s="180"/>
      <c r="K511" s="180"/>
      <c r="L511" s="180"/>
      <c r="M511" s="180"/>
      <c r="N511" s="385">
        <f>AP475</f>
        <v>13.997979501102417</v>
      </c>
      <c r="O511" s="385"/>
      <c r="P511" s="385"/>
      <c r="Q511" s="385"/>
      <c r="R511" s="385"/>
      <c r="S511" s="385"/>
      <c r="T511" s="385"/>
      <c r="U511" s="385"/>
      <c r="V511" s="385"/>
      <c r="W511" s="385"/>
      <c r="X511" s="385"/>
      <c r="Y511" s="208"/>
      <c r="Z511" s="208"/>
      <c r="AA511" s="208"/>
      <c r="AB511" s="180" t="s">
        <v>173</v>
      </c>
      <c r="AC511" s="208"/>
      <c r="AD511" s="208"/>
      <c r="AE511" s="208"/>
      <c r="AF511" s="214"/>
      <c r="AG511" s="180"/>
      <c r="AH511" s="578">
        <f>X507</f>
        <v>58</v>
      </c>
      <c r="AI511" s="578"/>
      <c r="AJ511" s="578"/>
      <c r="AK511" s="578"/>
      <c r="AL511" s="578"/>
      <c r="AM511" s="578"/>
      <c r="AN511" s="578"/>
      <c r="AO511" s="578"/>
      <c r="AP511" s="578"/>
      <c r="AQ511" s="180"/>
      <c r="AR511" s="180"/>
      <c r="AS511" s="180"/>
      <c r="AT511" s="180"/>
      <c r="AU511" s="180"/>
      <c r="AV511" s="201"/>
      <c r="AW511" s="583" t="str">
        <f>IF(N511&lt;AH511,  "PASS", "FAIL")</f>
        <v>PASS</v>
      </c>
      <c r="AX511" s="584"/>
      <c r="AY511" s="584"/>
      <c r="AZ511" s="584"/>
      <c r="BA511" s="584"/>
      <c r="BB511" s="584"/>
      <c r="BC511" s="585"/>
    </row>
    <row r="512" spans="2:55" ht="12.75" customHeight="1">
      <c r="B512" s="260"/>
      <c r="C512" s="176"/>
      <c r="D512" s="176"/>
      <c r="E512" s="176"/>
      <c r="F512" s="176"/>
      <c r="G512" s="213"/>
      <c r="H512" s="256"/>
      <c r="I512" s="237"/>
      <c r="J512" s="180"/>
      <c r="K512" s="180"/>
      <c r="L512" s="180"/>
      <c r="M512" s="180"/>
      <c r="N512" s="180"/>
      <c r="O512" s="180"/>
      <c r="P512" s="180"/>
      <c r="Q512" s="214"/>
      <c r="R512" s="180"/>
      <c r="S512" s="180"/>
      <c r="T512" s="215"/>
      <c r="U512" s="180"/>
      <c r="V512" s="180"/>
      <c r="W512" s="180"/>
      <c r="X512" s="180"/>
      <c r="Y512" s="214"/>
      <c r="Z512" s="214"/>
      <c r="AA512" s="214"/>
      <c r="AB512" s="214"/>
      <c r="AC512" s="214"/>
      <c r="AD512" s="214"/>
      <c r="AE512" s="214"/>
      <c r="AF512" s="214"/>
      <c r="AG512" s="180"/>
      <c r="AH512" s="180"/>
      <c r="AI512" s="180"/>
      <c r="AJ512" s="180"/>
      <c r="AK512" s="180"/>
      <c r="AL512" s="180"/>
      <c r="AM512" s="245"/>
      <c r="AN512" s="245"/>
      <c r="AO512" s="180"/>
      <c r="AP512" s="180"/>
      <c r="AQ512" s="180"/>
      <c r="AR512" s="180"/>
      <c r="AS512" s="180"/>
      <c r="AT512" s="180"/>
      <c r="AU512" s="180"/>
      <c r="AV512" s="201"/>
      <c r="AW512" s="207"/>
      <c r="AX512" s="208"/>
      <c r="AY512" s="208"/>
      <c r="AZ512" s="208"/>
      <c r="BA512" s="208"/>
      <c r="BB512" s="208"/>
      <c r="BC512" s="242"/>
    </row>
    <row r="513" spans="2:55" ht="12.75" customHeight="1">
      <c r="B513" s="260"/>
      <c r="C513" s="176"/>
      <c r="D513" s="176"/>
      <c r="E513" s="176"/>
      <c r="F513" s="176"/>
      <c r="G513" s="213"/>
      <c r="H513" s="256"/>
      <c r="I513" s="237"/>
      <c r="J513" s="375" t="s">
        <v>283</v>
      </c>
      <c r="K513" s="375"/>
      <c r="L513" s="375"/>
      <c r="M513" s="375"/>
      <c r="N513" s="375"/>
      <c r="O513" s="375"/>
      <c r="P513" s="375"/>
      <c r="Q513" s="375"/>
      <c r="R513" s="375"/>
      <c r="S513" s="375"/>
      <c r="T513" s="375"/>
      <c r="U513" s="375"/>
      <c r="V513" s="375"/>
      <c r="W513" s="375"/>
      <c r="X513" s="375"/>
      <c r="Y513" s="375"/>
      <c r="Z513" s="375"/>
      <c r="AA513" s="375"/>
      <c r="AB513" s="375"/>
      <c r="AC513" s="375"/>
      <c r="AD513" s="375"/>
      <c r="AE513" s="375"/>
      <c r="AF513" s="375"/>
      <c r="AG513" s="375"/>
      <c r="AH513" s="375"/>
      <c r="AI513" s="375"/>
      <c r="AJ513" s="375"/>
      <c r="AK513" s="375"/>
      <c r="AL513" s="375"/>
      <c r="AM513" s="375"/>
      <c r="AN513" s="375"/>
      <c r="AO513" s="375"/>
      <c r="AP513" s="375"/>
      <c r="AQ513" s="375"/>
      <c r="AR513" s="375"/>
      <c r="AS513" s="375"/>
      <c r="AT513" s="375"/>
      <c r="AU513" s="375"/>
      <c r="AV513" s="201"/>
      <c r="AW513" s="207"/>
      <c r="AX513" s="208"/>
      <c r="AY513" s="208"/>
      <c r="AZ513" s="208"/>
      <c r="BA513" s="208"/>
      <c r="BB513" s="208"/>
      <c r="BC513" s="242"/>
    </row>
    <row r="514" spans="2:55" ht="12.75" customHeight="1">
      <c r="B514" s="260"/>
      <c r="C514" s="176"/>
      <c r="D514" s="176"/>
      <c r="E514" s="176"/>
      <c r="F514" s="176"/>
      <c r="G514" s="213"/>
      <c r="H514" s="256"/>
      <c r="I514" s="237"/>
      <c r="J514" s="180"/>
      <c r="K514" s="180"/>
      <c r="L514" s="180"/>
      <c r="M514" s="180"/>
      <c r="N514" s="180"/>
      <c r="O514" s="180"/>
      <c r="P514" s="180"/>
      <c r="Q514" s="214"/>
      <c r="R514" s="180"/>
      <c r="S514" s="180"/>
      <c r="T514" s="215"/>
      <c r="U514" s="180"/>
      <c r="V514" s="180"/>
      <c r="W514" s="180"/>
      <c r="X514" s="180"/>
      <c r="Y514" s="214"/>
      <c r="Z514" s="214"/>
      <c r="AA514" s="214"/>
      <c r="AB514" s="214"/>
      <c r="AC514" s="214"/>
      <c r="AD514" s="214"/>
      <c r="AE514" s="214"/>
      <c r="AF514" s="214"/>
      <c r="AG514" s="180"/>
      <c r="AH514" s="180"/>
      <c r="AI514" s="180"/>
      <c r="AJ514" s="180"/>
      <c r="AK514" s="180"/>
      <c r="AL514" s="180"/>
      <c r="AM514" s="245"/>
      <c r="AN514" s="245"/>
      <c r="AO514" s="180"/>
      <c r="AP514" s="180"/>
      <c r="AQ514" s="180"/>
      <c r="AR514" s="180"/>
      <c r="AS514" s="180"/>
      <c r="AT514" s="180"/>
      <c r="AU514" s="180"/>
      <c r="AV514" s="201"/>
      <c r="AW514" s="207"/>
      <c r="AX514" s="208"/>
      <c r="AY514" s="208"/>
      <c r="AZ514" s="208"/>
      <c r="BA514" s="208"/>
      <c r="BB514" s="208"/>
      <c r="BC514" s="242"/>
    </row>
    <row r="515" spans="2:55" ht="12.75" customHeight="1">
      <c r="B515" s="260"/>
      <c r="C515" s="176"/>
      <c r="D515" s="176"/>
      <c r="E515" s="176"/>
      <c r="F515" s="176"/>
      <c r="G515" s="213"/>
      <c r="H515" s="256"/>
      <c r="I515" s="237"/>
      <c r="J515" s="307" t="s">
        <v>186</v>
      </c>
      <c r="K515" s="180"/>
      <c r="L515" s="180"/>
      <c r="M515" s="180"/>
      <c r="N515" s="180"/>
      <c r="O515" s="180"/>
      <c r="P515" s="180"/>
      <c r="Q515" s="214"/>
      <c r="R515" s="180"/>
      <c r="S515" s="180"/>
      <c r="T515" s="215"/>
      <c r="U515" s="180"/>
      <c r="V515" s="180"/>
      <c r="W515" s="180"/>
      <c r="X515" s="180"/>
      <c r="Y515" s="214"/>
      <c r="Z515" s="214"/>
      <c r="AA515" s="214"/>
      <c r="AB515" s="214"/>
      <c r="AC515" s="214"/>
      <c r="AD515" s="214"/>
      <c r="AE515" s="214"/>
      <c r="AF515" s="214"/>
      <c r="AG515" s="180"/>
      <c r="AH515" s="180"/>
      <c r="AI515" s="180"/>
      <c r="AJ515" s="180"/>
      <c r="AK515" s="180"/>
      <c r="AL515" s="180"/>
      <c r="AM515" s="245"/>
      <c r="AN515" s="245"/>
      <c r="AO515" s="180"/>
      <c r="AP515" s="180"/>
      <c r="AQ515" s="180"/>
      <c r="AR515" s="180"/>
      <c r="AS515" s="180"/>
      <c r="AT515" s="180"/>
      <c r="AU515" s="180"/>
      <c r="AV515" s="201"/>
      <c r="AW515" s="207"/>
      <c r="AX515" s="208"/>
      <c r="AY515" s="208"/>
      <c r="AZ515" s="208"/>
      <c r="BA515" s="208"/>
      <c r="BB515" s="208"/>
      <c r="BC515" s="242"/>
    </row>
    <row r="516" spans="2:55" ht="12.75" customHeight="1">
      <c r="B516" s="260"/>
      <c r="C516" s="176"/>
      <c r="D516" s="176"/>
      <c r="E516" s="176"/>
      <c r="F516" s="176"/>
      <c r="G516" s="213"/>
      <c r="H516" s="256"/>
      <c r="I516" s="237"/>
      <c r="J516" s="180"/>
      <c r="K516" s="208"/>
      <c r="L516" s="208"/>
      <c r="M516" s="208"/>
      <c r="N516" s="208"/>
      <c r="O516" s="208"/>
      <c r="P516" s="208"/>
      <c r="Q516" s="208"/>
      <c r="R516" s="208"/>
      <c r="S516" s="208"/>
      <c r="T516" s="208"/>
      <c r="U516" s="208"/>
      <c r="V516" s="208"/>
      <c r="W516" s="208"/>
      <c r="X516" s="208"/>
      <c r="Y516" s="208"/>
      <c r="Z516" s="208"/>
      <c r="AA516" s="208"/>
      <c r="AB516" s="208"/>
      <c r="AC516" s="208"/>
      <c r="AD516" s="208"/>
      <c r="AE516" s="208"/>
      <c r="AF516" s="208"/>
      <c r="AG516" s="208"/>
      <c r="AH516" s="208"/>
      <c r="AI516" s="208"/>
      <c r="AJ516" s="189"/>
      <c r="AK516" s="208"/>
      <c r="AL516" s="208"/>
      <c r="AM516" s="208"/>
      <c r="AN516" s="208"/>
      <c r="AO516" s="208"/>
      <c r="AP516" s="208"/>
      <c r="AQ516" s="208"/>
      <c r="AR516" s="208"/>
      <c r="AS516" s="208"/>
      <c r="AT516" s="208"/>
      <c r="AU516" s="208"/>
      <c r="AV516" s="242"/>
      <c r="AW516" s="207"/>
      <c r="AX516" s="208"/>
      <c r="AY516" s="208"/>
      <c r="AZ516" s="208"/>
      <c r="BA516" s="208"/>
      <c r="BB516" s="208"/>
      <c r="BC516" s="242"/>
    </row>
    <row r="517" spans="2:55" ht="12.75" customHeight="1">
      <c r="B517" s="260"/>
      <c r="C517" s="176"/>
      <c r="D517" s="176"/>
      <c r="E517" s="176"/>
      <c r="F517" s="176"/>
      <c r="G517" s="213"/>
      <c r="H517" s="256"/>
      <c r="I517" s="237"/>
      <c r="J517" s="366" t="s">
        <v>329</v>
      </c>
      <c r="K517" s="367"/>
      <c r="L517" s="367"/>
      <c r="M517" s="367"/>
      <c r="N517" s="367"/>
      <c r="O517" s="367"/>
      <c r="P517" s="367"/>
      <c r="Q517" s="367"/>
      <c r="R517" s="367"/>
      <c r="S517" s="367"/>
      <c r="T517" s="367"/>
      <c r="U517" s="367"/>
      <c r="V517" s="367"/>
      <c r="W517" s="367"/>
      <c r="X517" s="367"/>
      <c r="Y517" s="367"/>
      <c r="Z517" s="367"/>
      <c r="AA517" s="367"/>
      <c r="AB517" s="367"/>
      <c r="AC517" s="367"/>
      <c r="AD517" s="367"/>
      <c r="AE517" s="367"/>
      <c r="AF517" s="367"/>
      <c r="AG517" s="367"/>
      <c r="AH517" s="367"/>
      <c r="AI517" s="367"/>
      <c r="AJ517" s="367"/>
      <c r="AK517" s="367"/>
      <c r="AL517" s="367"/>
      <c r="AM517" s="367"/>
      <c r="AN517" s="367"/>
      <c r="AO517" s="367"/>
      <c r="AP517" s="367"/>
      <c r="AQ517" s="367"/>
      <c r="AR517" s="367"/>
      <c r="AS517" s="367"/>
      <c r="AT517" s="367"/>
      <c r="AU517" s="368"/>
      <c r="AV517" s="201"/>
      <c r="AW517" s="207"/>
      <c r="AX517" s="208"/>
      <c r="AY517" s="208"/>
      <c r="AZ517" s="208"/>
      <c r="BA517" s="208"/>
      <c r="BB517" s="208"/>
      <c r="BC517" s="242"/>
    </row>
    <row r="518" spans="2:55" ht="12.75" customHeight="1">
      <c r="B518" s="260"/>
      <c r="C518" s="176"/>
      <c r="D518" s="176"/>
      <c r="E518" s="176"/>
      <c r="F518" s="176"/>
      <c r="G518" s="213"/>
      <c r="H518" s="256"/>
      <c r="I518" s="237"/>
      <c r="J518" s="369"/>
      <c r="K518" s="370"/>
      <c r="L518" s="370"/>
      <c r="M518" s="370"/>
      <c r="N518" s="370"/>
      <c r="O518" s="370"/>
      <c r="P518" s="370"/>
      <c r="Q518" s="370"/>
      <c r="R518" s="370"/>
      <c r="S518" s="370"/>
      <c r="T518" s="370"/>
      <c r="U518" s="370"/>
      <c r="V518" s="370"/>
      <c r="W518" s="370"/>
      <c r="X518" s="370"/>
      <c r="Y518" s="370"/>
      <c r="Z518" s="370"/>
      <c r="AA518" s="370"/>
      <c r="AB518" s="370"/>
      <c r="AC518" s="370"/>
      <c r="AD518" s="370"/>
      <c r="AE518" s="370"/>
      <c r="AF518" s="370"/>
      <c r="AG518" s="370"/>
      <c r="AH518" s="370"/>
      <c r="AI518" s="370"/>
      <c r="AJ518" s="370"/>
      <c r="AK518" s="370"/>
      <c r="AL518" s="370"/>
      <c r="AM518" s="370"/>
      <c r="AN518" s="370"/>
      <c r="AO518" s="370"/>
      <c r="AP518" s="370"/>
      <c r="AQ518" s="370"/>
      <c r="AR518" s="370"/>
      <c r="AS518" s="370"/>
      <c r="AT518" s="370"/>
      <c r="AU518" s="371"/>
      <c r="AV518" s="201"/>
      <c r="AW518" s="207"/>
      <c r="AX518" s="208"/>
      <c r="AY518" s="208"/>
      <c r="AZ518" s="208"/>
      <c r="BA518" s="208"/>
      <c r="BB518" s="208"/>
      <c r="BC518" s="242"/>
    </row>
    <row r="519" spans="2:55" ht="12.75" customHeight="1">
      <c r="B519" s="260"/>
      <c r="C519" s="176"/>
      <c r="D519" s="176"/>
      <c r="E519" s="176"/>
      <c r="F519" s="176"/>
      <c r="G519" s="213"/>
      <c r="H519" s="256"/>
      <c r="I519" s="237"/>
      <c r="J519" s="369"/>
      <c r="K519" s="370"/>
      <c r="L519" s="370"/>
      <c r="M519" s="370"/>
      <c r="N519" s="370"/>
      <c r="O519" s="370"/>
      <c r="P519" s="370"/>
      <c r="Q519" s="370"/>
      <c r="R519" s="370"/>
      <c r="S519" s="370"/>
      <c r="T519" s="370"/>
      <c r="U519" s="370"/>
      <c r="V519" s="370"/>
      <c r="W519" s="370"/>
      <c r="X519" s="370"/>
      <c r="Y519" s="370"/>
      <c r="Z519" s="370"/>
      <c r="AA519" s="370"/>
      <c r="AB519" s="370"/>
      <c r="AC519" s="370"/>
      <c r="AD519" s="370"/>
      <c r="AE519" s="370"/>
      <c r="AF519" s="370"/>
      <c r="AG519" s="370"/>
      <c r="AH519" s="370"/>
      <c r="AI519" s="370"/>
      <c r="AJ519" s="370"/>
      <c r="AK519" s="370"/>
      <c r="AL519" s="370"/>
      <c r="AM519" s="370"/>
      <c r="AN519" s="370"/>
      <c r="AO519" s="370"/>
      <c r="AP519" s="370"/>
      <c r="AQ519" s="370"/>
      <c r="AR519" s="370"/>
      <c r="AS519" s="370"/>
      <c r="AT519" s="370"/>
      <c r="AU519" s="371"/>
      <c r="AV519" s="201"/>
      <c r="AW519" s="207"/>
      <c r="AX519" s="208"/>
      <c r="AY519" s="208"/>
      <c r="AZ519" s="208"/>
      <c r="BA519" s="208"/>
      <c r="BB519" s="208"/>
      <c r="BC519" s="242"/>
    </row>
    <row r="520" spans="2:55" ht="12.75" customHeight="1">
      <c r="B520" s="260"/>
      <c r="C520" s="176"/>
      <c r="D520" s="176"/>
      <c r="E520" s="176"/>
      <c r="F520" s="176"/>
      <c r="G520" s="213"/>
      <c r="H520" s="256"/>
      <c r="I520" s="237"/>
      <c r="J520" s="369"/>
      <c r="K520" s="370"/>
      <c r="L520" s="370"/>
      <c r="M520" s="370"/>
      <c r="N520" s="370"/>
      <c r="O520" s="370"/>
      <c r="P520" s="370"/>
      <c r="Q520" s="370"/>
      <c r="R520" s="370"/>
      <c r="S520" s="370"/>
      <c r="T520" s="370"/>
      <c r="U520" s="370"/>
      <c r="V520" s="370"/>
      <c r="W520" s="370"/>
      <c r="X520" s="370"/>
      <c r="Y520" s="370"/>
      <c r="Z520" s="370"/>
      <c r="AA520" s="370"/>
      <c r="AB520" s="370"/>
      <c r="AC520" s="370"/>
      <c r="AD520" s="370"/>
      <c r="AE520" s="370"/>
      <c r="AF520" s="370"/>
      <c r="AG520" s="370"/>
      <c r="AH520" s="370"/>
      <c r="AI520" s="370"/>
      <c r="AJ520" s="370"/>
      <c r="AK520" s="370"/>
      <c r="AL520" s="370"/>
      <c r="AM520" s="370"/>
      <c r="AN520" s="370"/>
      <c r="AO520" s="370"/>
      <c r="AP520" s="370"/>
      <c r="AQ520" s="370"/>
      <c r="AR520" s="370"/>
      <c r="AS520" s="370"/>
      <c r="AT520" s="370"/>
      <c r="AU520" s="371"/>
      <c r="AV520" s="201"/>
      <c r="AW520" s="207"/>
      <c r="AX520" s="208"/>
      <c r="AY520" s="208"/>
      <c r="AZ520" s="208"/>
      <c r="BA520" s="208"/>
      <c r="BB520" s="208"/>
      <c r="BC520" s="242"/>
    </row>
    <row r="521" spans="2:55" ht="12.75" customHeight="1">
      <c r="B521" s="260"/>
      <c r="C521" s="176"/>
      <c r="D521" s="176"/>
      <c r="E521" s="176"/>
      <c r="F521" s="176"/>
      <c r="G521" s="213"/>
      <c r="H521" s="256"/>
      <c r="I521" s="237"/>
      <c r="J521" s="369"/>
      <c r="K521" s="370"/>
      <c r="L521" s="370"/>
      <c r="M521" s="370"/>
      <c r="N521" s="370"/>
      <c r="O521" s="370"/>
      <c r="P521" s="370"/>
      <c r="Q521" s="370"/>
      <c r="R521" s="370"/>
      <c r="S521" s="370"/>
      <c r="T521" s="370"/>
      <c r="U521" s="370"/>
      <c r="V521" s="370"/>
      <c r="W521" s="370"/>
      <c r="X521" s="370"/>
      <c r="Y521" s="370"/>
      <c r="Z521" s="370"/>
      <c r="AA521" s="370"/>
      <c r="AB521" s="370"/>
      <c r="AC521" s="370"/>
      <c r="AD521" s="370"/>
      <c r="AE521" s="370"/>
      <c r="AF521" s="370"/>
      <c r="AG521" s="370"/>
      <c r="AH521" s="370"/>
      <c r="AI521" s="370"/>
      <c r="AJ521" s="370"/>
      <c r="AK521" s="370"/>
      <c r="AL521" s="370"/>
      <c r="AM521" s="370"/>
      <c r="AN521" s="370"/>
      <c r="AO521" s="370"/>
      <c r="AP521" s="370"/>
      <c r="AQ521" s="370"/>
      <c r="AR521" s="370"/>
      <c r="AS521" s="370"/>
      <c r="AT521" s="370"/>
      <c r="AU521" s="371"/>
      <c r="AV521" s="201"/>
      <c r="AW521" s="207"/>
      <c r="AX521" s="208"/>
      <c r="AY521" s="208"/>
      <c r="AZ521" s="208"/>
      <c r="BA521" s="208"/>
      <c r="BB521" s="208"/>
      <c r="BC521" s="242"/>
    </row>
    <row r="522" spans="2:55" ht="12.75" customHeight="1">
      <c r="B522" s="260"/>
      <c r="C522" s="176"/>
      <c r="D522" s="176"/>
      <c r="E522" s="176"/>
      <c r="F522" s="176"/>
      <c r="G522" s="213"/>
      <c r="H522" s="256"/>
      <c r="I522" s="237"/>
      <c r="J522" s="369"/>
      <c r="K522" s="370"/>
      <c r="L522" s="370"/>
      <c r="M522" s="370"/>
      <c r="N522" s="370"/>
      <c r="O522" s="370"/>
      <c r="P522" s="370"/>
      <c r="Q522" s="370"/>
      <c r="R522" s="370"/>
      <c r="S522" s="370"/>
      <c r="T522" s="370"/>
      <c r="U522" s="370"/>
      <c r="V522" s="370"/>
      <c r="W522" s="370"/>
      <c r="X522" s="370"/>
      <c r="Y522" s="370"/>
      <c r="Z522" s="370"/>
      <c r="AA522" s="370"/>
      <c r="AB522" s="370"/>
      <c r="AC522" s="370"/>
      <c r="AD522" s="370"/>
      <c r="AE522" s="370"/>
      <c r="AF522" s="370"/>
      <c r="AG522" s="370"/>
      <c r="AH522" s="370"/>
      <c r="AI522" s="370"/>
      <c r="AJ522" s="370"/>
      <c r="AK522" s="370"/>
      <c r="AL522" s="370"/>
      <c r="AM522" s="370"/>
      <c r="AN522" s="370"/>
      <c r="AO522" s="370"/>
      <c r="AP522" s="370"/>
      <c r="AQ522" s="370"/>
      <c r="AR522" s="370"/>
      <c r="AS522" s="370"/>
      <c r="AT522" s="370"/>
      <c r="AU522" s="371"/>
      <c r="AV522" s="201"/>
      <c r="AW522" s="207"/>
      <c r="AX522" s="208"/>
      <c r="AY522" s="208"/>
      <c r="AZ522" s="208"/>
      <c r="BA522" s="208"/>
      <c r="BB522" s="208"/>
      <c r="BC522" s="242"/>
    </row>
    <row r="523" spans="2:55" ht="12.75" customHeight="1">
      <c r="B523" s="260"/>
      <c r="C523" s="176"/>
      <c r="D523" s="176"/>
      <c r="E523" s="176"/>
      <c r="F523" s="176"/>
      <c r="G523" s="213"/>
      <c r="H523" s="256"/>
      <c r="I523" s="237"/>
      <c r="J523" s="369"/>
      <c r="K523" s="370"/>
      <c r="L523" s="370"/>
      <c r="M523" s="370"/>
      <c r="N523" s="370"/>
      <c r="O523" s="370"/>
      <c r="P523" s="370"/>
      <c r="Q523" s="370"/>
      <c r="R523" s="370"/>
      <c r="S523" s="370"/>
      <c r="T523" s="370"/>
      <c r="U523" s="370"/>
      <c r="V523" s="370"/>
      <c r="W523" s="370"/>
      <c r="X523" s="370"/>
      <c r="Y523" s="370"/>
      <c r="Z523" s="370"/>
      <c r="AA523" s="370"/>
      <c r="AB523" s="370"/>
      <c r="AC523" s="370"/>
      <c r="AD523" s="370"/>
      <c r="AE523" s="370"/>
      <c r="AF523" s="370"/>
      <c r="AG523" s="370"/>
      <c r="AH523" s="370"/>
      <c r="AI523" s="370"/>
      <c r="AJ523" s="370"/>
      <c r="AK523" s="370"/>
      <c r="AL523" s="370"/>
      <c r="AM523" s="370"/>
      <c r="AN523" s="370"/>
      <c r="AO523" s="370"/>
      <c r="AP523" s="370"/>
      <c r="AQ523" s="370"/>
      <c r="AR523" s="370"/>
      <c r="AS523" s="370"/>
      <c r="AT523" s="370"/>
      <c r="AU523" s="371"/>
      <c r="AV523" s="201"/>
      <c r="AW523" s="207"/>
      <c r="AX523" s="208"/>
      <c r="AY523" s="208"/>
      <c r="AZ523" s="208"/>
      <c r="BA523" s="208"/>
      <c r="BB523" s="208"/>
      <c r="BC523" s="242"/>
    </row>
    <row r="524" spans="2:55" ht="12.75" customHeight="1">
      <c r="B524" s="260"/>
      <c r="C524" s="176"/>
      <c r="D524" s="176"/>
      <c r="E524" s="176"/>
      <c r="F524" s="176"/>
      <c r="G524" s="213"/>
      <c r="H524" s="256"/>
      <c r="I524" s="237"/>
      <c r="J524" s="369"/>
      <c r="K524" s="370"/>
      <c r="L524" s="370"/>
      <c r="M524" s="370"/>
      <c r="N524" s="370"/>
      <c r="O524" s="370"/>
      <c r="P524" s="370"/>
      <c r="Q524" s="370"/>
      <c r="R524" s="370"/>
      <c r="S524" s="370"/>
      <c r="T524" s="370"/>
      <c r="U524" s="370"/>
      <c r="V524" s="370"/>
      <c r="W524" s="370"/>
      <c r="X524" s="370"/>
      <c r="Y524" s="370"/>
      <c r="Z524" s="370"/>
      <c r="AA524" s="370"/>
      <c r="AB524" s="370"/>
      <c r="AC524" s="370"/>
      <c r="AD524" s="370"/>
      <c r="AE524" s="370"/>
      <c r="AF524" s="370"/>
      <c r="AG524" s="370"/>
      <c r="AH524" s="370"/>
      <c r="AI524" s="370"/>
      <c r="AJ524" s="370"/>
      <c r="AK524" s="370"/>
      <c r="AL524" s="370"/>
      <c r="AM524" s="370"/>
      <c r="AN524" s="370"/>
      <c r="AO524" s="370"/>
      <c r="AP524" s="370"/>
      <c r="AQ524" s="370"/>
      <c r="AR524" s="370"/>
      <c r="AS524" s="370"/>
      <c r="AT524" s="370"/>
      <c r="AU524" s="371"/>
      <c r="AV524" s="201"/>
      <c r="AW524" s="207"/>
      <c r="AX524" s="208"/>
      <c r="AY524" s="208"/>
      <c r="AZ524" s="208"/>
      <c r="BA524" s="208"/>
      <c r="BB524" s="208"/>
      <c r="BC524" s="242"/>
    </row>
    <row r="525" spans="2:55" ht="12.75" customHeight="1">
      <c r="B525" s="260"/>
      <c r="C525" s="176"/>
      <c r="D525" s="176"/>
      <c r="E525" s="176"/>
      <c r="F525" s="176"/>
      <c r="G525" s="213"/>
      <c r="H525" s="256"/>
      <c r="I525" s="237"/>
      <c r="J525" s="372"/>
      <c r="K525" s="373"/>
      <c r="L525" s="373"/>
      <c r="M525" s="373"/>
      <c r="N525" s="373"/>
      <c r="O525" s="373"/>
      <c r="P525" s="373"/>
      <c r="Q525" s="373"/>
      <c r="R525" s="373"/>
      <c r="S525" s="373"/>
      <c r="T525" s="373"/>
      <c r="U525" s="373"/>
      <c r="V525" s="373"/>
      <c r="W525" s="373"/>
      <c r="X525" s="373"/>
      <c r="Y525" s="373"/>
      <c r="Z525" s="373"/>
      <c r="AA525" s="373"/>
      <c r="AB525" s="373"/>
      <c r="AC525" s="373"/>
      <c r="AD525" s="373"/>
      <c r="AE525" s="373"/>
      <c r="AF525" s="373"/>
      <c r="AG525" s="373"/>
      <c r="AH525" s="373"/>
      <c r="AI525" s="373"/>
      <c r="AJ525" s="373"/>
      <c r="AK525" s="373"/>
      <c r="AL525" s="373"/>
      <c r="AM525" s="373"/>
      <c r="AN525" s="373"/>
      <c r="AO525" s="373"/>
      <c r="AP525" s="373"/>
      <c r="AQ525" s="373"/>
      <c r="AR525" s="373"/>
      <c r="AS525" s="373"/>
      <c r="AT525" s="373"/>
      <c r="AU525" s="374"/>
      <c r="AV525" s="201"/>
      <c r="AW525" s="207"/>
      <c r="AX525" s="208"/>
      <c r="AY525" s="208"/>
      <c r="AZ525" s="208"/>
      <c r="BA525" s="208"/>
      <c r="BB525" s="208"/>
      <c r="BC525" s="242"/>
    </row>
    <row r="526" spans="2:55" ht="12.75" customHeight="1">
      <c r="B526" s="260"/>
      <c r="C526" s="176"/>
      <c r="D526" s="176"/>
      <c r="E526" s="176"/>
      <c r="F526" s="176"/>
      <c r="G526" s="213"/>
      <c r="H526" s="256"/>
      <c r="I526" s="237"/>
      <c r="J526" s="142"/>
      <c r="K526" s="142"/>
      <c r="L526" s="142"/>
      <c r="M526" s="142"/>
      <c r="N526" s="142"/>
      <c r="O526" s="142"/>
      <c r="P526" s="142"/>
      <c r="Q526" s="156"/>
      <c r="R526" s="142"/>
      <c r="S526" s="142"/>
      <c r="T526" s="157"/>
      <c r="U526" s="142"/>
      <c r="V526" s="142"/>
      <c r="W526" s="142"/>
      <c r="X526" s="142"/>
      <c r="Y526" s="156"/>
      <c r="Z526" s="156"/>
      <c r="AA526" s="156"/>
      <c r="AB526" s="156"/>
      <c r="AC526" s="156"/>
      <c r="AD526" s="156"/>
      <c r="AE526" s="156"/>
      <c r="AF526" s="156"/>
      <c r="AG526" s="142"/>
      <c r="AH526" s="142"/>
      <c r="AI526" s="142"/>
      <c r="AJ526" s="142"/>
      <c r="AK526" s="142"/>
      <c r="AL526" s="142"/>
      <c r="AM526" s="109"/>
      <c r="AN526" s="109"/>
      <c r="AO526" s="142"/>
      <c r="AP526" s="142"/>
      <c r="AQ526" s="142"/>
      <c r="AR526" s="142"/>
      <c r="AS526" s="142"/>
      <c r="AT526" s="142"/>
      <c r="AU526" s="142"/>
      <c r="AV526" s="201"/>
      <c r="AW526" s="207"/>
      <c r="AX526" s="208"/>
      <c r="AY526" s="208"/>
      <c r="AZ526" s="208"/>
      <c r="BA526" s="208"/>
      <c r="BB526" s="208"/>
      <c r="BC526" s="242"/>
    </row>
    <row r="527" spans="2:55" ht="12.75" customHeight="1">
      <c r="B527" s="260"/>
      <c r="C527" s="176"/>
      <c r="D527" s="176"/>
      <c r="E527" s="176"/>
      <c r="F527" s="176"/>
      <c r="G527" s="213"/>
      <c r="H527" s="256"/>
      <c r="I527" s="237"/>
      <c r="J527" s="180"/>
      <c r="K527" s="180"/>
      <c r="L527" s="180"/>
      <c r="M527" s="180"/>
      <c r="N527" s="180"/>
      <c r="O527" s="180"/>
      <c r="P527" s="180"/>
      <c r="Q527" s="214"/>
      <c r="R527" s="180"/>
      <c r="S527" s="180"/>
      <c r="T527" s="215"/>
      <c r="U527" s="180"/>
      <c r="V527" s="180"/>
      <c r="W527" s="180"/>
      <c r="X527" s="180"/>
      <c r="Y527" s="214"/>
      <c r="Z527" s="214"/>
      <c r="AA527" s="214"/>
      <c r="AB527" s="214"/>
      <c r="AC527" s="214"/>
      <c r="AD527" s="214"/>
      <c r="AE527" s="214"/>
      <c r="AF527" s="214"/>
      <c r="AG527" s="180"/>
      <c r="AH527" s="180"/>
      <c r="AI527" s="180"/>
      <c r="AJ527" s="180"/>
      <c r="AK527" s="180"/>
      <c r="AL527" s="180"/>
      <c r="AM527" s="245"/>
      <c r="AN527" s="245"/>
      <c r="AO527" s="180"/>
      <c r="AP527" s="180"/>
      <c r="AQ527" s="180"/>
      <c r="AR527" s="180"/>
      <c r="AS527" s="180"/>
      <c r="AT527" s="180"/>
      <c r="AU527" s="180"/>
      <c r="AV527" s="201"/>
      <c r="AW527" s="207"/>
      <c r="AX527" s="208"/>
      <c r="AY527" s="208"/>
      <c r="AZ527" s="208"/>
      <c r="BA527" s="208"/>
      <c r="BB527" s="208"/>
      <c r="BC527" s="242"/>
    </row>
    <row r="528" spans="2:55" ht="12.75" customHeight="1">
      <c r="B528" s="260"/>
      <c r="C528" s="176"/>
      <c r="D528" s="176"/>
      <c r="E528" s="176"/>
      <c r="F528" s="176"/>
      <c r="G528" s="213"/>
      <c r="H528" s="256"/>
      <c r="I528" s="237"/>
      <c r="J528" s="142"/>
      <c r="K528" s="142"/>
      <c r="L528" s="142"/>
      <c r="M528" s="142"/>
      <c r="N528" s="142"/>
      <c r="O528" s="142"/>
      <c r="P528" s="142"/>
      <c r="Q528" s="156"/>
      <c r="R528" s="142"/>
      <c r="S528" s="142"/>
      <c r="T528" s="157"/>
      <c r="U528" s="142"/>
      <c r="V528" s="142"/>
      <c r="W528" s="142"/>
      <c r="X528" s="142"/>
      <c r="Y528" s="156"/>
      <c r="Z528" s="156"/>
      <c r="AA528" s="156"/>
      <c r="AB528" s="156"/>
      <c r="AC528" s="156"/>
      <c r="AD528" s="156"/>
      <c r="AE528" s="156"/>
      <c r="AF528" s="156"/>
      <c r="AG528" s="142"/>
      <c r="AH528" s="142"/>
      <c r="AI528" s="142"/>
      <c r="AJ528" s="142"/>
      <c r="AK528" s="142"/>
      <c r="AL528" s="142"/>
      <c r="AM528" s="109"/>
      <c r="AN528" s="109"/>
      <c r="AO528" s="142"/>
      <c r="AP528" s="142"/>
      <c r="AQ528" s="142"/>
      <c r="AR528" s="142"/>
      <c r="AS528" s="142"/>
      <c r="AT528" s="142"/>
      <c r="AU528" s="142"/>
      <c r="AV528" s="201"/>
      <c r="AW528" s="207"/>
      <c r="AX528" s="208"/>
      <c r="AY528" s="208"/>
      <c r="AZ528" s="208"/>
      <c r="BA528" s="208"/>
      <c r="BB528" s="208"/>
      <c r="BC528" s="242"/>
    </row>
    <row r="529" spans="2:55" ht="12.75" customHeight="1">
      <c r="B529" s="260"/>
      <c r="C529" s="176"/>
      <c r="D529" s="176"/>
      <c r="E529" s="176"/>
      <c r="F529" s="176"/>
      <c r="G529" s="213"/>
      <c r="H529" s="256"/>
      <c r="I529" s="237"/>
      <c r="J529" s="180"/>
      <c r="K529" s="180"/>
      <c r="L529" s="180"/>
      <c r="M529" s="180"/>
      <c r="N529" s="180"/>
      <c r="O529" s="180"/>
      <c r="P529" s="180"/>
      <c r="Q529" s="214"/>
      <c r="R529" s="180"/>
      <c r="S529" s="180"/>
      <c r="T529" s="215"/>
      <c r="U529" s="180"/>
      <c r="V529" s="180"/>
      <c r="W529" s="180"/>
      <c r="X529" s="180"/>
      <c r="Y529" s="214"/>
      <c r="Z529" s="214"/>
      <c r="AA529" s="214"/>
      <c r="AB529" s="214"/>
      <c r="AC529" s="214"/>
      <c r="AD529" s="214"/>
      <c r="AE529" s="214"/>
      <c r="AF529" s="214"/>
      <c r="AG529" s="180"/>
      <c r="AH529" s="180"/>
      <c r="AI529" s="180"/>
      <c r="AJ529" s="180"/>
      <c r="AK529" s="180"/>
      <c r="AL529" s="180"/>
      <c r="AM529" s="245"/>
      <c r="AN529" s="245"/>
      <c r="AO529" s="180"/>
      <c r="AP529" s="180"/>
      <c r="AQ529" s="180"/>
      <c r="AR529" s="180"/>
      <c r="AS529" s="180"/>
      <c r="AT529" s="180"/>
      <c r="AU529" s="180"/>
      <c r="AV529" s="201"/>
      <c r="AW529" s="207"/>
      <c r="AX529" s="208"/>
      <c r="AY529" s="208"/>
      <c r="AZ529" s="208"/>
      <c r="BA529" s="208"/>
      <c r="BB529" s="208"/>
      <c r="BC529" s="242"/>
    </row>
    <row r="530" spans="2:55" ht="12.75" customHeight="1">
      <c r="B530" s="158"/>
      <c r="C530" s="64"/>
      <c r="D530" s="64"/>
      <c r="E530" s="64"/>
      <c r="F530" s="64"/>
      <c r="G530" s="65"/>
      <c r="H530" s="8"/>
      <c r="I530" s="167"/>
      <c r="J530" s="142"/>
      <c r="K530" s="142"/>
      <c r="L530" s="142"/>
      <c r="M530" s="142"/>
      <c r="N530" s="142"/>
      <c r="O530" s="142"/>
      <c r="P530" s="142"/>
      <c r="Q530" s="156"/>
      <c r="R530" s="142"/>
      <c r="S530" s="142"/>
      <c r="T530" s="157"/>
      <c r="U530" s="142"/>
      <c r="V530" s="142"/>
      <c r="W530" s="142"/>
      <c r="X530" s="142"/>
      <c r="Y530" s="156"/>
      <c r="Z530" s="156"/>
      <c r="AA530" s="156"/>
      <c r="AB530" s="156"/>
      <c r="AC530" s="156"/>
      <c r="AD530" s="156"/>
      <c r="AE530" s="156"/>
      <c r="AF530" s="156"/>
      <c r="AG530" s="142"/>
      <c r="AH530" s="142"/>
      <c r="AI530" s="142"/>
      <c r="AJ530" s="142"/>
      <c r="AK530" s="142"/>
      <c r="AL530" s="142"/>
      <c r="AM530" s="109"/>
      <c r="AN530" s="109"/>
      <c r="AO530" s="142"/>
      <c r="AP530" s="142"/>
      <c r="AQ530" s="142"/>
      <c r="AR530" s="142"/>
      <c r="AS530" s="142"/>
      <c r="AT530" s="142"/>
      <c r="AU530" s="142"/>
      <c r="AV530" s="107"/>
      <c r="AW530" s="4"/>
      <c r="BC530" s="5"/>
    </row>
    <row r="531" spans="2:55" ht="12.75" customHeight="1">
      <c r="B531" s="158"/>
      <c r="C531" s="64"/>
      <c r="D531" s="64"/>
      <c r="E531" s="64"/>
      <c r="F531" s="64"/>
      <c r="G531" s="65"/>
      <c r="H531" s="8"/>
      <c r="I531" s="167"/>
      <c r="J531" s="142"/>
      <c r="K531" s="142"/>
      <c r="L531" s="142"/>
      <c r="M531" s="142"/>
      <c r="N531" s="142"/>
      <c r="O531" s="142"/>
      <c r="P531" s="142"/>
      <c r="Q531" s="156"/>
      <c r="R531" s="142"/>
      <c r="S531" s="142"/>
      <c r="T531" s="157"/>
      <c r="U531" s="142"/>
      <c r="V531" s="142"/>
      <c r="W531" s="142"/>
      <c r="X531" s="142"/>
      <c r="Y531" s="156"/>
      <c r="Z531" s="156"/>
      <c r="AA531" s="156"/>
      <c r="AB531" s="156"/>
      <c r="AC531" s="156"/>
      <c r="AD531" s="156"/>
      <c r="AE531" s="156"/>
      <c r="AF531" s="156"/>
      <c r="AG531" s="142"/>
      <c r="AH531" s="142"/>
      <c r="AI531" s="142"/>
      <c r="AJ531" s="142"/>
      <c r="AK531" s="142"/>
      <c r="AL531" s="142"/>
      <c r="AM531" s="109"/>
      <c r="AN531" s="109"/>
      <c r="AO531" s="142"/>
      <c r="AP531" s="142"/>
      <c r="AQ531" s="142"/>
      <c r="AR531" s="142"/>
      <c r="AS531" s="142"/>
      <c r="AT531" s="142"/>
      <c r="AU531" s="142"/>
      <c r="AV531" s="107"/>
      <c r="AW531" s="4"/>
      <c r="BC531" s="5"/>
    </row>
    <row r="532" spans="2:55" ht="12.75" customHeight="1">
      <c r="B532" s="158"/>
      <c r="C532" s="64"/>
      <c r="D532" s="64"/>
      <c r="E532" s="64"/>
      <c r="F532" s="64"/>
      <c r="G532" s="65"/>
      <c r="H532" s="8"/>
      <c r="I532" s="167"/>
      <c r="J532" s="142"/>
      <c r="K532" s="142"/>
      <c r="L532" s="142"/>
      <c r="M532" s="142"/>
      <c r="N532" s="142"/>
      <c r="O532" s="142"/>
      <c r="P532" s="142"/>
      <c r="Q532" s="156"/>
      <c r="R532" s="142"/>
      <c r="S532" s="142"/>
      <c r="T532" s="157"/>
      <c r="U532" s="142"/>
      <c r="V532" s="142"/>
      <c r="W532" s="142"/>
      <c r="X532" s="142"/>
      <c r="Y532" s="156"/>
      <c r="Z532" s="156"/>
      <c r="AA532" s="156"/>
      <c r="AB532" s="156"/>
      <c r="AC532" s="156"/>
      <c r="AD532" s="156"/>
      <c r="AE532" s="156"/>
      <c r="AF532" s="156"/>
      <c r="AG532" s="142"/>
      <c r="AH532" s="142"/>
      <c r="AI532" s="142"/>
      <c r="AJ532" s="142"/>
      <c r="AK532" s="142"/>
      <c r="AL532" s="142"/>
      <c r="AM532" s="109"/>
      <c r="AN532" s="109"/>
      <c r="AO532" s="142"/>
      <c r="AP532" s="142"/>
      <c r="AQ532" s="142"/>
      <c r="AR532" s="142"/>
      <c r="AS532" s="142"/>
      <c r="AT532" s="142"/>
      <c r="AU532" s="142"/>
      <c r="AV532" s="107"/>
      <c r="AW532" s="4"/>
      <c r="BC532" s="5"/>
    </row>
    <row r="533" spans="2:55" ht="12.75" customHeight="1">
      <c r="B533" s="158"/>
      <c r="C533" s="64"/>
      <c r="D533" s="64"/>
      <c r="E533" s="64"/>
      <c r="F533" s="64"/>
      <c r="G533" s="65"/>
      <c r="H533" s="8"/>
      <c r="I533" s="167"/>
      <c r="J533" s="142"/>
      <c r="K533" s="142"/>
      <c r="L533" s="142"/>
      <c r="M533" s="142"/>
      <c r="N533" s="142"/>
      <c r="O533" s="142"/>
      <c r="P533" s="142"/>
      <c r="Q533" s="156"/>
      <c r="R533" s="142"/>
      <c r="S533" s="142"/>
      <c r="T533" s="157"/>
      <c r="U533" s="142"/>
      <c r="V533" s="142"/>
      <c r="W533" s="142"/>
      <c r="X533" s="142"/>
      <c r="Y533" s="156"/>
      <c r="Z533" s="156"/>
      <c r="AA533" s="156"/>
      <c r="AB533" s="156"/>
      <c r="AC533" s="156"/>
      <c r="AD533" s="156"/>
      <c r="AE533" s="156"/>
      <c r="AF533" s="156"/>
      <c r="AG533" s="142"/>
      <c r="AH533" s="142"/>
      <c r="AI533" s="142"/>
      <c r="AJ533" s="142"/>
      <c r="AK533" s="142"/>
      <c r="AL533" s="142"/>
      <c r="AM533" s="109"/>
      <c r="AN533" s="109"/>
      <c r="AO533" s="142"/>
      <c r="AP533" s="142"/>
      <c r="AQ533" s="142"/>
      <c r="AR533" s="142"/>
      <c r="AS533" s="142"/>
      <c r="AT533" s="142"/>
      <c r="AU533" s="142"/>
      <c r="AV533" s="107"/>
      <c r="AW533" s="4"/>
      <c r="BC533" s="5"/>
    </row>
    <row r="534" spans="2:55" ht="12.75" customHeight="1">
      <c r="B534" s="158"/>
      <c r="C534" s="64"/>
      <c r="D534" s="64"/>
      <c r="E534" s="64"/>
      <c r="F534" s="64"/>
      <c r="G534" s="65"/>
      <c r="H534" s="8"/>
      <c r="I534" s="167"/>
      <c r="J534" s="142"/>
      <c r="K534" s="142"/>
      <c r="L534" s="142"/>
      <c r="M534" s="142"/>
      <c r="N534" s="142"/>
      <c r="O534" s="142"/>
      <c r="P534" s="142"/>
      <c r="Q534" s="156"/>
      <c r="R534" s="142"/>
      <c r="S534" s="142"/>
      <c r="T534" s="157"/>
      <c r="U534" s="142"/>
      <c r="V534" s="142"/>
      <c r="W534" s="142"/>
      <c r="X534" s="142"/>
      <c r="Y534" s="156"/>
      <c r="Z534" s="156"/>
      <c r="AA534" s="156"/>
      <c r="AB534" s="156"/>
      <c r="AC534" s="156"/>
      <c r="AD534" s="156"/>
      <c r="AE534" s="156"/>
      <c r="AF534" s="156"/>
      <c r="AG534" s="142"/>
      <c r="AH534" s="142"/>
      <c r="AI534" s="142"/>
      <c r="AJ534" s="142"/>
      <c r="AK534" s="142"/>
      <c r="AL534" s="142"/>
      <c r="AM534" s="109"/>
      <c r="AN534" s="109"/>
      <c r="AO534" s="142"/>
      <c r="AP534" s="142"/>
      <c r="AQ534" s="142"/>
      <c r="AR534" s="142"/>
      <c r="AS534" s="142"/>
      <c r="AT534" s="142"/>
      <c r="AU534" s="142"/>
      <c r="AV534" s="107"/>
      <c r="AW534" s="4"/>
      <c r="BC534" s="5"/>
    </row>
    <row r="535" spans="2:55" ht="12.75" customHeight="1">
      <c r="B535" s="158"/>
      <c r="C535" s="64"/>
      <c r="D535" s="64"/>
      <c r="E535" s="64"/>
      <c r="F535" s="64"/>
      <c r="G535" s="65"/>
      <c r="H535" s="8"/>
      <c r="I535" s="167"/>
      <c r="J535" s="142"/>
      <c r="K535" s="142"/>
      <c r="L535" s="142"/>
      <c r="M535" s="142"/>
      <c r="N535" s="142"/>
      <c r="O535" s="142"/>
      <c r="P535" s="142"/>
      <c r="Q535" s="156"/>
      <c r="R535" s="142"/>
      <c r="S535" s="142"/>
      <c r="T535" s="157"/>
      <c r="U535" s="142"/>
      <c r="V535" s="142"/>
      <c r="W535" s="142"/>
      <c r="X535" s="142"/>
      <c r="Y535" s="156"/>
      <c r="Z535" s="156"/>
      <c r="AA535" s="156"/>
      <c r="AB535" s="156"/>
      <c r="AC535" s="156"/>
      <c r="AD535" s="156"/>
      <c r="AE535" s="156"/>
      <c r="AF535" s="156"/>
      <c r="AG535" s="142"/>
      <c r="AH535" s="142"/>
      <c r="AI535" s="142"/>
      <c r="AJ535" s="142"/>
      <c r="AK535" s="142"/>
      <c r="AL535" s="142"/>
      <c r="AM535" s="109"/>
      <c r="AN535" s="109"/>
      <c r="AO535" s="142"/>
      <c r="AP535" s="142"/>
      <c r="AQ535" s="142"/>
      <c r="AR535" s="142"/>
      <c r="AS535" s="142"/>
      <c r="AT535" s="142"/>
      <c r="AU535" s="142"/>
      <c r="AV535" s="107"/>
      <c r="AW535" s="4"/>
      <c r="BC535" s="5"/>
    </row>
    <row r="536" spans="2:55" ht="12.75" customHeight="1">
      <c r="B536" s="158"/>
      <c r="C536" s="64"/>
      <c r="D536" s="64"/>
      <c r="E536" s="64"/>
      <c r="F536" s="64"/>
      <c r="G536" s="65"/>
      <c r="H536" s="8"/>
      <c r="I536" s="167"/>
      <c r="J536" s="142"/>
      <c r="K536" s="142"/>
      <c r="L536" s="142"/>
      <c r="M536" s="142"/>
      <c r="N536" s="142"/>
      <c r="O536" s="142"/>
      <c r="P536" s="142"/>
      <c r="Q536" s="156"/>
      <c r="R536" s="142"/>
      <c r="S536" s="142"/>
      <c r="T536" s="157"/>
      <c r="U536" s="142"/>
      <c r="V536" s="142"/>
      <c r="W536" s="142"/>
      <c r="X536" s="142"/>
      <c r="Y536" s="156"/>
      <c r="Z536" s="156"/>
      <c r="AA536" s="156"/>
      <c r="AB536" s="156"/>
      <c r="AC536" s="156"/>
      <c r="AD536" s="156"/>
      <c r="AE536" s="156"/>
      <c r="AF536" s="156"/>
      <c r="AG536" s="142"/>
      <c r="AH536" s="142"/>
      <c r="AI536" s="142"/>
      <c r="AJ536" s="142"/>
      <c r="AK536" s="142"/>
      <c r="AL536" s="142"/>
      <c r="AM536" s="109"/>
      <c r="AN536" s="109"/>
      <c r="AO536" s="142"/>
      <c r="AP536" s="142"/>
      <c r="AQ536" s="142"/>
      <c r="AR536" s="142"/>
      <c r="AS536" s="142"/>
      <c r="AT536" s="142"/>
      <c r="AU536" s="142"/>
      <c r="AV536" s="107"/>
      <c r="AW536" s="4"/>
      <c r="BC536" s="5"/>
    </row>
    <row r="537" spans="2:55" ht="12.75" customHeight="1">
      <c r="B537" s="158"/>
      <c r="C537" s="64"/>
      <c r="D537" s="64"/>
      <c r="E537" s="64"/>
      <c r="F537" s="64"/>
      <c r="G537" s="65"/>
      <c r="H537" s="8"/>
      <c r="I537" s="167"/>
      <c r="J537" s="142"/>
      <c r="K537" s="142"/>
      <c r="L537" s="142"/>
      <c r="M537" s="142"/>
      <c r="N537" s="142"/>
      <c r="O537" s="142"/>
      <c r="P537" s="142"/>
      <c r="Q537" s="156"/>
      <c r="R537" s="142"/>
      <c r="S537" s="142"/>
      <c r="T537" s="157"/>
      <c r="U537" s="142"/>
      <c r="V537" s="142"/>
      <c r="W537" s="142"/>
      <c r="X537" s="142"/>
      <c r="Y537" s="156"/>
      <c r="Z537" s="156"/>
      <c r="AA537" s="156"/>
      <c r="AB537" s="156"/>
      <c r="AC537" s="156"/>
      <c r="AD537" s="156"/>
      <c r="AE537" s="156"/>
      <c r="AF537" s="156"/>
      <c r="AG537" s="142"/>
      <c r="AH537" s="142"/>
      <c r="AI537" s="142"/>
      <c r="AJ537" s="142"/>
      <c r="AK537" s="142"/>
      <c r="AL537" s="142"/>
      <c r="AM537" s="109"/>
      <c r="AN537" s="109"/>
      <c r="AO537" s="142"/>
      <c r="AP537" s="142"/>
      <c r="AQ537" s="142"/>
      <c r="AR537" s="142"/>
      <c r="AS537" s="142"/>
      <c r="AT537" s="142"/>
      <c r="AU537" s="142"/>
      <c r="AV537" s="107"/>
      <c r="AW537" s="4"/>
      <c r="BC537" s="5"/>
    </row>
    <row r="538" spans="2:55" ht="12.75" customHeight="1">
      <c r="B538" s="158"/>
      <c r="C538" s="64"/>
      <c r="D538" s="64"/>
      <c r="E538" s="64"/>
      <c r="F538" s="64"/>
      <c r="G538" s="65"/>
      <c r="H538" s="8"/>
      <c r="I538" s="167"/>
      <c r="J538" s="142"/>
      <c r="K538" s="142"/>
      <c r="L538" s="142"/>
      <c r="M538" s="142"/>
      <c r="N538" s="142"/>
      <c r="O538" s="142"/>
      <c r="P538" s="142"/>
      <c r="Q538" s="156"/>
      <c r="R538" s="142"/>
      <c r="S538" s="142"/>
      <c r="T538" s="157"/>
      <c r="U538" s="142"/>
      <c r="V538" s="142"/>
      <c r="W538" s="142"/>
      <c r="X538" s="142"/>
      <c r="Y538" s="156"/>
      <c r="Z538" s="156"/>
      <c r="AA538" s="156"/>
      <c r="AB538" s="156"/>
      <c r="AC538" s="156"/>
      <c r="AD538" s="156"/>
      <c r="AE538" s="156"/>
      <c r="AF538" s="156"/>
      <c r="AG538" s="142"/>
      <c r="AH538" s="142"/>
      <c r="AI538" s="142"/>
      <c r="AJ538" s="142"/>
      <c r="AK538" s="142"/>
      <c r="AL538" s="142"/>
      <c r="AM538" s="109"/>
      <c r="AN538" s="109"/>
      <c r="AO538" s="142"/>
      <c r="AP538" s="142"/>
      <c r="AQ538" s="142"/>
      <c r="AR538" s="142"/>
      <c r="AS538" s="142"/>
      <c r="AT538" s="142"/>
      <c r="AU538" s="142"/>
      <c r="AV538" s="107"/>
      <c r="AW538" s="4"/>
      <c r="BC538" s="5"/>
    </row>
    <row r="539" spans="2:55" ht="12.75" customHeight="1">
      <c r="B539" s="158"/>
      <c r="C539" s="64"/>
      <c r="D539" s="64"/>
      <c r="E539" s="64"/>
      <c r="F539" s="64"/>
      <c r="G539" s="65"/>
      <c r="H539" s="8"/>
      <c r="I539" s="167"/>
      <c r="J539" s="142"/>
      <c r="K539" s="142"/>
      <c r="L539" s="142"/>
      <c r="M539" s="142"/>
      <c r="N539" s="142"/>
      <c r="O539" s="142"/>
      <c r="P539" s="142"/>
      <c r="Q539" s="156"/>
      <c r="R539" s="142"/>
      <c r="S539" s="142"/>
      <c r="T539" s="157"/>
      <c r="U539" s="142"/>
      <c r="V539" s="142"/>
      <c r="W539" s="142"/>
      <c r="X539" s="142"/>
      <c r="Y539" s="156"/>
      <c r="Z539" s="156"/>
      <c r="AA539" s="156"/>
      <c r="AB539" s="156"/>
      <c r="AC539" s="156"/>
      <c r="AD539" s="156"/>
      <c r="AE539" s="156"/>
      <c r="AF539" s="156"/>
      <c r="AG539" s="142"/>
      <c r="AH539" s="142"/>
      <c r="AI539" s="142"/>
      <c r="AJ539" s="142"/>
      <c r="AK539" s="142"/>
      <c r="AL539" s="142"/>
      <c r="AM539" s="109"/>
      <c r="AN539" s="109"/>
      <c r="AO539" s="142"/>
      <c r="AP539" s="142"/>
      <c r="AQ539" s="142"/>
      <c r="AR539" s="142"/>
      <c r="AS539" s="142"/>
      <c r="AT539" s="142"/>
      <c r="AU539" s="142"/>
      <c r="AV539" s="107"/>
      <c r="AW539" s="4"/>
      <c r="BC539" s="5"/>
    </row>
    <row r="540" spans="2:55" ht="12.75" customHeight="1">
      <c r="B540" s="158"/>
      <c r="C540" s="64"/>
      <c r="D540" s="64"/>
      <c r="E540" s="64"/>
      <c r="F540" s="64"/>
      <c r="G540" s="65"/>
      <c r="H540" s="8"/>
      <c r="I540" s="167"/>
      <c r="J540" s="142"/>
      <c r="K540" s="142"/>
      <c r="L540" s="142"/>
      <c r="M540" s="142"/>
      <c r="N540" s="142"/>
      <c r="O540" s="142"/>
      <c r="P540" s="142"/>
      <c r="Q540" s="156"/>
      <c r="R540" s="142"/>
      <c r="S540" s="142"/>
      <c r="T540" s="157"/>
      <c r="U540" s="142"/>
      <c r="V540" s="142"/>
      <c r="W540" s="142"/>
      <c r="X540" s="142"/>
      <c r="Y540" s="156"/>
      <c r="Z540" s="156"/>
      <c r="AA540" s="156"/>
      <c r="AB540" s="156"/>
      <c r="AC540" s="156"/>
      <c r="AD540" s="156"/>
      <c r="AE540" s="156"/>
      <c r="AF540" s="156"/>
      <c r="AG540" s="142"/>
      <c r="AH540" s="142"/>
      <c r="AI540" s="142"/>
      <c r="AJ540" s="142"/>
      <c r="AK540" s="142"/>
      <c r="AL540" s="142"/>
      <c r="AM540" s="109"/>
      <c r="AN540" s="109"/>
      <c r="AO540" s="142"/>
      <c r="AP540" s="142"/>
      <c r="AQ540" s="142"/>
      <c r="AR540" s="142"/>
      <c r="AS540" s="142"/>
      <c r="AT540" s="142"/>
      <c r="AU540" s="142"/>
      <c r="AV540" s="107"/>
      <c r="AW540" s="4"/>
      <c r="BC540" s="5"/>
    </row>
    <row r="541" spans="2:55" ht="12.75" customHeight="1">
      <c r="B541" s="158"/>
      <c r="C541" s="64"/>
      <c r="D541" s="64"/>
      <c r="E541" s="64"/>
      <c r="F541" s="64"/>
      <c r="G541" s="65"/>
      <c r="H541" s="8"/>
      <c r="I541" s="167"/>
      <c r="J541" s="142"/>
      <c r="K541" s="142"/>
      <c r="L541" s="142"/>
      <c r="M541" s="142"/>
      <c r="N541" s="142"/>
      <c r="O541" s="142"/>
      <c r="P541" s="142"/>
      <c r="Q541" s="156"/>
      <c r="R541" s="142"/>
      <c r="S541" s="142"/>
      <c r="T541" s="157"/>
      <c r="U541" s="142"/>
      <c r="V541" s="142"/>
      <c r="W541" s="142"/>
      <c r="X541" s="142"/>
      <c r="Y541" s="156"/>
      <c r="Z541" s="156"/>
      <c r="AA541" s="156"/>
      <c r="AB541" s="156"/>
      <c r="AC541" s="156"/>
      <c r="AD541" s="156"/>
      <c r="AE541" s="156"/>
      <c r="AF541" s="156"/>
      <c r="AG541" s="142"/>
      <c r="AH541" s="142"/>
      <c r="AI541" s="142"/>
      <c r="AJ541" s="142"/>
      <c r="AK541" s="142"/>
      <c r="AL541" s="142"/>
      <c r="AM541" s="109"/>
      <c r="AN541" s="109"/>
      <c r="AO541" s="142"/>
      <c r="AP541" s="142"/>
      <c r="AQ541" s="142"/>
      <c r="AR541" s="142"/>
      <c r="AS541" s="142"/>
      <c r="AT541" s="142"/>
      <c r="AU541" s="142"/>
      <c r="AV541" s="107"/>
      <c r="AW541" s="4"/>
      <c r="BC541" s="5"/>
    </row>
    <row r="542" spans="2:55" ht="12.75" customHeight="1">
      <c r="B542" s="158"/>
      <c r="C542" s="64"/>
      <c r="D542" s="64"/>
      <c r="E542" s="64"/>
      <c r="F542" s="64"/>
      <c r="G542" s="65"/>
      <c r="H542" s="8"/>
      <c r="I542" s="167"/>
      <c r="J542" s="142"/>
      <c r="K542" s="142"/>
      <c r="L542" s="142"/>
      <c r="M542" s="142"/>
      <c r="N542" s="142"/>
      <c r="O542" s="142"/>
      <c r="P542" s="142"/>
      <c r="Q542" s="156"/>
      <c r="R542" s="142"/>
      <c r="S542" s="142"/>
      <c r="T542" s="157"/>
      <c r="U542" s="142"/>
      <c r="V542" s="142"/>
      <c r="W542" s="142"/>
      <c r="X542" s="142"/>
      <c r="Y542" s="156"/>
      <c r="Z542" s="156"/>
      <c r="AA542" s="156"/>
      <c r="AB542" s="156"/>
      <c r="AC542" s="156"/>
      <c r="AD542" s="156"/>
      <c r="AE542" s="156"/>
      <c r="AF542" s="156"/>
      <c r="AG542" s="142"/>
      <c r="AH542" s="142"/>
      <c r="AI542" s="142"/>
      <c r="AJ542" s="142"/>
      <c r="AK542" s="142"/>
      <c r="AL542" s="142"/>
      <c r="AM542" s="109"/>
      <c r="AN542" s="109"/>
      <c r="AO542" s="142"/>
      <c r="AP542" s="142"/>
      <c r="AQ542" s="142"/>
      <c r="AR542" s="142"/>
      <c r="AS542" s="142"/>
      <c r="AT542" s="142"/>
      <c r="AU542" s="142"/>
      <c r="AV542" s="107"/>
      <c r="AW542" s="4"/>
      <c r="BC542" s="5"/>
    </row>
    <row r="543" spans="2:55" ht="12.75" customHeight="1">
      <c r="B543" s="158"/>
      <c r="C543" s="64"/>
      <c r="D543" s="64"/>
      <c r="E543" s="64"/>
      <c r="F543" s="64"/>
      <c r="G543" s="65"/>
      <c r="H543" s="8"/>
      <c r="I543" s="167"/>
      <c r="J543" s="142"/>
      <c r="K543" s="142"/>
      <c r="L543" s="142"/>
      <c r="M543" s="142"/>
      <c r="N543" s="142"/>
      <c r="O543" s="142"/>
      <c r="P543" s="142"/>
      <c r="Q543" s="156"/>
      <c r="R543" s="142"/>
      <c r="S543" s="142"/>
      <c r="T543" s="157"/>
      <c r="U543" s="142"/>
      <c r="V543" s="142"/>
      <c r="W543" s="142"/>
      <c r="X543" s="142"/>
      <c r="Y543" s="156"/>
      <c r="Z543" s="156"/>
      <c r="AA543" s="156"/>
      <c r="AB543" s="156"/>
      <c r="AC543" s="156"/>
      <c r="AD543" s="156"/>
      <c r="AE543" s="156"/>
      <c r="AF543" s="156"/>
      <c r="AG543" s="142"/>
      <c r="AH543" s="142"/>
      <c r="AI543" s="142"/>
      <c r="AJ543" s="142"/>
      <c r="AK543" s="142"/>
      <c r="AL543" s="142"/>
      <c r="AM543" s="109"/>
      <c r="AN543" s="109"/>
      <c r="AO543" s="142"/>
      <c r="AP543" s="142"/>
      <c r="AQ543" s="142"/>
      <c r="AR543" s="142"/>
      <c r="AS543" s="142"/>
      <c r="AT543" s="142"/>
      <c r="AU543" s="142"/>
      <c r="AV543" s="107"/>
      <c r="AW543" s="4"/>
      <c r="BC543" s="5"/>
    </row>
    <row r="544" spans="2:55" ht="12.75" customHeight="1">
      <c r="B544" s="158"/>
      <c r="C544" s="64"/>
      <c r="D544" s="64"/>
      <c r="E544" s="64"/>
      <c r="F544" s="64"/>
      <c r="G544" s="65"/>
      <c r="H544" s="8"/>
      <c r="I544" s="167"/>
      <c r="J544" s="2"/>
      <c r="K544" s="2"/>
      <c r="L544" s="2"/>
      <c r="M544" s="2"/>
      <c r="N544" s="2"/>
      <c r="O544" s="2"/>
      <c r="P544" s="2"/>
      <c r="Q544" s="7"/>
      <c r="R544" s="2"/>
      <c r="S544" s="2"/>
      <c r="T544" s="6"/>
      <c r="U544" s="2"/>
      <c r="V544" s="2"/>
      <c r="W544" s="2"/>
      <c r="X544" s="2"/>
      <c r="Y544" s="7"/>
      <c r="Z544" s="7"/>
      <c r="AA544" s="7"/>
      <c r="AB544" s="7"/>
      <c r="AC544" s="7"/>
      <c r="AD544" s="7"/>
      <c r="AE544" s="7"/>
      <c r="AF544" s="7"/>
      <c r="AG544" s="2"/>
      <c r="AH544" s="2"/>
      <c r="AI544" s="2"/>
      <c r="AJ544" s="2"/>
      <c r="AK544" s="2"/>
      <c r="AL544" s="2"/>
      <c r="AM544" s="3"/>
      <c r="AN544" s="3"/>
      <c r="AO544" s="2"/>
      <c r="AP544" s="2"/>
      <c r="AQ544" s="2"/>
      <c r="AR544" s="2"/>
      <c r="AS544" s="2"/>
      <c r="AT544" s="2"/>
      <c r="AU544" s="2"/>
      <c r="AV544" s="107"/>
      <c r="AW544" s="4"/>
      <c r="BC544" s="5"/>
    </row>
    <row r="545" spans="2:55" ht="12.75" customHeight="1">
      <c r="B545" s="159"/>
      <c r="C545" s="160"/>
      <c r="D545" s="160"/>
      <c r="E545" s="160"/>
      <c r="F545" s="160"/>
      <c r="G545" s="161"/>
      <c r="H545" s="11"/>
      <c r="I545" s="138"/>
      <c r="J545" s="12"/>
      <c r="K545" s="12"/>
      <c r="L545" s="12"/>
      <c r="M545" s="12"/>
      <c r="N545" s="12"/>
      <c r="O545" s="12"/>
      <c r="P545" s="12"/>
      <c r="Q545" s="13"/>
      <c r="R545" s="12"/>
      <c r="S545" s="12"/>
      <c r="T545" s="14"/>
      <c r="U545" s="12"/>
      <c r="V545" s="12"/>
      <c r="W545" s="12"/>
      <c r="X545" s="12"/>
      <c r="Y545" s="13"/>
      <c r="Z545" s="13"/>
      <c r="AA545" s="13"/>
      <c r="AB545" s="13"/>
      <c r="AC545" s="13"/>
      <c r="AD545" s="13"/>
      <c r="AE545" s="13"/>
      <c r="AF545" s="13"/>
      <c r="AG545" s="12"/>
      <c r="AH545" s="12"/>
      <c r="AI545" s="12"/>
      <c r="AJ545" s="12"/>
      <c r="AK545" s="12"/>
      <c r="AL545" s="12"/>
      <c r="AM545" s="15"/>
      <c r="AN545" s="15"/>
      <c r="AO545" s="12"/>
      <c r="AP545" s="12"/>
      <c r="AQ545" s="12"/>
      <c r="AR545" s="12"/>
      <c r="AS545" s="12"/>
      <c r="AT545" s="12"/>
      <c r="AU545" s="12"/>
      <c r="AV545" s="139"/>
      <c r="AW545" s="16"/>
      <c r="AX545" s="17"/>
      <c r="AY545" s="17"/>
      <c r="AZ545" s="17"/>
      <c r="BA545" s="17"/>
      <c r="BB545" s="17"/>
      <c r="BC545" s="18"/>
    </row>
    <row r="546" spans="2:55" ht="12.75" customHeight="1">
      <c r="B546" s="101"/>
      <c r="C546" s="102"/>
      <c r="D546" s="102"/>
      <c r="E546" s="102"/>
      <c r="F546" s="102"/>
      <c r="G546" s="102"/>
      <c r="H546" s="102"/>
      <c r="I546" s="320"/>
      <c r="J546" s="320"/>
      <c r="K546" s="320"/>
      <c r="L546" s="320"/>
      <c r="M546" s="320"/>
      <c r="N546" s="320"/>
      <c r="O546" s="320"/>
      <c r="P546" s="320"/>
      <c r="Q546" s="320"/>
      <c r="R546" s="320"/>
      <c r="S546" s="320"/>
      <c r="T546" s="320"/>
      <c r="U546" s="321"/>
      <c r="V546" s="478" t="s">
        <v>0</v>
      </c>
      <c r="W546" s="479"/>
      <c r="X546" s="479"/>
      <c r="Y546" s="479"/>
      <c r="Z546" s="479"/>
      <c r="AA546" s="479"/>
      <c r="AB546" s="479"/>
      <c r="AC546" s="479"/>
      <c r="AD546" s="479"/>
      <c r="AE546" s="479"/>
      <c r="AF546" s="479"/>
      <c r="AG546" s="479"/>
      <c r="AH546" s="479"/>
      <c r="AI546" s="479"/>
      <c r="AJ546" s="480"/>
      <c r="AK546" s="395" t="s">
        <v>1</v>
      </c>
      <c r="AL546" s="396"/>
      <c r="AM546" s="396"/>
      <c r="AN546" s="396"/>
      <c r="AO546" s="396"/>
      <c r="AP546" s="379" t="str">
        <f>$AP$2</f>
        <v>BB----</v>
      </c>
      <c r="AQ546" s="379"/>
      <c r="AR546" s="379"/>
      <c r="AS546" s="379"/>
      <c r="AT546" s="379"/>
      <c r="AU546" s="379"/>
      <c r="AV546" s="379"/>
      <c r="AW546" s="379"/>
      <c r="AX546" s="379"/>
      <c r="AY546" s="379"/>
      <c r="AZ546" s="379"/>
      <c r="BA546" s="379"/>
      <c r="BB546" s="379"/>
      <c r="BC546" s="380"/>
    </row>
    <row r="547" spans="2:55" ht="12.75" customHeight="1">
      <c r="B547" s="103"/>
      <c r="C547" s="104"/>
      <c r="D547" s="104"/>
      <c r="E547" s="104"/>
      <c r="F547" s="104"/>
      <c r="G547" s="104"/>
      <c r="H547" s="104"/>
      <c r="I547" s="322"/>
      <c r="J547" s="322"/>
      <c r="K547" s="322"/>
      <c r="L547" s="322"/>
      <c r="M547" s="322"/>
      <c r="N547" s="322"/>
      <c r="O547" s="322"/>
      <c r="P547" s="322"/>
      <c r="Q547" s="322"/>
      <c r="R547" s="322"/>
      <c r="S547" s="322"/>
      <c r="T547" s="322"/>
      <c r="U547" s="323"/>
      <c r="V547" s="481"/>
      <c r="W547" s="482"/>
      <c r="X547" s="482"/>
      <c r="Y547" s="482"/>
      <c r="Z547" s="482"/>
      <c r="AA547" s="482"/>
      <c r="AB547" s="482"/>
      <c r="AC547" s="482"/>
      <c r="AD547" s="482"/>
      <c r="AE547" s="482"/>
      <c r="AF547" s="482"/>
      <c r="AG547" s="482"/>
      <c r="AH547" s="482"/>
      <c r="AI547" s="482"/>
      <c r="AJ547" s="483"/>
      <c r="AK547" s="397"/>
      <c r="AL547" s="398"/>
      <c r="AM547" s="398"/>
      <c r="AN547" s="398"/>
      <c r="AO547" s="398"/>
      <c r="AP547" s="381"/>
      <c r="AQ547" s="381"/>
      <c r="AR547" s="381"/>
      <c r="AS547" s="381"/>
      <c r="AT547" s="381"/>
      <c r="AU547" s="381"/>
      <c r="AV547" s="381"/>
      <c r="AW547" s="381"/>
      <c r="AX547" s="381"/>
      <c r="AY547" s="381"/>
      <c r="AZ547" s="381"/>
      <c r="BA547" s="381"/>
      <c r="BB547" s="381"/>
      <c r="BC547" s="382"/>
    </row>
    <row r="548" spans="2:55" ht="12.75" customHeight="1">
      <c r="B548" s="103"/>
      <c r="C548" s="104"/>
      <c r="D548" s="104"/>
      <c r="E548" s="104"/>
      <c r="F548" s="104"/>
      <c r="G548" s="104"/>
      <c r="H548" s="104"/>
      <c r="I548" s="322"/>
      <c r="J548" s="322"/>
      <c r="K548" s="322"/>
      <c r="L548" s="322"/>
      <c r="M548" s="322"/>
      <c r="N548" s="322"/>
      <c r="O548" s="322"/>
      <c r="P548" s="322"/>
      <c r="Q548" s="322"/>
      <c r="R548" s="322"/>
      <c r="S548" s="322"/>
      <c r="T548" s="322"/>
      <c r="U548" s="323"/>
      <c r="V548" s="481"/>
      <c r="W548" s="482"/>
      <c r="X548" s="482"/>
      <c r="Y548" s="482"/>
      <c r="Z548" s="482"/>
      <c r="AA548" s="482"/>
      <c r="AB548" s="482"/>
      <c r="AC548" s="482"/>
      <c r="AD548" s="482"/>
      <c r="AE548" s="482"/>
      <c r="AF548" s="482"/>
      <c r="AG548" s="482"/>
      <c r="AH548" s="482"/>
      <c r="AI548" s="482"/>
      <c r="AJ548" s="483"/>
      <c r="AK548" s="358" t="s">
        <v>2</v>
      </c>
      <c r="AL548" s="359"/>
      <c r="AM548" s="359"/>
      <c r="AN548" s="359"/>
      <c r="AO548" s="359"/>
      <c r="AP548" s="381" t="str">
        <f>$AP$4</f>
        <v>TITLE</v>
      </c>
      <c r="AQ548" s="381"/>
      <c r="AR548" s="381"/>
      <c r="AS548" s="381"/>
      <c r="AT548" s="381"/>
      <c r="AU548" s="381"/>
      <c r="AV548" s="381"/>
      <c r="AW548" s="381"/>
      <c r="AX548" s="381"/>
      <c r="AY548" s="381"/>
      <c r="AZ548" s="381"/>
      <c r="BA548" s="381"/>
      <c r="BB548" s="381"/>
      <c r="BC548" s="382"/>
    </row>
    <row r="549" spans="2:55" ht="12.75" customHeight="1">
      <c r="B549" s="103"/>
      <c r="C549" s="104"/>
      <c r="D549" s="104"/>
      <c r="E549" s="104"/>
      <c r="F549" s="104"/>
      <c r="G549" s="104"/>
      <c r="H549" s="104"/>
      <c r="I549" s="322"/>
      <c r="J549" s="322"/>
      <c r="K549" s="322"/>
      <c r="L549" s="322"/>
      <c r="M549" s="322"/>
      <c r="N549" s="322"/>
      <c r="O549" s="322"/>
      <c r="P549" s="322"/>
      <c r="Q549" s="322"/>
      <c r="R549" s="322"/>
      <c r="S549" s="322"/>
      <c r="T549" s="322"/>
      <c r="U549" s="323"/>
      <c r="V549" s="481"/>
      <c r="W549" s="482"/>
      <c r="X549" s="482"/>
      <c r="Y549" s="482"/>
      <c r="Z549" s="482"/>
      <c r="AA549" s="482"/>
      <c r="AB549" s="482"/>
      <c r="AC549" s="482"/>
      <c r="AD549" s="482"/>
      <c r="AE549" s="482"/>
      <c r="AF549" s="482"/>
      <c r="AG549" s="482"/>
      <c r="AH549" s="482"/>
      <c r="AI549" s="482"/>
      <c r="AJ549" s="483"/>
      <c r="AK549" s="358"/>
      <c r="AL549" s="359"/>
      <c r="AM549" s="359"/>
      <c r="AN549" s="359"/>
      <c r="AO549" s="359"/>
      <c r="AP549" s="381"/>
      <c r="AQ549" s="381"/>
      <c r="AR549" s="381"/>
      <c r="AS549" s="381"/>
      <c r="AT549" s="381"/>
      <c r="AU549" s="381"/>
      <c r="AV549" s="381"/>
      <c r="AW549" s="381"/>
      <c r="AX549" s="381"/>
      <c r="AY549" s="381"/>
      <c r="AZ549" s="381"/>
      <c r="BA549" s="381"/>
      <c r="BB549" s="381"/>
      <c r="BC549" s="382"/>
    </row>
    <row r="550" spans="2:55" ht="12.75" customHeight="1">
      <c r="B550" s="103"/>
      <c r="C550" s="104"/>
      <c r="D550" s="104"/>
      <c r="E550" s="104"/>
      <c r="F550" s="104"/>
      <c r="G550" s="104"/>
      <c r="H550" s="104"/>
      <c r="I550" s="322"/>
      <c r="J550" s="322"/>
      <c r="K550" s="322"/>
      <c r="L550" s="322"/>
      <c r="M550" s="322"/>
      <c r="N550" s="322"/>
      <c r="O550" s="322"/>
      <c r="P550" s="322"/>
      <c r="Q550" s="322"/>
      <c r="R550" s="322"/>
      <c r="S550" s="322"/>
      <c r="T550" s="322"/>
      <c r="U550" s="323"/>
      <c r="V550" s="481"/>
      <c r="W550" s="482"/>
      <c r="X550" s="482"/>
      <c r="Y550" s="482"/>
      <c r="Z550" s="482"/>
      <c r="AA550" s="482"/>
      <c r="AB550" s="482"/>
      <c r="AC550" s="482"/>
      <c r="AD550" s="482"/>
      <c r="AE550" s="482"/>
      <c r="AF550" s="482"/>
      <c r="AG550" s="482"/>
      <c r="AH550" s="482"/>
      <c r="AI550" s="482"/>
      <c r="AJ550" s="483"/>
      <c r="AK550" s="401" t="s">
        <v>3</v>
      </c>
      <c r="AL550" s="401"/>
      <c r="AM550" s="401"/>
      <c r="AN550" s="401"/>
      <c r="AO550" s="401"/>
      <c r="AP550" s="381">
        <f>AP482+1</f>
        <v>9</v>
      </c>
      <c r="AQ550" s="381"/>
      <c r="AR550" s="381"/>
      <c r="AS550" s="381"/>
      <c r="AT550" s="381"/>
      <c r="AU550" s="381"/>
      <c r="AV550" s="381"/>
      <c r="AW550" s="381"/>
      <c r="AX550" s="381"/>
      <c r="AY550" s="381"/>
      <c r="AZ550" s="381"/>
      <c r="BA550" s="381"/>
      <c r="BB550" s="381"/>
      <c r="BC550" s="382"/>
    </row>
    <row r="551" spans="2:55" ht="12.75" customHeight="1">
      <c r="B551" s="103"/>
      <c r="C551" s="104"/>
      <c r="D551" s="104"/>
      <c r="E551" s="104"/>
      <c r="F551" s="104"/>
      <c r="G551" s="104"/>
      <c r="H551" s="104"/>
      <c r="I551" s="322"/>
      <c r="J551" s="322"/>
      <c r="K551" s="322"/>
      <c r="L551" s="322"/>
      <c r="M551" s="322"/>
      <c r="N551" s="322"/>
      <c r="O551" s="322"/>
      <c r="P551" s="322"/>
      <c r="Q551" s="322"/>
      <c r="R551" s="322"/>
      <c r="S551" s="322"/>
      <c r="T551" s="322"/>
      <c r="U551" s="323"/>
      <c r="V551" s="481"/>
      <c r="W551" s="482"/>
      <c r="X551" s="482"/>
      <c r="Y551" s="482"/>
      <c r="Z551" s="482"/>
      <c r="AA551" s="482"/>
      <c r="AB551" s="482"/>
      <c r="AC551" s="482"/>
      <c r="AD551" s="482"/>
      <c r="AE551" s="482"/>
      <c r="AF551" s="482"/>
      <c r="AG551" s="482"/>
      <c r="AH551" s="482"/>
      <c r="AI551" s="482"/>
      <c r="AJ551" s="483"/>
      <c r="AK551" s="401" t="s">
        <v>4</v>
      </c>
      <c r="AL551" s="401"/>
      <c r="AM551" s="401"/>
      <c r="AN551" s="401"/>
      <c r="AO551" s="401"/>
      <c r="AP551" s="383">
        <f ca="1">$AP$7</f>
        <v>45928</v>
      </c>
      <c r="AQ551" s="383"/>
      <c r="AR551" s="383"/>
      <c r="AS551" s="383"/>
      <c r="AT551" s="383"/>
      <c r="AU551" s="383"/>
      <c r="AV551" s="383"/>
      <c r="AW551" s="383"/>
      <c r="AX551" s="383"/>
      <c r="AY551" s="383"/>
      <c r="AZ551" s="383"/>
      <c r="BA551" s="383"/>
      <c r="BB551" s="383"/>
      <c r="BC551" s="384"/>
    </row>
    <row r="552" spans="2:55" ht="12.75" customHeight="1">
      <c r="B552" s="103"/>
      <c r="C552" s="104"/>
      <c r="D552" s="104"/>
      <c r="E552" s="104"/>
      <c r="F552" s="104"/>
      <c r="G552" s="104"/>
      <c r="H552" s="104"/>
      <c r="I552" s="322"/>
      <c r="J552" s="322"/>
      <c r="K552" s="322"/>
      <c r="L552" s="322"/>
      <c r="M552" s="322"/>
      <c r="N552" s="322"/>
      <c r="O552" s="322"/>
      <c r="P552" s="322"/>
      <c r="Q552" s="322"/>
      <c r="R552" s="322"/>
      <c r="S552" s="322"/>
      <c r="T552" s="322"/>
      <c r="U552" s="323"/>
      <c r="V552" s="481"/>
      <c r="W552" s="482"/>
      <c r="X552" s="482"/>
      <c r="Y552" s="482"/>
      <c r="Z552" s="482"/>
      <c r="AA552" s="482"/>
      <c r="AB552" s="482"/>
      <c r="AC552" s="482"/>
      <c r="AD552" s="482"/>
      <c r="AE552" s="482"/>
      <c r="AF552" s="482"/>
      <c r="AG552" s="482"/>
      <c r="AH552" s="482"/>
      <c r="AI552" s="482"/>
      <c r="AJ552" s="483"/>
      <c r="AK552" s="401" t="s">
        <v>5</v>
      </c>
      <c r="AL552" s="401"/>
      <c r="AM552" s="401"/>
      <c r="AN552" s="401"/>
      <c r="AO552" s="401"/>
      <c r="AP552" s="381" t="str">
        <f>$AP$8</f>
        <v>AB</v>
      </c>
      <c r="AQ552" s="381"/>
      <c r="AR552" s="381"/>
      <c r="AS552" s="381"/>
      <c r="AT552" s="381"/>
      <c r="AU552" s="381"/>
      <c r="AV552" s="381"/>
      <c r="AW552" s="381"/>
      <c r="AX552" s="381"/>
      <c r="AY552" s="381"/>
      <c r="AZ552" s="381"/>
      <c r="BA552" s="381"/>
      <c r="BB552" s="381"/>
      <c r="BC552" s="382"/>
    </row>
    <row r="553" spans="2:55" ht="12.75" customHeight="1">
      <c r="B553" s="105"/>
      <c r="C553" s="106"/>
      <c r="D553" s="106"/>
      <c r="E553" s="106"/>
      <c r="F553" s="106"/>
      <c r="G553" s="106"/>
      <c r="H553" s="106"/>
      <c r="I553" s="324"/>
      <c r="J553" s="324"/>
      <c r="K553" s="324"/>
      <c r="L553" s="324"/>
      <c r="M553" s="324"/>
      <c r="N553" s="324"/>
      <c r="O553" s="324"/>
      <c r="P553" s="324"/>
      <c r="Q553" s="324"/>
      <c r="R553" s="324"/>
      <c r="S553" s="324"/>
      <c r="T553" s="324"/>
      <c r="U553" s="325"/>
      <c r="V553" s="484"/>
      <c r="W553" s="485"/>
      <c r="X553" s="485"/>
      <c r="Y553" s="485"/>
      <c r="Z553" s="485"/>
      <c r="AA553" s="485"/>
      <c r="AB553" s="485"/>
      <c r="AC553" s="485"/>
      <c r="AD553" s="485"/>
      <c r="AE553" s="485"/>
      <c r="AF553" s="485"/>
      <c r="AG553" s="485"/>
      <c r="AH553" s="485"/>
      <c r="AI553" s="485"/>
      <c r="AJ553" s="486"/>
      <c r="AK553" s="460" t="s">
        <v>6</v>
      </c>
      <c r="AL553" s="460"/>
      <c r="AM553" s="460"/>
      <c r="AN553" s="460"/>
      <c r="AO553" s="460"/>
      <c r="AP553" s="386" t="str">
        <f>$AP$9</f>
        <v xml:space="preserve">CAT I / II </v>
      </c>
      <c r="AQ553" s="386"/>
      <c r="AR553" s="386"/>
      <c r="AS553" s="386"/>
      <c r="AT553" s="386"/>
      <c r="AU553" s="386"/>
      <c r="AV553" s="386"/>
      <c r="AW553" s="386"/>
      <c r="AX553" s="386"/>
      <c r="AY553" s="386"/>
      <c r="AZ553" s="386"/>
      <c r="BA553" s="386"/>
      <c r="BB553" s="386"/>
      <c r="BC553" s="387"/>
    </row>
    <row r="554" spans="2:55" ht="12.75" customHeight="1">
      <c r="B554" s="360" t="s">
        <v>7</v>
      </c>
      <c r="C554" s="361"/>
      <c r="D554" s="361"/>
      <c r="E554" s="361"/>
      <c r="F554" s="361"/>
      <c r="G554" s="361"/>
      <c r="H554" s="361"/>
      <c r="I554" s="361"/>
      <c r="J554" s="361"/>
      <c r="K554" s="361"/>
      <c r="L554" s="361"/>
      <c r="M554" s="361"/>
      <c r="N554" s="361"/>
      <c r="O554" s="361"/>
      <c r="P554" s="361"/>
      <c r="Q554" s="361"/>
      <c r="R554" s="361"/>
      <c r="S554" s="361"/>
      <c r="T554" s="361"/>
      <c r="U554" s="361"/>
      <c r="V554" s="361"/>
      <c r="W554" s="361"/>
      <c r="X554" s="361"/>
      <c r="Y554" s="361"/>
      <c r="Z554" s="361"/>
      <c r="AA554" s="361"/>
      <c r="AB554" s="361"/>
      <c r="AC554" s="361"/>
      <c r="AD554" s="361"/>
      <c r="AE554" s="361"/>
      <c r="AF554" s="361"/>
      <c r="AG554" s="361"/>
      <c r="AH554" s="361"/>
      <c r="AI554" s="361"/>
      <c r="AJ554" s="361"/>
      <c r="AK554" s="361"/>
      <c r="AL554" s="361"/>
      <c r="AM554" s="361"/>
      <c r="AN554" s="361"/>
      <c r="AO554" s="361"/>
      <c r="AP554" s="361"/>
      <c r="AQ554" s="361"/>
      <c r="AR554" s="361"/>
      <c r="AS554" s="361"/>
      <c r="AT554" s="361"/>
      <c r="AU554" s="361"/>
      <c r="AV554" s="361"/>
      <c r="AW554" s="361"/>
      <c r="AX554" s="361"/>
      <c r="AY554" s="361"/>
      <c r="AZ554" s="361"/>
      <c r="BA554" s="361"/>
      <c r="BB554" s="361"/>
      <c r="BC554" s="362"/>
    </row>
    <row r="555" spans="2:55" ht="12.75" customHeight="1">
      <c r="B555" s="363"/>
      <c r="C555" s="364"/>
      <c r="D555" s="364"/>
      <c r="E555" s="364"/>
      <c r="F555" s="364"/>
      <c r="G555" s="364"/>
      <c r="H555" s="364"/>
      <c r="I555" s="364"/>
      <c r="J555" s="364"/>
      <c r="K555" s="364"/>
      <c r="L555" s="364"/>
      <c r="M555" s="364"/>
      <c r="N555" s="364"/>
      <c r="O555" s="364"/>
      <c r="P555" s="364"/>
      <c r="Q555" s="364"/>
      <c r="R555" s="364"/>
      <c r="S555" s="364"/>
      <c r="T555" s="364"/>
      <c r="U555" s="364"/>
      <c r="V555" s="364"/>
      <c r="W555" s="364"/>
      <c r="X555" s="364"/>
      <c r="Y555" s="364"/>
      <c r="Z555" s="364"/>
      <c r="AA555" s="364"/>
      <c r="AB555" s="364"/>
      <c r="AC555" s="364"/>
      <c r="AD555" s="364"/>
      <c r="AE555" s="364"/>
      <c r="AF555" s="364"/>
      <c r="AG555" s="364"/>
      <c r="AH555" s="364"/>
      <c r="AI555" s="364"/>
      <c r="AJ555" s="364"/>
      <c r="AK555" s="364"/>
      <c r="AL555" s="364"/>
      <c r="AM555" s="364"/>
      <c r="AN555" s="364"/>
      <c r="AO555" s="364"/>
      <c r="AP555" s="364"/>
      <c r="AQ555" s="364"/>
      <c r="AR555" s="364"/>
      <c r="AS555" s="364"/>
      <c r="AT555" s="364"/>
      <c r="AU555" s="364"/>
      <c r="AV555" s="364"/>
      <c r="AW555" s="364"/>
      <c r="AX555" s="364"/>
      <c r="AY555" s="364"/>
      <c r="AZ555" s="364"/>
      <c r="BA555" s="364"/>
      <c r="BB555" s="364"/>
      <c r="BC555" s="365"/>
    </row>
    <row r="556" spans="2:55" ht="12.75" customHeight="1">
      <c r="B556" s="376"/>
      <c r="C556" s="377"/>
      <c r="D556" s="377"/>
      <c r="E556" s="377"/>
      <c r="F556" s="377"/>
      <c r="G556" s="377"/>
      <c r="H556" s="377"/>
      <c r="I556" s="377"/>
      <c r="J556" s="377"/>
      <c r="K556" s="377"/>
      <c r="L556" s="377"/>
      <c r="M556" s="377"/>
      <c r="N556" s="377"/>
      <c r="O556" s="377"/>
      <c r="P556" s="377"/>
      <c r="Q556" s="377"/>
      <c r="R556" s="377"/>
      <c r="S556" s="377"/>
      <c r="T556" s="377"/>
      <c r="U556" s="377"/>
      <c r="V556" s="377"/>
      <c r="W556" s="377"/>
      <c r="X556" s="377"/>
      <c r="Y556" s="377"/>
      <c r="Z556" s="377"/>
      <c r="AA556" s="377"/>
      <c r="AB556" s="377"/>
      <c r="AC556" s="377"/>
      <c r="AD556" s="377"/>
      <c r="AE556" s="377"/>
      <c r="AF556" s="377"/>
      <c r="AG556" s="377"/>
      <c r="AH556" s="377"/>
      <c r="AI556" s="377"/>
      <c r="AJ556" s="377"/>
      <c r="AK556" s="377"/>
      <c r="AL556" s="377"/>
      <c r="AM556" s="377"/>
      <c r="AN556" s="377"/>
      <c r="AO556" s="377"/>
      <c r="AP556" s="377"/>
      <c r="AQ556" s="377"/>
      <c r="AR556" s="377"/>
      <c r="AS556" s="377"/>
      <c r="AT556" s="377"/>
      <c r="AU556" s="377"/>
      <c r="AV556" s="377"/>
      <c r="AW556" s="377"/>
      <c r="AX556" s="377"/>
      <c r="AY556" s="377"/>
      <c r="AZ556" s="377"/>
      <c r="BA556" s="377"/>
      <c r="BB556" s="377"/>
      <c r="BC556" s="378"/>
    </row>
    <row r="557" spans="2:55" ht="12.75" customHeight="1">
      <c r="B557" s="461" t="s">
        <v>8</v>
      </c>
      <c r="C557" s="462"/>
      <c r="D557" s="462"/>
      <c r="E557" s="462"/>
      <c r="F557" s="462"/>
      <c r="G557" s="462"/>
      <c r="H557" s="463"/>
      <c r="I557" s="304"/>
      <c r="J557" s="308"/>
      <c r="K557" s="308"/>
      <c r="L557" s="308"/>
      <c r="M557" s="308"/>
      <c r="N557" s="308"/>
      <c r="O557" s="308"/>
      <c r="P557" s="308"/>
      <c r="Q557" s="308"/>
      <c r="R557" s="308"/>
      <c r="S557" s="308"/>
      <c r="T557" s="308"/>
      <c r="U557" s="308"/>
      <c r="V557" s="308"/>
      <c r="W557" s="308"/>
      <c r="X557" s="308"/>
      <c r="Y557" s="308"/>
      <c r="Z557" s="308"/>
      <c r="AA557" s="308"/>
      <c r="AB557" s="308"/>
      <c r="AC557" s="308"/>
      <c r="AD557" s="308"/>
      <c r="AE557" s="308"/>
      <c r="AF557" s="308"/>
      <c r="AG557" s="308"/>
      <c r="AH557" s="308"/>
      <c r="AI557" s="308"/>
      <c r="AJ557" s="308"/>
      <c r="AK557" s="308"/>
      <c r="AL557" s="308"/>
      <c r="AM557" s="308"/>
      <c r="AN557" s="308"/>
      <c r="AO557" s="197"/>
      <c r="AP557" s="197"/>
      <c r="AQ557" s="197"/>
      <c r="AR557" s="197"/>
      <c r="AS557" s="197"/>
      <c r="AT557" s="197"/>
      <c r="AU557" s="197"/>
      <c r="AV557" s="198"/>
      <c r="AW557" s="403" t="s">
        <v>9</v>
      </c>
      <c r="AX557" s="404"/>
      <c r="AY557" s="404"/>
      <c r="AZ557" s="404"/>
      <c r="BA557" s="404"/>
      <c r="BB557" s="404"/>
      <c r="BC557" s="405"/>
    </row>
    <row r="558" spans="2:55" ht="12.75" customHeight="1">
      <c r="B558" s="267"/>
      <c r="C558" s="269"/>
      <c r="D558" s="269"/>
      <c r="E558" s="269"/>
      <c r="F558" s="269"/>
      <c r="G558" s="253"/>
      <c r="H558" s="254"/>
      <c r="I558" s="237"/>
      <c r="J558" s="307" t="s">
        <v>188</v>
      </c>
      <c r="K558" s="180"/>
      <c r="L558" s="180"/>
      <c r="M558" s="180"/>
      <c r="N558" s="180"/>
      <c r="O558" s="180"/>
      <c r="P558" s="180"/>
      <c r="Q558" s="214"/>
      <c r="R558" s="180"/>
      <c r="S558" s="180"/>
      <c r="T558" s="215"/>
      <c r="U558" s="180"/>
      <c r="V558" s="180"/>
      <c r="W558" s="180"/>
      <c r="X558" s="180"/>
      <c r="Y558" s="214"/>
      <c r="Z558" s="214"/>
      <c r="AA558" s="214"/>
      <c r="AB558" s="214"/>
      <c r="AC558" s="214"/>
      <c r="AD558" s="214"/>
      <c r="AE558" s="214"/>
      <c r="AF558" s="214"/>
      <c r="AG558" s="180"/>
      <c r="AH558" s="180"/>
      <c r="AI558" s="180"/>
      <c r="AJ558" s="180"/>
      <c r="AK558" s="180"/>
      <c r="AL558" s="180"/>
      <c r="AM558" s="245"/>
      <c r="AN558" s="245"/>
      <c r="AO558" s="180"/>
      <c r="AP558" s="180"/>
      <c r="AQ558" s="180"/>
      <c r="AR558" s="180"/>
      <c r="AS558" s="180"/>
      <c r="AT558" s="180"/>
      <c r="AU558" s="180"/>
      <c r="AV558" s="201"/>
      <c r="AW558" s="202"/>
      <c r="AX558" s="203"/>
      <c r="AY558" s="203"/>
      <c r="AZ558" s="203"/>
      <c r="BA558" s="203"/>
      <c r="BB558" s="203"/>
      <c r="BC558" s="276"/>
    </row>
    <row r="559" spans="2:55" ht="12.75" customHeight="1">
      <c r="B559" s="158"/>
      <c r="C559" s="64"/>
      <c r="D559" s="64"/>
      <c r="E559" s="64"/>
      <c r="F559" s="64"/>
      <c r="G559" s="65"/>
      <c r="H559" s="8"/>
      <c r="I559" s="167"/>
      <c r="J559" s="2"/>
      <c r="K559" s="2"/>
      <c r="L559" s="2"/>
      <c r="M559" s="2"/>
      <c r="N559" s="2"/>
      <c r="O559" s="2"/>
      <c r="P559" s="2"/>
      <c r="Q559" s="7"/>
      <c r="R559" s="2"/>
      <c r="S559" s="2"/>
      <c r="T559" s="6"/>
      <c r="U559" s="2"/>
      <c r="V559" s="2"/>
      <c r="W559" s="2"/>
      <c r="X559" s="2"/>
      <c r="Y559" s="7"/>
      <c r="Z559" s="7"/>
      <c r="AA559" s="7"/>
      <c r="AB559" s="7"/>
      <c r="AC559" s="7"/>
      <c r="AD559" s="7"/>
      <c r="AE559" s="7"/>
      <c r="AF559" s="7"/>
      <c r="AG559" s="2"/>
      <c r="AH559" s="2"/>
      <c r="AI559" s="2"/>
      <c r="AJ559" s="2"/>
      <c r="AK559" s="2"/>
      <c r="AL559" s="2"/>
      <c r="AM559" s="3"/>
      <c r="AN559" s="3"/>
      <c r="AO559" s="2"/>
      <c r="AP559" s="2"/>
      <c r="AQ559" s="2"/>
      <c r="AR559" s="2"/>
      <c r="AS559" s="2"/>
      <c r="AT559" s="2"/>
      <c r="AU559" s="2"/>
      <c r="AV559" s="107"/>
      <c r="AW559" s="4"/>
      <c r="BC559" s="5"/>
    </row>
    <row r="560" spans="2:55" ht="12.75" customHeight="1">
      <c r="B560" s="158"/>
      <c r="C560" s="64"/>
      <c r="D560" s="64"/>
      <c r="E560" s="64"/>
      <c r="F560" s="64"/>
      <c r="G560" s="65"/>
      <c r="H560" s="8"/>
      <c r="I560" s="167"/>
      <c r="J560" s="2"/>
      <c r="K560" s="2"/>
      <c r="L560" s="2"/>
      <c r="M560" s="2"/>
      <c r="N560" s="2"/>
      <c r="O560" s="2"/>
      <c r="P560" s="2"/>
      <c r="Q560" s="7"/>
      <c r="R560" s="2"/>
      <c r="S560" s="2"/>
      <c r="T560" s="6"/>
      <c r="U560" s="2"/>
      <c r="V560" s="2"/>
      <c r="W560" s="2"/>
      <c r="X560" s="2"/>
      <c r="Y560" s="7"/>
      <c r="Z560" s="7"/>
      <c r="AA560" s="7"/>
      <c r="AB560" s="7"/>
      <c r="AC560" s="7"/>
      <c r="AD560" s="7"/>
      <c r="AE560" s="7"/>
      <c r="AF560" s="7"/>
      <c r="AG560" s="2"/>
      <c r="AH560" s="2"/>
      <c r="AI560" s="2"/>
      <c r="AJ560" s="2"/>
      <c r="AK560" s="2"/>
      <c r="AL560" s="2"/>
      <c r="AM560" s="3"/>
      <c r="AN560" s="3"/>
      <c r="AO560" s="2"/>
      <c r="AP560" s="2"/>
      <c r="AQ560" s="2"/>
      <c r="AR560" s="2"/>
      <c r="AS560" s="2"/>
      <c r="AT560" s="2"/>
      <c r="AU560" s="2"/>
      <c r="AV560" s="107"/>
      <c r="AW560" s="4"/>
      <c r="BC560" s="5"/>
    </row>
    <row r="561" spans="2:55" ht="12.75" customHeight="1">
      <c r="B561" s="158"/>
      <c r="C561" s="64"/>
      <c r="D561" s="64"/>
      <c r="E561" s="64"/>
      <c r="F561" s="64"/>
      <c r="G561" s="65"/>
      <c r="H561" s="8"/>
      <c r="I561" s="167"/>
      <c r="J561" s="2"/>
      <c r="K561" s="2"/>
      <c r="L561" s="2"/>
      <c r="M561" s="2"/>
      <c r="N561" s="2"/>
      <c r="O561" s="2"/>
      <c r="P561" s="2"/>
      <c r="Q561" s="7"/>
      <c r="R561" s="2"/>
      <c r="S561" s="2"/>
      <c r="T561" s="6"/>
      <c r="U561" s="2"/>
      <c r="V561" s="2"/>
      <c r="W561" s="2"/>
      <c r="X561" s="2"/>
      <c r="Y561" s="7"/>
      <c r="Z561" s="7"/>
      <c r="AA561" s="7"/>
      <c r="AB561" s="7"/>
      <c r="AC561" s="7"/>
      <c r="AD561" s="7"/>
      <c r="AE561" s="7"/>
      <c r="AF561" s="7"/>
      <c r="AG561" s="2"/>
      <c r="AH561" s="2"/>
      <c r="AI561" s="2"/>
      <c r="AJ561" s="2"/>
      <c r="AK561" s="2"/>
      <c r="AL561" s="2"/>
      <c r="AM561" s="3"/>
      <c r="AN561" s="3"/>
      <c r="AO561" s="2"/>
      <c r="AP561" s="2"/>
      <c r="AQ561" s="2"/>
      <c r="AR561" s="2"/>
      <c r="AS561" s="2"/>
      <c r="AT561" s="2"/>
      <c r="AU561" s="2"/>
      <c r="AV561" s="107"/>
      <c r="AW561" s="4"/>
      <c r="BC561" s="5"/>
    </row>
    <row r="562" spans="2:55" ht="12.75" customHeight="1">
      <c r="B562" s="158"/>
      <c r="C562" s="64"/>
      <c r="D562" s="64"/>
      <c r="E562" s="64"/>
      <c r="F562" s="64"/>
      <c r="G562" s="65"/>
      <c r="H562" s="8"/>
      <c r="I562" s="167"/>
      <c r="J562" s="2"/>
      <c r="K562" s="2"/>
      <c r="L562" s="2"/>
      <c r="M562" s="2"/>
      <c r="N562" s="2"/>
      <c r="O562" s="2"/>
      <c r="P562" s="2"/>
      <c r="Q562" s="7"/>
      <c r="R562" s="2"/>
      <c r="S562" s="2"/>
      <c r="T562" s="6"/>
      <c r="U562" s="2"/>
      <c r="V562" s="2"/>
      <c r="W562" s="2"/>
      <c r="X562" s="2"/>
      <c r="Y562" s="7"/>
      <c r="Z562" s="7"/>
      <c r="AA562" s="7"/>
      <c r="AB562" s="7"/>
      <c r="AC562" s="7"/>
      <c r="AD562" s="7"/>
      <c r="AE562" s="7"/>
      <c r="AF562" s="7"/>
      <c r="AG562" s="2"/>
      <c r="AH562" s="2"/>
      <c r="AI562" s="2"/>
      <c r="AJ562" s="2"/>
      <c r="AK562" s="2"/>
      <c r="AL562" s="2"/>
      <c r="AM562" s="3"/>
      <c r="AN562" s="3"/>
      <c r="AO562" s="2"/>
      <c r="AP562" s="2"/>
      <c r="AQ562" s="2"/>
      <c r="AR562" s="2"/>
      <c r="AS562" s="2"/>
      <c r="AT562" s="2"/>
      <c r="AU562" s="2"/>
      <c r="AV562" s="107"/>
      <c r="AW562" s="4"/>
      <c r="BC562" s="5"/>
    </row>
    <row r="563" spans="2:55" ht="12.75" customHeight="1">
      <c r="B563" s="158"/>
      <c r="C563" s="64"/>
      <c r="D563" s="64"/>
      <c r="E563" s="64"/>
      <c r="F563" s="64"/>
      <c r="G563" s="65"/>
      <c r="H563" s="8"/>
      <c r="I563" s="167"/>
      <c r="J563" s="2"/>
      <c r="K563" s="2"/>
      <c r="L563" s="2"/>
      <c r="M563" s="2"/>
      <c r="N563" s="2"/>
      <c r="O563" s="2"/>
      <c r="P563" s="2"/>
      <c r="Q563" s="7"/>
      <c r="R563" s="2"/>
      <c r="S563" s="2"/>
      <c r="T563" s="6"/>
      <c r="U563" s="2"/>
      <c r="V563" s="2"/>
      <c r="W563" s="2"/>
      <c r="X563" s="2"/>
      <c r="Y563" s="7"/>
      <c r="Z563" s="7"/>
      <c r="AA563" s="7"/>
      <c r="AB563" s="7"/>
      <c r="AC563" s="7"/>
      <c r="AD563" s="7"/>
      <c r="AE563" s="7"/>
      <c r="AF563" s="7"/>
      <c r="AG563" s="2"/>
      <c r="AH563" s="2"/>
      <c r="AI563" s="2"/>
      <c r="AJ563" s="2"/>
      <c r="AK563" s="2"/>
      <c r="AL563" s="2"/>
      <c r="AM563" s="3"/>
      <c r="AN563" s="3"/>
      <c r="AO563" s="2"/>
      <c r="AP563" s="2"/>
      <c r="AQ563" s="2"/>
      <c r="AR563" s="2"/>
      <c r="AS563" s="2"/>
      <c r="AT563" s="2"/>
      <c r="AU563" s="2"/>
      <c r="AV563" s="107"/>
      <c r="AW563" s="4"/>
      <c r="BC563" s="5"/>
    </row>
    <row r="564" spans="2:55" ht="12.75" customHeight="1">
      <c r="B564" s="158"/>
      <c r="C564" s="64"/>
      <c r="D564" s="64"/>
      <c r="E564" s="64"/>
      <c r="F564" s="64"/>
      <c r="G564" s="65"/>
      <c r="H564" s="8"/>
      <c r="I564" s="167"/>
      <c r="J564" s="2"/>
      <c r="K564" s="2"/>
      <c r="L564" s="2"/>
      <c r="M564" s="2"/>
      <c r="N564" s="2"/>
      <c r="O564" s="2"/>
      <c r="P564" s="2"/>
      <c r="Q564" s="7"/>
      <c r="R564" s="2"/>
      <c r="S564" s="2"/>
      <c r="T564" s="6"/>
      <c r="U564" s="2"/>
      <c r="V564" s="2"/>
      <c r="W564" s="2"/>
      <c r="X564" s="2"/>
      <c r="Y564" s="7"/>
      <c r="Z564" s="7"/>
      <c r="AA564" s="7"/>
      <c r="AB564" s="7"/>
      <c r="AC564" s="7"/>
      <c r="AD564" s="7"/>
      <c r="AE564" s="7"/>
      <c r="AF564" s="7"/>
      <c r="AG564" s="2"/>
      <c r="AH564" s="2"/>
      <c r="AI564" s="2"/>
      <c r="AJ564" s="2"/>
      <c r="AK564" s="2"/>
      <c r="AL564" s="2"/>
      <c r="AM564" s="3"/>
      <c r="AN564" s="3"/>
      <c r="AO564" s="2"/>
      <c r="AP564" s="2"/>
      <c r="AQ564" s="2"/>
      <c r="AR564" s="2"/>
      <c r="AS564" s="2"/>
      <c r="AT564" s="2"/>
      <c r="AU564" s="2"/>
      <c r="AV564" s="107"/>
      <c r="AW564" s="4"/>
      <c r="BC564" s="5"/>
    </row>
    <row r="565" spans="2:55" ht="12.75" customHeight="1">
      <c r="B565" s="158"/>
      <c r="C565" s="64"/>
      <c r="D565" s="64"/>
      <c r="E565" s="64"/>
      <c r="F565" s="64"/>
      <c r="G565" s="65"/>
      <c r="H565" s="8"/>
      <c r="I565" s="167"/>
      <c r="J565" s="2"/>
      <c r="K565" s="2"/>
      <c r="L565" s="2"/>
      <c r="M565" s="2"/>
      <c r="N565" s="2"/>
      <c r="O565" s="2"/>
      <c r="P565" s="2"/>
      <c r="Q565" s="7"/>
      <c r="R565" s="2"/>
      <c r="S565" s="2"/>
      <c r="T565" s="6"/>
      <c r="U565" s="2"/>
      <c r="V565" s="2"/>
      <c r="W565" s="2"/>
      <c r="X565" s="2"/>
      <c r="Y565" s="7"/>
      <c r="Z565" s="7"/>
      <c r="AA565" s="7"/>
      <c r="AB565" s="7"/>
      <c r="AC565" s="7"/>
      <c r="AD565" s="7"/>
      <c r="AE565" s="7"/>
      <c r="AF565" s="7"/>
      <c r="AG565" s="2"/>
      <c r="AH565" s="2"/>
      <c r="AI565" s="2"/>
      <c r="AJ565" s="2"/>
      <c r="AK565" s="2"/>
      <c r="AL565" s="2"/>
      <c r="AM565" s="3"/>
      <c r="AN565" s="3"/>
      <c r="AO565" s="2"/>
      <c r="AP565" s="2"/>
      <c r="AQ565" s="2"/>
      <c r="AR565" s="2"/>
      <c r="AS565" s="2"/>
      <c r="AT565" s="2"/>
      <c r="AU565" s="2"/>
      <c r="AV565" s="107"/>
      <c r="AW565" s="4"/>
      <c r="BC565" s="5"/>
    </row>
    <row r="566" spans="2:55" ht="12.75" customHeight="1">
      <c r="B566" s="158"/>
      <c r="C566" s="64"/>
      <c r="D566" s="64"/>
      <c r="E566" s="64"/>
      <c r="F566" s="64"/>
      <c r="G566" s="65"/>
      <c r="H566" s="8"/>
      <c r="I566" s="167"/>
      <c r="J566" s="2"/>
      <c r="K566" s="2"/>
      <c r="L566" s="2"/>
      <c r="M566" s="2"/>
      <c r="N566" s="2"/>
      <c r="O566" s="2"/>
      <c r="P566" s="2"/>
      <c r="Q566" s="7"/>
      <c r="R566" s="2"/>
      <c r="S566" s="2"/>
      <c r="T566" s="6"/>
      <c r="U566" s="2"/>
      <c r="V566" s="2"/>
      <c r="W566" s="2"/>
      <c r="X566" s="2"/>
      <c r="Y566" s="7"/>
      <c r="Z566" s="7"/>
      <c r="AA566" s="7"/>
      <c r="AB566" s="7"/>
      <c r="AC566" s="7"/>
      <c r="AD566" s="7"/>
      <c r="AE566" s="7"/>
      <c r="AF566" s="7"/>
      <c r="AG566" s="2"/>
      <c r="AH566" s="2"/>
      <c r="AI566" s="2"/>
      <c r="AJ566" s="2"/>
      <c r="AK566" s="2"/>
      <c r="AL566" s="2"/>
      <c r="AM566" s="3"/>
      <c r="AN566" s="3"/>
      <c r="AO566" s="2"/>
      <c r="AP566" s="2"/>
      <c r="AQ566" s="2"/>
      <c r="AR566" s="2"/>
      <c r="AS566" s="2"/>
      <c r="AT566" s="2"/>
      <c r="AU566" s="2"/>
      <c r="AV566" s="107"/>
      <c r="AW566" s="4"/>
      <c r="BC566" s="5"/>
    </row>
    <row r="567" spans="2:55" ht="12.75" customHeight="1">
      <c r="B567" s="158"/>
      <c r="C567" s="64"/>
      <c r="D567" s="64"/>
      <c r="E567" s="64"/>
      <c r="F567" s="64"/>
      <c r="G567" s="65"/>
      <c r="H567" s="8"/>
      <c r="I567" s="167"/>
      <c r="J567" s="2"/>
      <c r="K567" s="2"/>
      <c r="L567" s="2"/>
      <c r="M567" s="2"/>
      <c r="N567" s="2"/>
      <c r="O567" s="2"/>
      <c r="P567" s="2"/>
      <c r="Q567" s="7"/>
      <c r="R567" s="2"/>
      <c r="S567" s="2"/>
      <c r="T567" s="6"/>
      <c r="U567" s="2"/>
      <c r="V567" s="2"/>
      <c r="W567" s="2"/>
      <c r="X567" s="2"/>
      <c r="Y567" s="7"/>
      <c r="Z567" s="7"/>
      <c r="AA567" s="7"/>
      <c r="AB567" s="7"/>
      <c r="AC567" s="7"/>
      <c r="AD567" s="7"/>
      <c r="AE567" s="7"/>
      <c r="AF567" s="7"/>
      <c r="AG567" s="2"/>
      <c r="AH567" s="2"/>
      <c r="AI567" s="2"/>
      <c r="AJ567" s="2"/>
      <c r="AK567" s="2"/>
      <c r="AL567" s="2"/>
      <c r="AM567" s="3"/>
      <c r="AN567" s="3"/>
      <c r="AO567" s="2"/>
      <c r="AP567" s="2"/>
      <c r="AQ567" s="2"/>
      <c r="AR567" s="2"/>
      <c r="AS567" s="2"/>
      <c r="AT567" s="2"/>
      <c r="AU567" s="2"/>
      <c r="AV567" s="107"/>
      <c r="AW567" s="4"/>
      <c r="BC567" s="5"/>
    </row>
    <row r="568" spans="2:55" ht="12.75" customHeight="1">
      <c r="B568" s="158"/>
      <c r="C568" s="64"/>
      <c r="D568" s="64"/>
      <c r="E568" s="64"/>
      <c r="F568" s="64"/>
      <c r="G568" s="65"/>
      <c r="H568" s="8"/>
      <c r="I568" s="167"/>
      <c r="J568" s="2"/>
      <c r="K568" s="2"/>
      <c r="L568" s="2"/>
      <c r="M568" s="2"/>
      <c r="N568" s="2"/>
      <c r="O568" s="2"/>
      <c r="P568" s="2"/>
      <c r="Q568" s="7"/>
      <c r="R568" s="2"/>
      <c r="S568" s="2"/>
      <c r="T568" s="6"/>
      <c r="U568" s="2"/>
      <c r="V568" s="2"/>
      <c r="W568" s="2"/>
      <c r="X568" s="2"/>
      <c r="Y568" s="7"/>
      <c r="Z568" s="7"/>
      <c r="AA568" s="7"/>
      <c r="AB568" s="7"/>
      <c r="AC568" s="7"/>
      <c r="AD568" s="7"/>
      <c r="AE568" s="7"/>
      <c r="AF568" s="7"/>
      <c r="AG568" s="2"/>
      <c r="AH568" s="2"/>
      <c r="AI568" s="2"/>
      <c r="AJ568" s="2"/>
      <c r="AK568" s="2"/>
      <c r="AL568" s="2"/>
      <c r="AM568" s="3"/>
      <c r="AN568" s="3"/>
      <c r="AO568" s="2"/>
      <c r="AP568" s="2"/>
      <c r="AQ568" s="2"/>
      <c r="AR568" s="2"/>
      <c r="AS568" s="2"/>
      <c r="AT568" s="2"/>
      <c r="AU568" s="2"/>
      <c r="AV568" s="107"/>
      <c r="AW568" s="4"/>
      <c r="BC568" s="5"/>
    </row>
    <row r="569" spans="2:55" ht="12.75" customHeight="1">
      <c r="B569" s="158"/>
      <c r="C569" s="64"/>
      <c r="D569" s="64"/>
      <c r="E569" s="64"/>
      <c r="F569" s="64"/>
      <c r="G569" s="65"/>
      <c r="H569" s="8"/>
      <c r="I569" s="167"/>
      <c r="J569" s="2"/>
      <c r="K569" s="2"/>
      <c r="L569" s="2"/>
      <c r="M569" s="2"/>
      <c r="N569" s="2"/>
      <c r="O569" s="2"/>
      <c r="P569" s="2"/>
      <c r="Q569" s="7"/>
      <c r="R569" s="2"/>
      <c r="S569" s="2"/>
      <c r="T569" s="6"/>
      <c r="U569" s="2"/>
      <c r="V569" s="2"/>
      <c r="W569" s="2"/>
      <c r="X569" s="2"/>
      <c r="Y569" s="7"/>
      <c r="Z569" s="7"/>
      <c r="AA569" s="7"/>
      <c r="AB569" s="7"/>
      <c r="AC569" s="7"/>
      <c r="AD569" s="7"/>
      <c r="AE569" s="7"/>
      <c r="AF569" s="7"/>
      <c r="AG569" s="2"/>
      <c r="AH569" s="2"/>
      <c r="AI569" s="2"/>
      <c r="AJ569" s="2"/>
      <c r="AK569" s="2"/>
      <c r="AL569" s="2"/>
      <c r="AM569" s="3"/>
      <c r="AN569" s="3"/>
      <c r="AO569" s="2"/>
      <c r="AP569" s="2"/>
      <c r="AQ569" s="2"/>
      <c r="AR569" s="2"/>
      <c r="AS569" s="2"/>
      <c r="AT569" s="2"/>
      <c r="AU569" s="2"/>
      <c r="AV569" s="107"/>
      <c r="AW569" s="4"/>
      <c r="BC569" s="5"/>
    </row>
    <row r="570" spans="2:55" ht="12.75" customHeight="1">
      <c r="B570" s="158"/>
      <c r="C570" s="64"/>
      <c r="D570" s="64"/>
      <c r="E570" s="64"/>
      <c r="F570" s="64"/>
      <c r="G570" s="65"/>
      <c r="H570" s="8"/>
      <c r="I570" s="167"/>
      <c r="J570" s="2"/>
      <c r="K570" s="2"/>
      <c r="L570" s="2"/>
      <c r="M570" s="2"/>
      <c r="N570" s="2"/>
      <c r="O570" s="2"/>
      <c r="P570" s="2"/>
      <c r="Q570" s="7"/>
      <c r="R570" s="2"/>
      <c r="S570" s="2"/>
      <c r="T570" s="6"/>
      <c r="U570" s="2"/>
      <c r="V570" s="2"/>
      <c r="W570" s="2"/>
      <c r="X570" s="2"/>
      <c r="Y570" s="7"/>
      <c r="Z570" s="7"/>
      <c r="AA570" s="7"/>
      <c r="AB570" s="7"/>
      <c r="AC570" s="7"/>
      <c r="AD570" s="7"/>
      <c r="AE570" s="7"/>
      <c r="AF570" s="7"/>
      <c r="AG570" s="2"/>
      <c r="AH570" s="2"/>
      <c r="AI570" s="2"/>
      <c r="AJ570" s="2"/>
      <c r="AK570" s="2"/>
      <c r="AL570" s="2"/>
      <c r="AM570" s="3"/>
      <c r="AN570" s="3"/>
      <c r="AO570" s="2"/>
      <c r="AP570" s="2"/>
      <c r="AQ570" s="2"/>
      <c r="AR570" s="2"/>
      <c r="AS570" s="2"/>
      <c r="AT570" s="2"/>
      <c r="AU570" s="2"/>
      <c r="AV570" s="107"/>
      <c r="AW570" s="4"/>
      <c r="BC570" s="5"/>
    </row>
    <row r="571" spans="2:55" ht="12.75" customHeight="1">
      <c r="B571" s="158"/>
      <c r="C571" s="64"/>
      <c r="D571" s="64"/>
      <c r="E571" s="64"/>
      <c r="F571" s="64"/>
      <c r="G571" s="65"/>
      <c r="H571" s="8"/>
      <c r="I571" s="167"/>
      <c r="J571" s="2"/>
      <c r="K571" s="2"/>
      <c r="L571" s="2"/>
      <c r="M571" s="2"/>
      <c r="N571" s="2"/>
      <c r="O571" s="2"/>
      <c r="P571" s="2"/>
      <c r="Q571" s="7"/>
      <c r="R571" s="2"/>
      <c r="S571" s="2"/>
      <c r="T571" s="6"/>
      <c r="U571" s="2"/>
      <c r="V571" s="2"/>
      <c r="W571" s="2"/>
      <c r="X571" s="2"/>
      <c r="Y571" s="7"/>
      <c r="Z571" s="7"/>
      <c r="AA571" s="7"/>
      <c r="AB571" s="7"/>
      <c r="AC571" s="7"/>
      <c r="AD571" s="7"/>
      <c r="AE571" s="7"/>
      <c r="AF571" s="7"/>
      <c r="AG571" s="2"/>
      <c r="AH571" s="2"/>
      <c r="AI571" s="2"/>
      <c r="AJ571" s="2"/>
      <c r="AK571" s="2"/>
      <c r="AL571" s="2"/>
      <c r="AM571" s="3"/>
      <c r="AN571" s="3"/>
      <c r="AO571" s="2"/>
      <c r="AP571" s="2"/>
      <c r="AQ571" s="2"/>
      <c r="AR571" s="2"/>
      <c r="AS571" s="2"/>
      <c r="AT571" s="2"/>
      <c r="AU571" s="2"/>
      <c r="AV571" s="107"/>
      <c r="AW571" s="4"/>
      <c r="BC571" s="5"/>
    </row>
    <row r="572" spans="2:55" ht="12.75" customHeight="1">
      <c r="B572" s="158"/>
      <c r="C572" s="64"/>
      <c r="D572" s="64"/>
      <c r="E572" s="64"/>
      <c r="F572" s="64"/>
      <c r="G572" s="65"/>
      <c r="H572" s="8"/>
      <c r="I572" s="167"/>
      <c r="J572" s="2"/>
      <c r="K572" s="2"/>
      <c r="L572" s="2"/>
      <c r="M572" s="2"/>
      <c r="N572" s="2"/>
      <c r="O572" s="2"/>
      <c r="P572" s="2"/>
      <c r="Q572" s="7"/>
      <c r="R572" s="2"/>
      <c r="S572" s="2"/>
      <c r="T572" s="6"/>
      <c r="U572" s="2"/>
      <c r="V572" s="2"/>
      <c r="W572" s="2"/>
      <c r="X572" s="2"/>
      <c r="Y572" s="7"/>
      <c r="Z572" s="7"/>
      <c r="AA572" s="7"/>
      <c r="AB572" s="7"/>
      <c r="AC572" s="7"/>
      <c r="AD572" s="7"/>
      <c r="AE572" s="7"/>
      <c r="AF572" s="7"/>
      <c r="AG572" s="2"/>
      <c r="AH572" s="2"/>
      <c r="AI572" s="2"/>
      <c r="AJ572" s="2"/>
      <c r="AK572" s="2"/>
      <c r="AL572" s="2"/>
      <c r="AM572" s="3"/>
      <c r="AN572" s="3"/>
      <c r="AO572" s="2"/>
      <c r="AP572" s="2"/>
      <c r="AQ572" s="2"/>
      <c r="AR572" s="2"/>
      <c r="AS572" s="2"/>
      <c r="AT572" s="2"/>
      <c r="AU572" s="2"/>
      <c r="AV572" s="107"/>
      <c r="AW572" s="4"/>
      <c r="BC572" s="5"/>
    </row>
    <row r="573" spans="2:55" ht="12.75" customHeight="1">
      <c r="B573" s="158"/>
      <c r="C573" s="64"/>
      <c r="D573" s="64"/>
      <c r="E573" s="64"/>
      <c r="F573" s="64"/>
      <c r="G573" s="65"/>
      <c r="H573" s="8"/>
      <c r="I573" s="167"/>
      <c r="J573" s="2"/>
      <c r="K573" s="2"/>
      <c r="L573" s="2"/>
      <c r="M573" s="2"/>
      <c r="N573" s="2"/>
      <c r="O573" s="2"/>
      <c r="P573" s="2"/>
      <c r="Q573" s="7"/>
      <c r="R573" s="2"/>
      <c r="S573" s="2"/>
      <c r="T573" s="6"/>
      <c r="U573" s="2"/>
      <c r="V573" s="2"/>
      <c r="W573" s="2"/>
      <c r="X573" s="2"/>
      <c r="Y573" s="7"/>
      <c r="Z573" s="7"/>
      <c r="AA573" s="7"/>
      <c r="AB573" s="7"/>
      <c r="AC573" s="7"/>
      <c r="AD573" s="7"/>
      <c r="AE573" s="7"/>
      <c r="AF573" s="7"/>
      <c r="AG573" s="2"/>
      <c r="AH573" s="2"/>
      <c r="AI573" s="2"/>
      <c r="AJ573" s="2"/>
      <c r="AK573" s="2"/>
      <c r="AL573" s="2"/>
      <c r="AM573" s="3"/>
      <c r="AN573" s="3"/>
      <c r="AO573" s="2"/>
      <c r="AP573" s="2"/>
      <c r="AQ573" s="2"/>
      <c r="AR573" s="2"/>
      <c r="AS573" s="2"/>
      <c r="AT573" s="2"/>
      <c r="AU573" s="2"/>
      <c r="AV573" s="107"/>
      <c r="AW573" s="4"/>
      <c r="BC573" s="5"/>
    </row>
    <row r="574" spans="2:55" ht="12.75" customHeight="1">
      <c r="B574" s="158"/>
      <c r="C574" s="64"/>
      <c r="D574" s="64"/>
      <c r="E574" s="64"/>
      <c r="F574" s="64"/>
      <c r="G574" s="65"/>
      <c r="H574" s="8"/>
      <c r="I574" s="167"/>
      <c r="J574" s="2"/>
      <c r="K574" s="2"/>
      <c r="L574" s="2"/>
      <c r="M574" s="2"/>
      <c r="N574" s="2"/>
      <c r="O574" s="2"/>
      <c r="P574" s="2"/>
      <c r="Q574" s="7"/>
      <c r="R574" s="2"/>
      <c r="S574" s="2"/>
      <c r="T574" s="6"/>
      <c r="U574" s="2"/>
      <c r="V574" s="2"/>
      <c r="W574" s="2"/>
      <c r="X574" s="2"/>
      <c r="Y574" s="7"/>
      <c r="Z574" s="7"/>
      <c r="AA574" s="7"/>
      <c r="AB574" s="7"/>
      <c r="AC574" s="7"/>
      <c r="AD574" s="7"/>
      <c r="AE574" s="7"/>
      <c r="AF574" s="7"/>
      <c r="AG574" s="2"/>
      <c r="AH574" s="2"/>
      <c r="AI574" s="2"/>
      <c r="AJ574" s="2"/>
      <c r="AK574" s="2"/>
      <c r="AL574" s="2"/>
      <c r="AM574" s="3"/>
      <c r="AN574" s="3"/>
      <c r="AO574" s="2"/>
      <c r="AP574" s="2"/>
      <c r="AQ574" s="2"/>
      <c r="AR574" s="2"/>
      <c r="AS574" s="2"/>
      <c r="AT574" s="2"/>
      <c r="AU574" s="2"/>
      <c r="AV574" s="107"/>
      <c r="AW574" s="4"/>
      <c r="BC574" s="5"/>
    </row>
    <row r="575" spans="2:55" ht="12.75" customHeight="1">
      <c r="B575" s="158"/>
      <c r="C575" s="64"/>
      <c r="D575" s="64"/>
      <c r="E575" s="64"/>
      <c r="F575" s="64"/>
      <c r="G575" s="65"/>
      <c r="H575" s="8"/>
      <c r="I575" s="167"/>
      <c r="J575" s="2"/>
      <c r="K575" s="2"/>
      <c r="L575" s="2"/>
      <c r="M575" s="2"/>
      <c r="N575" s="2"/>
      <c r="O575" s="2"/>
      <c r="P575" s="2"/>
      <c r="Q575" s="7"/>
      <c r="R575" s="2"/>
      <c r="S575" s="2"/>
      <c r="T575" s="6"/>
      <c r="U575" s="2"/>
      <c r="V575" s="2"/>
      <c r="W575" s="2"/>
      <c r="X575" s="2"/>
      <c r="Y575" s="7"/>
      <c r="Z575" s="7"/>
      <c r="AA575" s="7"/>
      <c r="AB575" s="7"/>
      <c r="AC575" s="7"/>
      <c r="AD575" s="7"/>
      <c r="AE575" s="7"/>
      <c r="AF575" s="7"/>
      <c r="AG575" s="2"/>
      <c r="AH575" s="2"/>
      <c r="AI575" s="2"/>
      <c r="AJ575" s="2"/>
      <c r="AK575" s="2"/>
      <c r="AL575" s="2"/>
      <c r="AM575" s="3"/>
      <c r="AN575" s="3"/>
      <c r="AO575" s="2"/>
      <c r="AP575" s="2"/>
      <c r="AQ575" s="2"/>
      <c r="AR575" s="2"/>
      <c r="AS575" s="2"/>
      <c r="AT575" s="2"/>
      <c r="AU575" s="2"/>
      <c r="AV575" s="107"/>
      <c r="AW575" s="4"/>
      <c r="BC575" s="5"/>
    </row>
    <row r="576" spans="2:55" ht="12.75" customHeight="1">
      <c r="B576" s="158"/>
      <c r="C576" s="64"/>
      <c r="D576" s="64"/>
      <c r="E576" s="64"/>
      <c r="F576" s="64"/>
      <c r="G576" s="65"/>
      <c r="H576" s="8"/>
      <c r="I576" s="167"/>
      <c r="J576" s="2"/>
      <c r="K576" s="2"/>
      <c r="L576" s="2"/>
      <c r="M576" s="2"/>
      <c r="N576" s="2"/>
      <c r="O576" s="2"/>
      <c r="P576" s="2"/>
      <c r="Q576" s="7"/>
      <c r="R576" s="2"/>
      <c r="S576" s="2"/>
      <c r="T576" s="6"/>
      <c r="U576" s="2"/>
      <c r="V576" s="2"/>
      <c r="W576" s="2"/>
      <c r="X576" s="2"/>
      <c r="Y576" s="7"/>
      <c r="Z576" s="7"/>
      <c r="AA576" s="7"/>
      <c r="AB576" s="7"/>
      <c r="AC576" s="7"/>
      <c r="AD576" s="7"/>
      <c r="AE576" s="7"/>
      <c r="AF576" s="7"/>
      <c r="AG576" s="2"/>
      <c r="AH576" s="2"/>
      <c r="AI576" s="2"/>
      <c r="AJ576" s="2"/>
      <c r="AK576" s="2"/>
      <c r="AL576" s="2"/>
      <c r="AM576" s="3"/>
      <c r="AN576" s="3"/>
      <c r="AO576" s="2"/>
      <c r="AP576" s="2"/>
      <c r="AQ576" s="2"/>
      <c r="AR576" s="2"/>
      <c r="AS576" s="2"/>
      <c r="AT576" s="2"/>
      <c r="AU576" s="2"/>
      <c r="AV576" s="107"/>
      <c r="AW576" s="4"/>
      <c r="BC576" s="5"/>
    </row>
    <row r="577" spans="2:55" ht="12.75" customHeight="1">
      <c r="B577" s="158"/>
      <c r="C577" s="64"/>
      <c r="D577" s="64"/>
      <c r="E577" s="64"/>
      <c r="F577" s="64"/>
      <c r="G577" s="65"/>
      <c r="H577" s="8"/>
      <c r="I577" s="167"/>
      <c r="J577" s="2"/>
      <c r="K577" s="2"/>
      <c r="L577" s="2"/>
      <c r="M577" s="2"/>
      <c r="N577" s="2"/>
      <c r="O577" s="2"/>
      <c r="P577" s="2"/>
      <c r="Q577" s="7"/>
      <c r="R577" s="2"/>
      <c r="S577" s="2"/>
      <c r="T577" s="6"/>
      <c r="U577" s="2"/>
      <c r="V577" s="2"/>
      <c r="W577" s="2"/>
      <c r="X577" s="2"/>
      <c r="Y577" s="7"/>
      <c r="Z577" s="7"/>
      <c r="AA577" s="7"/>
      <c r="AB577" s="7"/>
      <c r="AC577" s="7"/>
      <c r="AD577" s="7"/>
      <c r="AE577" s="7"/>
      <c r="AF577" s="7"/>
      <c r="AG577" s="2"/>
      <c r="AH577" s="2"/>
      <c r="AI577" s="2"/>
      <c r="AJ577" s="2"/>
      <c r="AK577" s="2"/>
      <c r="AL577" s="2"/>
      <c r="AM577" s="3"/>
      <c r="AN577" s="3"/>
      <c r="AO577" s="2"/>
      <c r="AP577" s="2"/>
      <c r="AQ577" s="2"/>
      <c r="AR577" s="2"/>
      <c r="AS577" s="2"/>
      <c r="AT577" s="2"/>
      <c r="AU577" s="2"/>
      <c r="AV577" s="107"/>
      <c r="AW577" s="4"/>
      <c r="BC577" s="5"/>
    </row>
    <row r="578" spans="2:55" ht="12.75" customHeight="1">
      <c r="B578" s="158"/>
      <c r="C578" s="64"/>
      <c r="D578" s="64"/>
      <c r="E578" s="64"/>
      <c r="F578" s="64"/>
      <c r="G578" s="65"/>
      <c r="H578" s="8"/>
      <c r="I578" s="167"/>
      <c r="J578" s="2"/>
      <c r="K578" s="2"/>
      <c r="L578" s="2"/>
      <c r="M578" s="2"/>
      <c r="N578" s="2"/>
      <c r="O578" s="2"/>
      <c r="P578" s="2"/>
      <c r="Q578" s="7"/>
      <c r="R578" s="2"/>
      <c r="S578" s="2"/>
      <c r="T578" s="6"/>
      <c r="U578" s="2"/>
      <c r="V578" s="2"/>
      <c r="W578" s="2"/>
      <c r="X578" s="2"/>
      <c r="Y578" s="7"/>
      <c r="Z578" s="7"/>
      <c r="AA578" s="7"/>
      <c r="AB578" s="7"/>
      <c r="AC578" s="7"/>
      <c r="AD578" s="7"/>
      <c r="AE578" s="7"/>
      <c r="AF578" s="7"/>
      <c r="AG578" s="2"/>
      <c r="AH578" s="2"/>
      <c r="AI578" s="2"/>
      <c r="AJ578" s="2"/>
      <c r="AK578" s="2"/>
      <c r="AL578" s="2"/>
      <c r="AM578" s="3"/>
      <c r="AN578" s="3"/>
      <c r="AO578" s="2"/>
      <c r="AP578" s="2"/>
      <c r="AQ578" s="2"/>
      <c r="AR578" s="2"/>
      <c r="AS578" s="2"/>
      <c r="AT578" s="2"/>
      <c r="AU578" s="2"/>
      <c r="AV578" s="107"/>
      <c r="AW578" s="4"/>
      <c r="BC578" s="5"/>
    </row>
    <row r="579" spans="2:55" ht="12.75" customHeight="1">
      <c r="B579" s="158"/>
      <c r="C579" s="64"/>
      <c r="D579" s="64"/>
      <c r="E579" s="64"/>
      <c r="F579" s="64"/>
      <c r="G579" s="65"/>
      <c r="H579" s="8"/>
      <c r="I579" s="167"/>
      <c r="J579" s="2"/>
      <c r="K579" s="2"/>
      <c r="L579" s="2"/>
      <c r="M579" s="2"/>
      <c r="N579" s="2"/>
      <c r="O579" s="2"/>
      <c r="P579" s="2"/>
      <c r="Q579" s="7"/>
      <c r="R579" s="2"/>
      <c r="S579" s="2"/>
      <c r="T579" s="6"/>
      <c r="U579" s="2"/>
      <c r="V579" s="2"/>
      <c r="W579" s="2"/>
      <c r="X579" s="2"/>
      <c r="Y579" s="7"/>
      <c r="Z579" s="7"/>
      <c r="AA579" s="7"/>
      <c r="AB579" s="7"/>
      <c r="AC579" s="7"/>
      <c r="AD579" s="7"/>
      <c r="AE579" s="7"/>
      <c r="AF579" s="7"/>
      <c r="AG579" s="2"/>
      <c r="AH579" s="2"/>
      <c r="AI579" s="2"/>
      <c r="AJ579" s="2"/>
      <c r="AK579" s="2"/>
      <c r="AL579" s="2"/>
      <c r="AM579" s="3"/>
      <c r="AN579" s="3"/>
      <c r="AO579" s="2"/>
      <c r="AP579" s="2"/>
      <c r="AQ579" s="2"/>
      <c r="AR579" s="2"/>
      <c r="AS579" s="2"/>
      <c r="AT579" s="2"/>
      <c r="AU579" s="2"/>
      <c r="AV579" s="107"/>
      <c r="AW579" s="4"/>
      <c r="BC579" s="5"/>
    </row>
    <row r="580" spans="2:55" ht="12.75" customHeight="1">
      <c r="B580" s="158"/>
      <c r="C580" s="64"/>
      <c r="D580" s="64"/>
      <c r="E580" s="64"/>
      <c r="F580" s="64"/>
      <c r="G580" s="65"/>
      <c r="H580" s="8"/>
      <c r="I580" s="167"/>
      <c r="J580" s="2"/>
      <c r="K580" s="2"/>
      <c r="L580" s="2"/>
      <c r="M580" s="2"/>
      <c r="N580" s="2"/>
      <c r="O580" s="2"/>
      <c r="P580" s="2"/>
      <c r="Q580" s="7"/>
      <c r="R580" s="2"/>
      <c r="S580" s="2"/>
      <c r="T580" s="6"/>
      <c r="U580" s="2"/>
      <c r="V580" s="2"/>
      <c r="W580" s="2"/>
      <c r="X580" s="2"/>
      <c r="Y580" s="7"/>
      <c r="Z580" s="7"/>
      <c r="AA580" s="7"/>
      <c r="AB580" s="7"/>
      <c r="AC580" s="7"/>
      <c r="AD580" s="7"/>
      <c r="AE580" s="7"/>
      <c r="AF580" s="7"/>
      <c r="AG580" s="2"/>
      <c r="AH580" s="2"/>
      <c r="AI580" s="2"/>
      <c r="AJ580" s="2"/>
      <c r="AK580" s="2"/>
      <c r="AL580" s="2"/>
      <c r="AM580" s="3"/>
      <c r="AN580" s="3"/>
      <c r="AO580" s="2"/>
      <c r="AP580" s="2"/>
      <c r="AQ580" s="2"/>
      <c r="AR580" s="2"/>
      <c r="AS580" s="2"/>
      <c r="AT580" s="2"/>
      <c r="AU580" s="2"/>
      <c r="AV580" s="107"/>
      <c r="AW580" s="4"/>
      <c r="BC580" s="5"/>
    </row>
    <row r="581" spans="2:55" ht="12.75" customHeight="1">
      <c r="B581" s="158"/>
      <c r="C581" s="64"/>
      <c r="D581" s="64"/>
      <c r="E581" s="64"/>
      <c r="F581" s="64"/>
      <c r="G581" s="65"/>
      <c r="H581" s="8"/>
      <c r="I581" s="167"/>
      <c r="J581" s="2"/>
      <c r="K581" s="2"/>
      <c r="L581" s="2"/>
      <c r="M581" s="2"/>
      <c r="N581" s="2"/>
      <c r="O581" s="2"/>
      <c r="P581" s="2"/>
      <c r="Q581" s="7"/>
      <c r="R581" s="2"/>
      <c r="S581" s="2"/>
      <c r="T581" s="6"/>
      <c r="U581" s="2"/>
      <c r="V581" s="2"/>
      <c r="W581" s="2"/>
      <c r="X581" s="2"/>
      <c r="Y581" s="7"/>
      <c r="Z581" s="7"/>
      <c r="AA581" s="7"/>
      <c r="AB581" s="7"/>
      <c r="AC581" s="7"/>
      <c r="AD581" s="7"/>
      <c r="AE581" s="7"/>
      <c r="AF581" s="7"/>
      <c r="AG581" s="2"/>
      <c r="AH581" s="2"/>
      <c r="AI581" s="2"/>
      <c r="AJ581" s="2"/>
      <c r="AK581" s="2"/>
      <c r="AL581" s="2"/>
      <c r="AM581" s="3"/>
      <c r="AN581" s="3"/>
      <c r="AO581" s="2"/>
      <c r="AP581" s="2"/>
      <c r="AQ581" s="2"/>
      <c r="AR581" s="2"/>
      <c r="AS581" s="2"/>
      <c r="AT581" s="2"/>
      <c r="AU581" s="2"/>
      <c r="AV581" s="107"/>
      <c r="AW581" s="4"/>
      <c r="BC581" s="5"/>
    </row>
    <row r="582" spans="2:55" ht="12.75" customHeight="1">
      <c r="B582" s="158"/>
      <c r="C582" s="64"/>
      <c r="D582" s="64"/>
      <c r="E582" s="64"/>
      <c r="F582" s="64"/>
      <c r="G582" s="65"/>
      <c r="H582" s="8"/>
      <c r="I582" s="167"/>
      <c r="J582" s="2"/>
      <c r="K582" s="2"/>
      <c r="L582" s="2"/>
      <c r="M582" s="2"/>
      <c r="N582" s="2"/>
      <c r="O582" s="2"/>
      <c r="P582" s="2"/>
      <c r="Q582" s="7"/>
      <c r="R582" s="2"/>
      <c r="S582" s="2"/>
      <c r="T582" s="6"/>
      <c r="U582" s="2"/>
      <c r="V582" s="2"/>
      <c r="W582" s="2"/>
      <c r="X582" s="2"/>
      <c r="Y582" s="7"/>
      <c r="Z582" s="7"/>
      <c r="AA582" s="7"/>
      <c r="AB582" s="7"/>
      <c r="AC582" s="7"/>
      <c r="AD582" s="7"/>
      <c r="AE582" s="7"/>
      <c r="AF582" s="7"/>
      <c r="AG582" s="2"/>
      <c r="AH582" s="2"/>
      <c r="AI582" s="2"/>
      <c r="AJ582" s="2"/>
      <c r="AK582" s="2"/>
      <c r="AL582" s="2"/>
      <c r="AM582" s="3"/>
      <c r="AN582" s="3"/>
      <c r="AO582" s="2"/>
      <c r="AP582" s="2"/>
      <c r="AQ582" s="2"/>
      <c r="AR582" s="2"/>
      <c r="AS582" s="2"/>
      <c r="AT582" s="2"/>
      <c r="AU582" s="2"/>
      <c r="AV582" s="107"/>
      <c r="AW582" s="4"/>
      <c r="BC582" s="5"/>
    </row>
    <row r="583" spans="2:55" ht="12.75" customHeight="1">
      <c r="B583" s="158"/>
      <c r="C583" s="64"/>
      <c r="D583" s="64"/>
      <c r="E583" s="64"/>
      <c r="F583" s="64"/>
      <c r="G583" s="65"/>
      <c r="H583" s="8"/>
      <c r="I583" s="167"/>
      <c r="J583" s="2"/>
      <c r="K583" s="2"/>
      <c r="L583" s="2"/>
      <c r="M583" s="2"/>
      <c r="N583" s="2"/>
      <c r="O583" s="2"/>
      <c r="P583" s="2"/>
      <c r="Q583" s="7"/>
      <c r="R583" s="2"/>
      <c r="S583" s="2"/>
      <c r="T583" s="6"/>
      <c r="U583" s="2"/>
      <c r="V583" s="2"/>
      <c r="W583" s="2"/>
      <c r="X583" s="2"/>
      <c r="Y583" s="7"/>
      <c r="Z583" s="7"/>
      <c r="AA583" s="7"/>
      <c r="AB583" s="7"/>
      <c r="AC583" s="7"/>
      <c r="AD583" s="7"/>
      <c r="AE583" s="7"/>
      <c r="AF583" s="7"/>
      <c r="AG583" s="2"/>
      <c r="AH583" s="2"/>
      <c r="AI583" s="2"/>
      <c r="AJ583" s="2"/>
      <c r="AK583" s="2"/>
      <c r="AL583" s="2"/>
      <c r="AM583" s="3"/>
      <c r="AN583" s="3"/>
      <c r="AO583" s="2"/>
      <c r="AP583" s="2"/>
      <c r="AQ583" s="2"/>
      <c r="AR583" s="2"/>
      <c r="AS583" s="2"/>
      <c r="AT583" s="2"/>
      <c r="AU583" s="2"/>
      <c r="AV583" s="107"/>
      <c r="AW583" s="4"/>
      <c r="BC583" s="5"/>
    </row>
    <row r="584" spans="2:55" ht="12.75" customHeight="1">
      <c r="B584" s="158"/>
      <c r="C584" s="64"/>
      <c r="D584" s="64"/>
      <c r="E584" s="64"/>
      <c r="F584" s="64"/>
      <c r="G584" s="65"/>
      <c r="H584" s="8"/>
      <c r="I584" s="167"/>
      <c r="J584" s="2"/>
      <c r="K584" s="2"/>
      <c r="L584" s="2"/>
      <c r="M584" s="2"/>
      <c r="N584" s="2"/>
      <c r="O584" s="2"/>
      <c r="P584" s="2"/>
      <c r="Q584" s="7"/>
      <c r="R584" s="2"/>
      <c r="S584" s="2"/>
      <c r="T584" s="6"/>
      <c r="U584" s="2"/>
      <c r="V584" s="2"/>
      <c r="W584" s="2"/>
      <c r="X584" s="2"/>
      <c r="Y584" s="7"/>
      <c r="Z584" s="7"/>
      <c r="AA584" s="7"/>
      <c r="AB584" s="7"/>
      <c r="AC584" s="7"/>
      <c r="AD584" s="7"/>
      <c r="AE584" s="7"/>
      <c r="AF584" s="7"/>
      <c r="AG584" s="2"/>
      <c r="AH584" s="2"/>
      <c r="AI584" s="2"/>
      <c r="AJ584" s="2"/>
      <c r="AK584" s="2"/>
      <c r="AL584" s="2"/>
      <c r="AM584" s="3"/>
      <c r="AN584" s="3"/>
      <c r="AO584" s="2"/>
      <c r="AP584" s="2"/>
      <c r="AQ584" s="2"/>
      <c r="AR584" s="2"/>
      <c r="AS584" s="2"/>
      <c r="AT584" s="2"/>
      <c r="AU584" s="2"/>
      <c r="AV584" s="107"/>
      <c r="AW584" s="4"/>
      <c r="BC584" s="5"/>
    </row>
    <row r="585" spans="2:55" ht="12.75" customHeight="1">
      <c r="B585" s="158"/>
      <c r="C585" s="64"/>
      <c r="D585" s="64"/>
      <c r="E585" s="64"/>
      <c r="F585" s="64"/>
      <c r="G585" s="65"/>
      <c r="H585" s="8"/>
      <c r="I585" s="167"/>
      <c r="J585" s="2"/>
      <c r="K585" s="2"/>
      <c r="L585" s="2"/>
      <c r="M585" s="2"/>
      <c r="N585" s="2"/>
      <c r="O585" s="2"/>
      <c r="P585" s="2"/>
      <c r="Q585" s="7"/>
      <c r="R585" s="2"/>
      <c r="S585" s="2"/>
      <c r="T585" s="6"/>
      <c r="U585" s="2"/>
      <c r="V585" s="2"/>
      <c r="W585" s="2"/>
      <c r="X585" s="2"/>
      <c r="Y585" s="7"/>
      <c r="Z585" s="7"/>
      <c r="AA585" s="7"/>
      <c r="AB585" s="7"/>
      <c r="AC585" s="7"/>
      <c r="AD585" s="7"/>
      <c r="AE585" s="7"/>
      <c r="AF585" s="7"/>
      <c r="AG585" s="2"/>
      <c r="AH585" s="2"/>
      <c r="AI585" s="2"/>
      <c r="AJ585" s="2"/>
      <c r="AK585" s="2"/>
      <c r="AL585" s="2"/>
      <c r="AM585" s="3"/>
      <c r="AN585" s="3"/>
      <c r="AO585" s="2"/>
      <c r="AP585" s="2"/>
      <c r="AQ585" s="2"/>
      <c r="AR585" s="2"/>
      <c r="AS585" s="2"/>
      <c r="AT585" s="2"/>
      <c r="AU585" s="2"/>
      <c r="AV585" s="107"/>
      <c r="AW585" s="4"/>
      <c r="BC585" s="5"/>
    </row>
    <row r="586" spans="2:55" ht="12.75" customHeight="1">
      <c r="B586" s="158"/>
      <c r="C586" s="64"/>
      <c r="D586" s="64"/>
      <c r="E586" s="64"/>
      <c r="F586" s="64"/>
      <c r="G586" s="65"/>
      <c r="H586" s="8"/>
      <c r="I586" s="167"/>
      <c r="J586" s="2"/>
      <c r="K586" s="2"/>
      <c r="L586" s="2"/>
      <c r="M586" s="2"/>
      <c r="N586" s="2"/>
      <c r="O586" s="2"/>
      <c r="P586" s="2"/>
      <c r="Q586" s="7"/>
      <c r="R586" s="2"/>
      <c r="S586" s="2"/>
      <c r="T586" s="6"/>
      <c r="U586" s="2"/>
      <c r="V586" s="2"/>
      <c r="W586" s="2"/>
      <c r="X586" s="2"/>
      <c r="Y586" s="7"/>
      <c r="Z586" s="7"/>
      <c r="AA586" s="7"/>
      <c r="AB586" s="7"/>
      <c r="AC586" s="7"/>
      <c r="AD586" s="7"/>
      <c r="AE586" s="7"/>
      <c r="AF586" s="7"/>
      <c r="AG586" s="2"/>
      <c r="AH586" s="2"/>
      <c r="AI586" s="2"/>
      <c r="AJ586" s="2"/>
      <c r="AK586" s="2"/>
      <c r="AL586" s="2"/>
      <c r="AM586" s="3"/>
      <c r="AN586" s="3"/>
      <c r="AO586" s="2"/>
      <c r="AP586" s="2"/>
      <c r="AQ586" s="2"/>
      <c r="AR586" s="2"/>
      <c r="AS586" s="2"/>
      <c r="AT586" s="2"/>
      <c r="AU586" s="2"/>
      <c r="AV586" s="107"/>
      <c r="AW586" s="4"/>
      <c r="BC586" s="5"/>
    </row>
    <row r="587" spans="2:55" ht="12.75" customHeight="1">
      <c r="B587" s="158"/>
      <c r="C587" s="64"/>
      <c r="D587" s="64"/>
      <c r="E587" s="64"/>
      <c r="F587" s="64"/>
      <c r="G587" s="65"/>
      <c r="H587" s="8"/>
      <c r="I587" s="167"/>
      <c r="J587" s="2"/>
      <c r="K587" s="2"/>
      <c r="L587" s="2"/>
      <c r="M587" s="2"/>
      <c r="N587" s="2"/>
      <c r="O587" s="2"/>
      <c r="P587" s="2"/>
      <c r="Q587" s="7"/>
      <c r="R587" s="2"/>
      <c r="S587" s="2"/>
      <c r="T587" s="6"/>
      <c r="U587" s="2"/>
      <c r="V587" s="2"/>
      <c r="W587" s="2"/>
      <c r="X587" s="2"/>
      <c r="Y587" s="7"/>
      <c r="Z587" s="7"/>
      <c r="AA587" s="7"/>
      <c r="AB587" s="7"/>
      <c r="AC587" s="7"/>
      <c r="AD587" s="7"/>
      <c r="AE587" s="7"/>
      <c r="AF587" s="7"/>
      <c r="AG587" s="2"/>
      <c r="AH587" s="2"/>
      <c r="AI587" s="2"/>
      <c r="AJ587" s="2"/>
      <c r="AK587" s="2"/>
      <c r="AL587" s="2"/>
      <c r="AM587" s="3"/>
      <c r="AN587" s="3"/>
      <c r="AO587" s="2"/>
      <c r="AP587" s="2"/>
      <c r="AQ587" s="2"/>
      <c r="AR587" s="2"/>
      <c r="AS587" s="2"/>
      <c r="AT587" s="2"/>
      <c r="AU587" s="2"/>
      <c r="AV587" s="107"/>
      <c r="AW587" s="4"/>
      <c r="BC587" s="5"/>
    </row>
    <row r="588" spans="2:55" ht="12.75" customHeight="1">
      <c r="B588" s="158"/>
      <c r="C588" s="64"/>
      <c r="D588" s="64"/>
      <c r="E588" s="64"/>
      <c r="F588" s="64"/>
      <c r="G588" s="65"/>
      <c r="H588" s="8"/>
      <c r="I588" s="167"/>
      <c r="J588" s="2"/>
      <c r="K588" s="2"/>
      <c r="L588" s="2"/>
      <c r="M588" s="2"/>
      <c r="N588" s="2"/>
      <c r="O588" s="2"/>
      <c r="P588" s="2"/>
      <c r="Q588" s="7"/>
      <c r="R588" s="2"/>
      <c r="S588" s="2"/>
      <c r="T588" s="6"/>
      <c r="U588" s="2"/>
      <c r="V588" s="2"/>
      <c r="W588" s="2"/>
      <c r="X588" s="2"/>
      <c r="Y588" s="7"/>
      <c r="Z588" s="7"/>
      <c r="AA588" s="7"/>
      <c r="AB588" s="7"/>
      <c r="AC588" s="7"/>
      <c r="AD588" s="7"/>
      <c r="AE588" s="7"/>
      <c r="AF588" s="7"/>
      <c r="AG588" s="2"/>
      <c r="AH588" s="2"/>
      <c r="AI588" s="2"/>
      <c r="AJ588" s="2"/>
      <c r="AK588" s="2"/>
      <c r="AL588" s="2"/>
      <c r="AM588" s="3"/>
      <c r="AN588" s="3"/>
      <c r="AO588" s="2"/>
      <c r="AP588" s="2"/>
      <c r="AQ588" s="2"/>
      <c r="AR588" s="2"/>
      <c r="AS588" s="2"/>
      <c r="AT588" s="2"/>
      <c r="AU588" s="2"/>
      <c r="AV588" s="107"/>
      <c r="AW588" s="4"/>
      <c r="BC588" s="5"/>
    </row>
    <row r="589" spans="2:55" ht="12.75" customHeight="1">
      <c r="B589" s="158"/>
      <c r="C589" s="64"/>
      <c r="D589" s="64"/>
      <c r="E589" s="64"/>
      <c r="F589" s="64"/>
      <c r="G589" s="65"/>
      <c r="H589" s="8"/>
      <c r="I589" s="167"/>
      <c r="J589" s="2"/>
      <c r="K589" s="2"/>
      <c r="L589" s="2"/>
      <c r="M589" s="2"/>
      <c r="N589" s="2"/>
      <c r="O589" s="2"/>
      <c r="P589" s="2"/>
      <c r="Q589" s="7"/>
      <c r="R589" s="2"/>
      <c r="S589" s="2"/>
      <c r="T589" s="6"/>
      <c r="U589" s="2"/>
      <c r="V589" s="2"/>
      <c r="W589" s="2"/>
      <c r="X589" s="2"/>
      <c r="Y589" s="7"/>
      <c r="Z589" s="7"/>
      <c r="AA589" s="7"/>
      <c r="AB589" s="7"/>
      <c r="AC589" s="7"/>
      <c r="AD589" s="7"/>
      <c r="AE589" s="7"/>
      <c r="AF589" s="7"/>
      <c r="AG589" s="2"/>
      <c r="AH589" s="2"/>
      <c r="AI589" s="2"/>
      <c r="AJ589" s="2"/>
      <c r="AK589" s="2"/>
      <c r="AL589" s="2"/>
      <c r="AM589" s="3"/>
      <c r="AN589" s="3"/>
      <c r="AO589" s="2"/>
      <c r="AP589" s="2"/>
      <c r="AQ589" s="2"/>
      <c r="AR589" s="2"/>
      <c r="AS589" s="2"/>
      <c r="AT589" s="2"/>
      <c r="AU589" s="2"/>
      <c r="AV589" s="107"/>
      <c r="AW589" s="4"/>
      <c r="BC589" s="5"/>
    </row>
    <row r="590" spans="2:55" ht="12.75" customHeight="1">
      <c r="B590" s="158"/>
      <c r="C590" s="64"/>
      <c r="D590" s="64"/>
      <c r="E590" s="64"/>
      <c r="F590" s="64"/>
      <c r="G590" s="65"/>
      <c r="H590" s="8"/>
      <c r="I590" s="167"/>
      <c r="J590" s="2"/>
      <c r="K590" s="2"/>
      <c r="L590" s="2"/>
      <c r="M590" s="2"/>
      <c r="N590" s="2"/>
      <c r="O590" s="2"/>
      <c r="P590" s="2"/>
      <c r="Q590" s="7"/>
      <c r="R590" s="2"/>
      <c r="S590" s="2"/>
      <c r="T590" s="6"/>
      <c r="U590" s="2"/>
      <c r="V590" s="2"/>
      <c r="W590" s="2"/>
      <c r="X590" s="2"/>
      <c r="Y590" s="7"/>
      <c r="Z590" s="7"/>
      <c r="AA590" s="7"/>
      <c r="AB590" s="7"/>
      <c r="AC590" s="7"/>
      <c r="AD590" s="7"/>
      <c r="AE590" s="7"/>
      <c r="AF590" s="7"/>
      <c r="AG590" s="2"/>
      <c r="AH590" s="2"/>
      <c r="AI590" s="2"/>
      <c r="AJ590" s="2"/>
      <c r="AK590" s="2"/>
      <c r="AL590" s="2"/>
      <c r="AM590" s="3"/>
      <c r="AN590" s="3"/>
      <c r="AO590" s="2"/>
      <c r="AP590" s="2"/>
      <c r="AQ590" s="2"/>
      <c r="AR590" s="2"/>
      <c r="AS590" s="2"/>
      <c r="AT590" s="2"/>
      <c r="AU590" s="2"/>
      <c r="AV590" s="107"/>
      <c r="AW590" s="4"/>
      <c r="BC590" s="5"/>
    </row>
    <row r="591" spans="2:55" ht="12.75" customHeight="1">
      <c r="B591" s="158"/>
      <c r="C591" s="64"/>
      <c r="D591" s="64"/>
      <c r="E591" s="64"/>
      <c r="F591" s="64"/>
      <c r="G591" s="65"/>
      <c r="H591" s="8"/>
      <c r="I591" s="167"/>
      <c r="J591" s="2"/>
      <c r="K591" s="2"/>
      <c r="L591" s="2"/>
      <c r="M591" s="2"/>
      <c r="N591" s="2"/>
      <c r="O591" s="2"/>
      <c r="P591" s="2"/>
      <c r="Q591" s="7"/>
      <c r="R591" s="2"/>
      <c r="S591" s="2"/>
      <c r="T591" s="6"/>
      <c r="U591" s="2"/>
      <c r="V591" s="2"/>
      <c r="W591" s="2"/>
      <c r="X591" s="2"/>
      <c r="Y591" s="7"/>
      <c r="Z591" s="7"/>
      <c r="AA591" s="7"/>
      <c r="AB591" s="7"/>
      <c r="AC591" s="7"/>
      <c r="AD591" s="7"/>
      <c r="AE591" s="7"/>
      <c r="AF591" s="7"/>
      <c r="AG591" s="2"/>
      <c r="AH591" s="2"/>
      <c r="AI591" s="2"/>
      <c r="AJ591" s="2"/>
      <c r="AK591" s="2"/>
      <c r="AL591" s="2"/>
      <c r="AM591" s="3"/>
      <c r="AN591" s="3"/>
      <c r="AO591" s="2"/>
      <c r="AP591" s="2"/>
      <c r="AQ591" s="2"/>
      <c r="AR591" s="2"/>
      <c r="AS591" s="2"/>
      <c r="AT591" s="2"/>
      <c r="AU591" s="2"/>
      <c r="AV591" s="107"/>
      <c r="AW591" s="4"/>
      <c r="BC591" s="5"/>
    </row>
    <row r="592" spans="2:55" ht="12.75" customHeight="1">
      <c r="B592" s="158"/>
      <c r="C592" s="64"/>
      <c r="D592" s="64"/>
      <c r="E592" s="64"/>
      <c r="F592" s="64"/>
      <c r="G592" s="65"/>
      <c r="H592" s="8"/>
      <c r="I592" s="167"/>
      <c r="J592" s="2"/>
      <c r="K592" s="2"/>
      <c r="L592" s="2"/>
      <c r="M592" s="2"/>
      <c r="N592" s="2"/>
      <c r="O592" s="2"/>
      <c r="P592" s="2"/>
      <c r="Q592" s="7"/>
      <c r="R592" s="2"/>
      <c r="S592" s="2"/>
      <c r="T592" s="6"/>
      <c r="U592" s="2"/>
      <c r="V592" s="2"/>
      <c r="W592" s="2"/>
      <c r="X592" s="2"/>
      <c r="Y592" s="7"/>
      <c r="Z592" s="7"/>
      <c r="AA592" s="7"/>
      <c r="AB592" s="7"/>
      <c r="AC592" s="7"/>
      <c r="AD592" s="7"/>
      <c r="AE592" s="7"/>
      <c r="AF592" s="7"/>
      <c r="AG592" s="2"/>
      <c r="AH592" s="2"/>
      <c r="AI592" s="2"/>
      <c r="AJ592" s="2"/>
      <c r="AK592" s="2"/>
      <c r="AL592" s="2"/>
      <c r="AM592" s="3"/>
      <c r="AN592" s="3"/>
      <c r="AO592" s="2"/>
      <c r="AP592" s="2"/>
      <c r="AQ592" s="2"/>
      <c r="AR592" s="2"/>
      <c r="AS592" s="2"/>
      <c r="AT592" s="2"/>
      <c r="AU592" s="2"/>
      <c r="AV592" s="107"/>
      <c r="AW592" s="4"/>
      <c r="BC592" s="5"/>
    </row>
    <row r="593" spans="2:55" ht="12.75" customHeight="1">
      <c r="B593" s="158"/>
      <c r="C593" s="64"/>
      <c r="D593" s="64"/>
      <c r="E593" s="64"/>
      <c r="F593" s="64"/>
      <c r="G593" s="65"/>
      <c r="H593" s="8"/>
      <c r="I593" s="167"/>
      <c r="J593" s="2"/>
      <c r="K593" s="2"/>
      <c r="L593" s="2"/>
      <c r="M593" s="2"/>
      <c r="N593" s="2"/>
      <c r="O593" s="2"/>
      <c r="P593" s="2"/>
      <c r="Q593" s="7"/>
      <c r="R593" s="2"/>
      <c r="S593" s="2"/>
      <c r="T593" s="6"/>
      <c r="U593" s="2"/>
      <c r="V593" s="2"/>
      <c r="W593" s="2"/>
      <c r="X593" s="2"/>
      <c r="Y593" s="7"/>
      <c r="Z593" s="7"/>
      <c r="AA593" s="7"/>
      <c r="AB593" s="7"/>
      <c r="AC593" s="7"/>
      <c r="AD593" s="7"/>
      <c r="AE593" s="7"/>
      <c r="AF593" s="7"/>
      <c r="AG593" s="2"/>
      <c r="AH593" s="2"/>
      <c r="AI593" s="2"/>
      <c r="AJ593" s="2"/>
      <c r="AK593" s="2"/>
      <c r="AL593" s="2"/>
      <c r="AM593" s="3"/>
      <c r="AN593" s="3"/>
      <c r="AO593" s="2"/>
      <c r="AP593" s="2"/>
      <c r="AQ593" s="2"/>
      <c r="AR593" s="2"/>
      <c r="AS593" s="2"/>
      <c r="AT593" s="2"/>
      <c r="AU593" s="2"/>
      <c r="AV593" s="107"/>
      <c r="AW593" s="4"/>
      <c r="BC593" s="5"/>
    </row>
    <row r="594" spans="2:55" ht="12.75" customHeight="1">
      <c r="B594" s="158"/>
      <c r="C594" s="64"/>
      <c r="D594" s="64"/>
      <c r="E594" s="64"/>
      <c r="F594" s="64"/>
      <c r="G594" s="65"/>
      <c r="H594" s="8"/>
      <c r="I594" s="167"/>
      <c r="J594" s="2"/>
      <c r="K594" s="2"/>
      <c r="L594" s="2"/>
      <c r="M594" s="2"/>
      <c r="N594" s="2"/>
      <c r="O594" s="2"/>
      <c r="P594" s="2"/>
      <c r="Q594" s="7"/>
      <c r="R594" s="2"/>
      <c r="S594" s="2"/>
      <c r="T594" s="6"/>
      <c r="U594" s="2"/>
      <c r="V594" s="2"/>
      <c r="W594" s="2"/>
      <c r="X594" s="2"/>
      <c r="Y594" s="7"/>
      <c r="Z594" s="7"/>
      <c r="AA594" s="7"/>
      <c r="AB594" s="7"/>
      <c r="AC594" s="7"/>
      <c r="AD594" s="7"/>
      <c r="AE594" s="7"/>
      <c r="AF594" s="7"/>
      <c r="AG594" s="2"/>
      <c r="AH594" s="2"/>
      <c r="AI594" s="2"/>
      <c r="AJ594" s="2"/>
      <c r="AK594" s="2"/>
      <c r="AL594" s="2"/>
      <c r="AM594" s="3"/>
      <c r="AN594" s="3"/>
      <c r="AO594" s="2"/>
      <c r="AP594" s="2"/>
      <c r="AQ594" s="2"/>
      <c r="AR594" s="2"/>
      <c r="AS594" s="2"/>
      <c r="AT594" s="2"/>
      <c r="AU594" s="2"/>
      <c r="AV594" s="107"/>
      <c r="AW594" s="4"/>
      <c r="BC594" s="5"/>
    </row>
    <row r="595" spans="2:55" ht="12.75" customHeight="1">
      <c r="B595" s="158"/>
      <c r="C595" s="64"/>
      <c r="D595" s="64"/>
      <c r="E595" s="64"/>
      <c r="F595" s="64"/>
      <c r="G595" s="65"/>
      <c r="H595" s="8"/>
      <c r="I595" s="167"/>
      <c r="J595" s="2"/>
      <c r="K595" s="2"/>
      <c r="L595" s="2"/>
      <c r="M595" s="2"/>
      <c r="N595" s="2"/>
      <c r="O595" s="2"/>
      <c r="P595" s="2"/>
      <c r="Q595" s="7"/>
      <c r="R595" s="2"/>
      <c r="S595" s="2"/>
      <c r="T595" s="6"/>
      <c r="U595" s="2"/>
      <c r="V595" s="2"/>
      <c r="W595" s="2"/>
      <c r="X595" s="2"/>
      <c r="Y595" s="7"/>
      <c r="Z595" s="7"/>
      <c r="AA595" s="7"/>
      <c r="AB595" s="7"/>
      <c r="AC595" s="7"/>
      <c r="AD595" s="7"/>
      <c r="AE595" s="7"/>
      <c r="AF595" s="7"/>
      <c r="AG595" s="2"/>
      <c r="AH595" s="2"/>
      <c r="AI595" s="2"/>
      <c r="AJ595" s="2"/>
      <c r="AK595" s="2"/>
      <c r="AL595" s="2"/>
      <c r="AM595" s="3"/>
      <c r="AN595" s="3"/>
      <c r="AO595" s="2"/>
      <c r="AP595" s="2"/>
      <c r="AQ595" s="2"/>
      <c r="AR595" s="2"/>
      <c r="AS595" s="2"/>
      <c r="AT595" s="2"/>
      <c r="AU595" s="2"/>
      <c r="AV595" s="107"/>
      <c r="AW595" s="4"/>
      <c r="BC595" s="5"/>
    </row>
    <row r="596" spans="2:55" ht="12.75" customHeight="1">
      <c r="B596" s="158"/>
      <c r="C596" s="64"/>
      <c r="D596" s="64"/>
      <c r="E596" s="64"/>
      <c r="F596" s="64"/>
      <c r="G596" s="65"/>
      <c r="H596" s="8"/>
      <c r="I596" s="167"/>
      <c r="J596" s="2"/>
      <c r="K596" s="2"/>
      <c r="L596" s="2"/>
      <c r="M596" s="2"/>
      <c r="N596" s="2"/>
      <c r="O596" s="2"/>
      <c r="P596" s="2"/>
      <c r="Q596" s="7"/>
      <c r="R596" s="2"/>
      <c r="S596" s="2"/>
      <c r="T596" s="6"/>
      <c r="U596" s="2"/>
      <c r="V596" s="2"/>
      <c r="W596" s="2"/>
      <c r="X596" s="2"/>
      <c r="Y596" s="7"/>
      <c r="Z596" s="7"/>
      <c r="AA596" s="7"/>
      <c r="AB596" s="7"/>
      <c r="AC596" s="7"/>
      <c r="AD596" s="7"/>
      <c r="AE596" s="7"/>
      <c r="AF596" s="7"/>
      <c r="AG596" s="2"/>
      <c r="AH596" s="2"/>
      <c r="AI596" s="2"/>
      <c r="AJ596" s="2"/>
      <c r="AK596" s="2"/>
      <c r="AL596" s="2"/>
      <c r="AM596" s="3"/>
      <c r="AN596" s="3"/>
      <c r="AO596" s="2"/>
      <c r="AP596" s="2"/>
      <c r="AQ596" s="2"/>
      <c r="AR596" s="2"/>
      <c r="AS596" s="2"/>
      <c r="AT596" s="2"/>
      <c r="AU596" s="2"/>
      <c r="AV596" s="107"/>
      <c r="AW596" s="4"/>
      <c r="BC596" s="5"/>
    </row>
    <row r="597" spans="2:55" ht="12.75" customHeight="1">
      <c r="B597" s="158"/>
      <c r="C597" s="64"/>
      <c r="D597" s="64"/>
      <c r="E597" s="64"/>
      <c r="F597" s="64"/>
      <c r="G597" s="65"/>
      <c r="H597" s="8"/>
      <c r="I597" s="167"/>
      <c r="J597" s="2"/>
      <c r="K597" s="2"/>
      <c r="L597" s="2"/>
      <c r="M597" s="2"/>
      <c r="N597" s="2"/>
      <c r="O597" s="2"/>
      <c r="P597" s="2"/>
      <c r="Q597" s="7"/>
      <c r="R597" s="2"/>
      <c r="S597" s="2"/>
      <c r="T597" s="6"/>
      <c r="U597" s="2"/>
      <c r="V597" s="2"/>
      <c r="W597" s="2"/>
      <c r="X597" s="2"/>
      <c r="Y597" s="7"/>
      <c r="Z597" s="7"/>
      <c r="AA597" s="7"/>
      <c r="AB597" s="7"/>
      <c r="AC597" s="7"/>
      <c r="AD597" s="7"/>
      <c r="AE597" s="7"/>
      <c r="AF597" s="7"/>
      <c r="AG597" s="2"/>
      <c r="AH597" s="2"/>
      <c r="AI597" s="2"/>
      <c r="AJ597" s="2"/>
      <c r="AK597" s="2"/>
      <c r="AL597" s="2"/>
      <c r="AM597" s="3"/>
      <c r="AN597" s="3"/>
      <c r="AO597" s="2"/>
      <c r="AP597" s="2"/>
      <c r="AQ597" s="2"/>
      <c r="AR597" s="2"/>
      <c r="AS597" s="2"/>
      <c r="AT597" s="2"/>
      <c r="AU597" s="2"/>
      <c r="AV597" s="107"/>
      <c r="AW597" s="4"/>
      <c r="BC597" s="5"/>
    </row>
    <row r="598" spans="2:55" ht="12.75" customHeight="1">
      <c r="B598" s="158"/>
      <c r="C598" s="64"/>
      <c r="D598" s="64"/>
      <c r="E598" s="64"/>
      <c r="F598" s="64"/>
      <c r="G598" s="65"/>
      <c r="H598" s="8"/>
      <c r="I598" s="167"/>
      <c r="J598" s="2"/>
      <c r="K598" s="2"/>
      <c r="L598" s="2"/>
      <c r="M598" s="2"/>
      <c r="N598" s="2"/>
      <c r="O598" s="2"/>
      <c r="P598" s="2"/>
      <c r="Q598" s="7"/>
      <c r="R598" s="2"/>
      <c r="S598" s="2"/>
      <c r="T598" s="6"/>
      <c r="U598" s="2"/>
      <c r="V598" s="2"/>
      <c r="W598" s="2"/>
      <c r="X598" s="2"/>
      <c r="Y598" s="7"/>
      <c r="Z598" s="7"/>
      <c r="AA598" s="7"/>
      <c r="AB598" s="7"/>
      <c r="AC598" s="7"/>
      <c r="AD598" s="7"/>
      <c r="AE598" s="7"/>
      <c r="AF598" s="7"/>
      <c r="AG598" s="2"/>
      <c r="AH598" s="2"/>
      <c r="AI598" s="2"/>
      <c r="AJ598" s="2"/>
      <c r="AK598" s="2"/>
      <c r="AL598" s="2"/>
      <c r="AM598" s="3"/>
      <c r="AN598" s="3"/>
      <c r="AO598" s="2"/>
      <c r="AP598" s="2"/>
      <c r="AQ598" s="2"/>
      <c r="AR598" s="2"/>
      <c r="AS598" s="2"/>
      <c r="AT598" s="2"/>
      <c r="AU598" s="2"/>
      <c r="AV598" s="107"/>
      <c r="AW598" s="4"/>
      <c r="BC598" s="5"/>
    </row>
    <row r="599" spans="2:55" ht="12.75" customHeight="1">
      <c r="B599" s="158"/>
      <c r="C599" s="64"/>
      <c r="D599" s="64"/>
      <c r="E599" s="64"/>
      <c r="F599" s="64"/>
      <c r="G599" s="65"/>
      <c r="H599" s="8"/>
      <c r="I599" s="167"/>
      <c r="J599" s="2"/>
      <c r="K599" s="2"/>
      <c r="L599" s="2"/>
      <c r="M599" s="2"/>
      <c r="N599" s="2"/>
      <c r="O599" s="2"/>
      <c r="P599" s="2"/>
      <c r="Q599" s="7"/>
      <c r="R599" s="2"/>
      <c r="S599" s="2"/>
      <c r="T599" s="6"/>
      <c r="U599" s="2"/>
      <c r="V599" s="2"/>
      <c r="W599" s="2"/>
      <c r="X599" s="2"/>
      <c r="Y599" s="7"/>
      <c r="Z599" s="7"/>
      <c r="AA599" s="7"/>
      <c r="AB599" s="7"/>
      <c r="AC599" s="7"/>
      <c r="AD599" s="7"/>
      <c r="AE599" s="7"/>
      <c r="AF599" s="7"/>
      <c r="AG599" s="2"/>
      <c r="AH599" s="2"/>
      <c r="AI599" s="2"/>
      <c r="AJ599" s="2"/>
      <c r="AK599" s="2"/>
      <c r="AL599" s="2"/>
      <c r="AM599" s="3"/>
      <c r="AN599" s="3"/>
      <c r="AO599" s="2"/>
      <c r="AP599" s="2"/>
      <c r="AQ599" s="2"/>
      <c r="AR599" s="2"/>
      <c r="AS599" s="2"/>
      <c r="AT599" s="2"/>
      <c r="AU599" s="2"/>
      <c r="AV599" s="107"/>
      <c r="AW599" s="4"/>
      <c r="BC599" s="5"/>
    </row>
    <row r="600" spans="2:55" ht="12.75" customHeight="1">
      <c r="B600" s="158"/>
      <c r="C600" s="64"/>
      <c r="D600" s="64"/>
      <c r="E600" s="64"/>
      <c r="F600" s="64"/>
      <c r="G600" s="65"/>
      <c r="H600" s="8"/>
      <c r="I600" s="167"/>
      <c r="J600" s="2"/>
      <c r="K600" s="2"/>
      <c r="L600" s="2"/>
      <c r="M600" s="2"/>
      <c r="N600" s="2"/>
      <c r="O600" s="2"/>
      <c r="P600" s="2"/>
      <c r="Q600" s="7"/>
      <c r="R600" s="2"/>
      <c r="S600" s="2"/>
      <c r="T600" s="6"/>
      <c r="U600" s="2"/>
      <c r="V600" s="2"/>
      <c r="W600" s="2"/>
      <c r="X600" s="2"/>
      <c r="Y600" s="7"/>
      <c r="Z600" s="7"/>
      <c r="AA600" s="7"/>
      <c r="AB600" s="7"/>
      <c r="AC600" s="7"/>
      <c r="AD600" s="7"/>
      <c r="AE600" s="7"/>
      <c r="AF600" s="7"/>
      <c r="AG600" s="2"/>
      <c r="AH600" s="2"/>
      <c r="AI600" s="2"/>
      <c r="AJ600" s="2"/>
      <c r="AK600" s="2"/>
      <c r="AL600" s="2"/>
      <c r="AM600" s="3"/>
      <c r="AN600" s="3"/>
      <c r="AO600" s="2"/>
      <c r="AP600" s="2"/>
      <c r="AQ600" s="2"/>
      <c r="AR600" s="2"/>
      <c r="AS600" s="2"/>
      <c r="AT600" s="2"/>
      <c r="AU600" s="2"/>
      <c r="AV600" s="107"/>
      <c r="AW600" s="4"/>
      <c r="BC600" s="5"/>
    </row>
    <row r="601" spans="2:55" ht="12.75" customHeight="1">
      <c r="B601" s="158"/>
      <c r="C601" s="64"/>
      <c r="D601" s="64"/>
      <c r="E601" s="64"/>
      <c r="F601" s="64"/>
      <c r="G601" s="65"/>
      <c r="H601" s="8"/>
      <c r="I601" s="167"/>
      <c r="J601" s="2"/>
      <c r="K601" s="2"/>
      <c r="L601" s="2"/>
      <c r="M601" s="2"/>
      <c r="N601" s="2"/>
      <c r="O601" s="2"/>
      <c r="P601" s="2"/>
      <c r="Q601" s="7"/>
      <c r="R601" s="2"/>
      <c r="S601" s="2"/>
      <c r="T601" s="6"/>
      <c r="U601" s="2"/>
      <c r="V601" s="2"/>
      <c r="W601" s="2"/>
      <c r="X601" s="2"/>
      <c r="Y601" s="7"/>
      <c r="Z601" s="7"/>
      <c r="AA601" s="7"/>
      <c r="AB601" s="7"/>
      <c r="AC601" s="7"/>
      <c r="AD601" s="7"/>
      <c r="AE601" s="7"/>
      <c r="AF601" s="7"/>
      <c r="AG601" s="2"/>
      <c r="AH601" s="2"/>
      <c r="AI601" s="2"/>
      <c r="AJ601" s="2"/>
      <c r="AK601" s="2"/>
      <c r="AL601" s="2"/>
      <c r="AM601" s="3"/>
      <c r="AN601" s="3"/>
      <c r="AO601" s="2"/>
      <c r="AP601" s="2"/>
      <c r="AQ601" s="2"/>
      <c r="AR601" s="2"/>
      <c r="AS601" s="2"/>
      <c r="AT601" s="2"/>
      <c r="AU601" s="2"/>
      <c r="AV601" s="107"/>
      <c r="AW601" s="4"/>
      <c r="BC601" s="5"/>
    </row>
    <row r="602" spans="2:55" ht="12.75" customHeight="1">
      <c r="B602" s="158"/>
      <c r="C602" s="64"/>
      <c r="D602" s="64"/>
      <c r="E602" s="64"/>
      <c r="F602" s="64"/>
      <c r="G602" s="65"/>
      <c r="H602" s="8"/>
      <c r="I602" s="167"/>
      <c r="J602" s="2"/>
      <c r="K602" s="2"/>
      <c r="L602" s="2"/>
      <c r="M602" s="2"/>
      <c r="N602" s="2"/>
      <c r="O602" s="2"/>
      <c r="P602" s="2"/>
      <c r="Q602" s="7"/>
      <c r="R602" s="2"/>
      <c r="S602" s="2"/>
      <c r="T602" s="6"/>
      <c r="U602" s="2"/>
      <c r="V602" s="2"/>
      <c r="W602" s="2"/>
      <c r="X602" s="2"/>
      <c r="Y602" s="7"/>
      <c r="Z602" s="7"/>
      <c r="AA602" s="7"/>
      <c r="AB602" s="7"/>
      <c r="AC602" s="7"/>
      <c r="AD602" s="7"/>
      <c r="AE602" s="7"/>
      <c r="AF602" s="7"/>
      <c r="AG602" s="2"/>
      <c r="AH602" s="2"/>
      <c r="AI602" s="2"/>
      <c r="AJ602" s="2"/>
      <c r="AK602" s="2"/>
      <c r="AL602" s="2"/>
      <c r="AM602" s="3"/>
      <c r="AN602" s="3"/>
      <c r="AO602" s="2"/>
      <c r="AP602" s="2"/>
      <c r="AQ602" s="2"/>
      <c r="AR602" s="2"/>
      <c r="AS602" s="2"/>
      <c r="AT602" s="2"/>
      <c r="AU602" s="2"/>
      <c r="AV602" s="107"/>
      <c r="AW602" s="4"/>
      <c r="BC602" s="5"/>
    </row>
    <row r="603" spans="2:55" ht="12.75" customHeight="1">
      <c r="B603" s="158"/>
      <c r="C603" s="64"/>
      <c r="D603" s="64"/>
      <c r="E603" s="64"/>
      <c r="F603" s="64"/>
      <c r="G603" s="65"/>
      <c r="H603" s="8"/>
      <c r="I603" s="167"/>
      <c r="J603" s="2"/>
      <c r="K603" s="2"/>
      <c r="L603" s="2"/>
      <c r="M603" s="2"/>
      <c r="N603" s="2"/>
      <c r="O603" s="2"/>
      <c r="P603" s="2"/>
      <c r="Q603" s="7"/>
      <c r="R603" s="2"/>
      <c r="S603" s="2"/>
      <c r="T603" s="6"/>
      <c r="U603" s="2"/>
      <c r="V603" s="2"/>
      <c r="W603" s="2"/>
      <c r="X603" s="2"/>
      <c r="Y603" s="7"/>
      <c r="Z603" s="7"/>
      <c r="AA603" s="7"/>
      <c r="AB603" s="7"/>
      <c r="AC603" s="7"/>
      <c r="AD603" s="7"/>
      <c r="AE603" s="7"/>
      <c r="AF603" s="7"/>
      <c r="AG603" s="2"/>
      <c r="AH603" s="2"/>
      <c r="AI603" s="2"/>
      <c r="AJ603" s="2"/>
      <c r="AK603" s="2"/>
      <c r="AL603" s="2"/>
      <c r="AM603" s="3"/>
      <c r="AN603" s="3"/>
      <c r="AO603" s="2"/>
      <c r="AP603" s="2"/>
      <c r="AQ603" s="2"/>
      <c r="AR603" s="2"/>
      <c r="AS603" s="2"/>
      <c r="AT603" s="2"/>
      <c r="AU603" s="2"/>
      <c r="AV603" s="107"/>
      <c r="AW603" s="4"/>
      <c r="BC603" s="5"/>
    </row>
    <row r="604" spans="2:55" ht="12.75" customHeight="1">
      <c r="B604" s="158"/>
      <c r="C604" s="64"/>
      <c r="D604" s="64"/>
      <c r="E604" s="64"/>
      <c r="F604" s="64"/>
      <c r="G604" s="65"/>
      <c r="H604" s="8"/>
      <c r="I604" s="167"/>
      <c r="J604" s="2"/>
      <c r="K604" s="2"/>
      <c r="L604" s="2"/>
      <c r="M604" s="2"/>
      <c r="N604" s="2"/>
      <c r="O604" s="2"/>
      <c r="P604" s="2"/>
      <c r="Q604" s="7"/>
      <c r="R604" s="2"/>
      <c r="S604" s="2"/>
      <c r="T604" s="6"/>
      <c r="U604" s="2"/>
      <c r="V604" s="2"/>
      <c r="W604" s="2"/>
      <c r="X604" s="2"/>
      <c r="Y604" s="7"/>
      <c r="Z604" s="7"/>
      <c r="AA604" s="7"/>
      <c r="AB604" s="7"/>
      <c r="AC604" s="7"/>
      <c r="AD604" s="7"/>
      <c r="AE604" s="7"/>
      <c r="AF604" s="7"/>
      <c r="AG604" s="2"/>
      <c r="AH604" s="2"/>
      <c r="AI604" s="2"/>
      <c r="AJ604" s="2"/>
      <c r="AK604" s="2"/>
      <c r="AL604" s="2"/>
      <c r="AM604" s="3"/>
      <c r="AN604" s="3"/>
      <c r="AO604" s="2"/>
      <c r="AP604" s="2"/>
      <c r="AQ604" s="2"/>
      <c r="AR604" s="2"/>
      <c r="AS604" s="2"/>
      <c r="AT604" s="2"/>
      <c r="AU604" s="2"/>
      <c r="AV604" s="107"/>
      <c r="AW604" s="4"/>
      <c r="BC604" s="5"/>
    </row>
    <row r="605" spans="2:55" ht="12.75" customHeight="1">
      <c r="B605" s="158"/>
      <c r="C605" s="64"/>
      <c r="D605" s="64"/>
      <c r="E605" s="64"/>
      <c r="F605" s="64"/>
      <c r="G605" s="65"/>
      <c r="H605" s="8"/>
      <c r="I605" s="167"/>
      <c r="J605" s="2"/>
      <c r="K605" s="2"/>
      <c r="L605" s="2"/>
      <c r="M605" s="2"/>
      <c r="N605" s="2"/>
      <c r="O605" s="2"/>
      <c r="P605" s="2"/>
      <c r="Q605" s="7"/>
      <c r="R605" s="2"/>
      <c r="S605" s="2"/>
      <c r="T605" s="6"/>
      <c r="U605" s="2"/>
      <c r="V605" s="2"/>
      <c r="W605" s="2"/>
      <c r="X605" s="2"/>
      <c r="Y605" s="7"/>
      <c r="Z605" s="7"/>
      <c r="AA605" s="7"/>
      <c r="AB605" s="7"/>
      <c r="AC605" s="7"/>
      <c r="AD605" s="7"/>
      <c r="AE605" s="7"/>
      <c r="AF605" s="7"/>
      <c r="AG605" s="2"/>
      <c r="AH605" s="2"/>
      <c r="AI605" s="2"/>
      <c r="AJ605" s="2"/>
      <c r="AK605" s="2"/>
      <c r="AL605" s="2"/>
      <c r="AM605" s="3"/>
      <c r="AN605" s="3"/>
      <c r="AO605" s="2"/>
      <c r="AP605" s="2"/>
      <c r="AQ605" s="2"/>
      <c r="AR605" s="2"/>
      <c r="AS605" s="2"/>
      <c r="AT605" s="2"/>
      <c r="AU605" s="2"/>
      <c r="AV605" s="107"/>
      <c r="AW605" s="4"/>
      <c r="BC605" s="5"/>
    </row>
    <row r="606" spans="2:55" ht="12.75" customHeight="1">
      <c r="B606" s="158"/>
      <c r="C606" s="64"/>
      <c r="D606" s="64"/>
      <c r="E606" s="64"/>
      <c r="F606" s="64"/>
      <c r="G606" s="65"/>
      <c r="H606" s="8"/>
      <c r="I606" s="167"/>
      <c r="J606" s="2"/>
      <c r="K606" s="2"/>
      <c r="L606" s="2"/>
      <c r="M606" s="2"/>
      <c r="N606" s="2"/>
      <c r="O606" s="2"/>
      <c r="P606" s="2"/>
      <c r="Q606" s="7"/>
      <c r="R606" s="2"/>
      <c r="S606" s="2"/>
      <c r="T606" s="6"/>
      <c r="U606" s="2"/>
      <c r="V606" s="2"/>
      <c r="W606" s="2"/>
      <c r="X606" s="2"/>
      <c r="Y606" s="7"/>
      <c r="Z606" s="7"/>
      <c r="AA606" s="7"/>
      <c r="AB606" s="7"/>
      <c r="AC606" s="7"/>
      <c r="AD606" s="7"/>
      <c r="AE606" s="7"/>
      <c r="AF606" s="7"/>
      <c r="AG606" s="2"/>
      <c r="AH606" s="2"/>
      <c r="AI606" s="2"/>
      <c r="AJ606" s="2"/>
      <c r="AK606" s="2"/>
      <c r="AL606" s="2"/>
      <c r="AM606" s="3"/>
      <c r="AN606" s="3"/>
      <c r="AO606" s="2"/>
      <c r="AP606" s="2"/>
      <c r="AQ606" s="2"/>
      <c r="AR606" s="2"/>
      <c r="AS606" s="2"/>
      <c r="AT606" s="2"/>
      <c r="AU606" s="2"/>
      <c r="AV606" s="107"/>
      <c r="AW606" s="4"/>
      <c r="BC606" s="5"/>
    </row>
    <row r="607" spans="2:55" ht="12.75" customHeight="1">
      <c r="B607" s="158"/>
      <c r="C607" s="64"/>
      <c r="D607" s="64"/>
      <c r="E607" s="64"/>
      <c r="F607" s="64"/>
      <c r="G607" s="65"/>
      <c r="H607" s="8"/>
      <c r="I607" s="167"/>
      <c r="J607" s="2"/>
      <c r="K607" s="2"/>
      <c r="L607" s="2"/>
      <c r="M607" s="2"/>
      <c r="N607" s="2"/>
      <c r="O607" s="2"/>
      <c r="P607" s="2"/>
      <c r="Q607" s="7"/>
      <c r="R607" s="2"/>
      <c r="S607" s="2"/>
      <c r="T607" s="6"/>
      <c r="U607" s="2"/>
      <c r="V607" s="2"/>
      <c r="W607" s="2"/>
      <c r="X607" s="2"/>
      <c r="Y607" s="7"/>
      <c r="Z607" s="7"/>
      <c r="AA607" s="7"/>
      <c r="AB607" s="7"/>
      <c r="AC607" s="7"/>
      <c r="AD607" s="7"/>
      <c r="AE607" s="7"/>
      <c r="AF607" s="7"/>
      <c r="AG607" s="2"/>
      <c r="AH607" s="2"/>
      <c r="AI607" s="2"/>
      <c r="AJ607" s="2"/>
      <c r="AK607" s="2"/>
      <c r="AL607" s="2"/>
      <c r="AM607" s="3"/>
      <c r="AN607" s="3"/>
      <c r="AO607" s="2"/>
      <c r="AP607" s="2"/>
      <c r="AQ607" s="2"/>
      <c r="AR607" s="2"/>
      <c r="AS607" s="2"/>
      <c r="AT607" s="2"/>
      <c r="AU607" s="2"/>
      <c r="AV607" s="107"/>
      <c r="AW607" s="4"/>
      <c r="BC607" s="5"/>
    </row>
    <row r="608" spans="2:55" ht="12.75" customHeight="1">
      <c r="B608" s="158"/>
      <c r="C608" s="64"/>
      <c r="D608" s="64"/>
      <c r="E608" s="64"/>
      <c r="F608" s="64"/>
      <c r="G608" s="65"/>
      <c r="H608" s="8"/>
      <c r="I608" s="167"/>
      <c r="J608" s="2"/>
      <c r="K608" s="2"/>
      <c r="L608" s="2"/>
      <c r="M608" s="2"/>
      <c r="N608" s="2"/>
      <c r="O608" s="2"/>
      <c r="P608" s="2"/>
      <c r="Q608" s="7"/>
      <c r="R608" s="2"/>
      <c r="S608" s="2"/>
      <c r="T608" s="6"/>
      <c r="U608" s="2"/>
      <c r="V608" s="2"/>
      <c r="W608" s="2"/>
      <c r="X608" s="2"/>
      <c r="Y608" s="7"/>
      <c r="Z608" s="7"/>
      <c r="AA608" s="7"/>
      <c r="AB608" s="7"/>
      <c r="AC608" s="7"/>
      <c r="AD608" s="7"/>
      <c r="AE608" s="7"/>
      <c r="AF608" s="7"/>
      <c r="AG608" s="2"/>
      <c r="AH608" s="2"/>
      <c r="AI608" s="2"/>
      <c r="AJ608" s="2"/>
      <c r="AK608" s="2"/>
      <c r="AL608" s="2"/>
      <c r="AM608" s="3"/>
      <c r="AN608" s="3"/>
      <c r="AO608" s="2"/>
      <c r="AP608" s="2"/>
      <c r="AQ608" s="2"/>
      <c r="AR608" s="2"/>
      <c r="AS608" s="2"/>
      <c r="AT608" s="2"/>
      <c r="AU608" s="2"/>
      <c r="AV608" s="107"/>
      <c r="AW608" s="4"/>
      <c r="BC608" s="5"/>
    </row>
    <row r="609" spans="2:55" ht="12.75" customHeight="1">
      <c r="B609" s="158"/>
      <c r="C609" s="64"/>
      <c r="D609" s="64"/>
      <c r="E609" s="64"/>
      <c r="F609" s="64"/>
      <c r="G609" s="65"/>
      <c r="H609" s="8"/>
      <c r="I609" s="167"/>
      <c r="J609" s="2"/>
      <c r="K609" s="2"/>
      <c r="L609" s="2"/>
      <c r="M609" s="2"/>
      <c r="N609" s="2"/>
      <c r="O609" s="2"/>
      <c r="P609" s="2"/>
      <c r="Q609" s="7"/>
      <c r="R609" s="2"/>
      <c r="S609" s="2"/>
      <c r="T609" s="6"/>
      <c r="U609" s="2"/>
      <c r="V609" s="2"/>
      <c r="W609" s="2"/>
      <c r="X609" s="2"/>
      <c r="Y609" s="7"/>
      <c r="Z609" s="7"/>
      <c r="AA609" s="7"/>
      <c r="AB609" s="7"/>
      <c r="AC609" s="7"/>
      <c r="AD609" s="7"/>
      <c r="AE609" s="7"/>
      <c r="AF609" s="7"/>
      <c r="AG609" s="2"/>
      <c r="AH609" s="2"/>
      <c r="AI609" s="2"/>
      <c r="AJ609" s="2"/>
      <c r="AK609" s="2"/>
      <c r="AL609" s="2"/>
      <c r="AM609" s="3"/>
      <c r="AN609" s="3"/>
      <c r="AO609" s="2"/>
      <c r="AP609" s="2"/>
      <c r="AQ609" s="2"/>
      <c r="AR609" s="2"/>
      <c r="AS609" s="2"/>
      <c r="AT609" s="2"/>
      <c r="AU609" s="2"/>
      <c r="AV609" s="107"/>
      <c r="AW609" s="4"/>
      <c r="BC609" s="5"/>
    </row>
    <row r="610" spans="2:55" ht="12.75" customHeight="1">
      <c r="B610" s="158"/>
      <c r="C610" s="64"/>
      <c r="D610" s="64"/>
      <c r="E610" s="64"/>
      <c r="F610" s="64"/>
      <c r="G610" s="65"/>
      <c r="H610" s="8"/>
      <c r="I610" s="167"/>
      <c r="J610" s="2"/>
      <c r="K610" s="2"/>
      <c r="L610" s="2"/>
      <c r="M610" s="2"/>
      <c r="N610" s="2"/>
      <c r="O610" s="2"/>
      <c r="P610" s="2"/>
      <c r="Q610" s="7"/>
      <c r="R610" s="2"/>
      <c r="S610" s="2"/>
      <c r="T610" s="6"/>
      <c r="U610" s="2"/>
      <c r="V610" s="2"/>
      <c r="W610" s="2"/>
      <c r="X610" s="2"/>
      <c r="Y610" s="7"/>
      <c r="Z610" s="7"/>
      <c r="AA610" s="7"/>
      <c r="AB610" s="7"/>
      <c r="AC610" s="7"/>
      <c r="AD610" s="7"/>
      <c r="AE610" s="7"/>
      <c r="AF610" s="7"/>
      <c r="AG610" s="2"/>
      <c r="AH610" s="2"/>
      <c r="AI610" s="2"/>
      <c r="AJ610" s="2"/>
      <c r="AK610" s="2"/>
      <c r="AL610" s="2"/>
      <c r="AM610" s="3"/>
      <c r="AN610" s="3"/>
      <c r="AO610" s="2"/>
      <c r="AP610" s="2"/>
      <c r="AQ610" s="2"/>
      <c r="AR610" s="2"/>
      <c r="AS610" s="2"/>
      <c r="AT610" s="2"/>
      <c r="AU610" s="2"/>
      <c r="AV610" s="107"/>
      <c r="AW610" s="4"/>
      <c r="BC610" s="5"/>
    </row>
    <row r="611" spans="2:55" ht="12.75" customHeight="1">
      <c r="B611" s="158"/>
      <c r="C611" s="64"/>
      <c r="D611" s="64"/>
      <c r="E611" s="64"/>
      <c r="F611" s="64"/>
      <c r="G611" s="65"/>
      <c r="H611" s="8"/>
      <c r="I611" s="167"/>
      <c r="J611" s="2"/>
      <c r="K611" s="2"/>
      <c r="L611" s="2"/>
      <c r="M611" s="2"/>
      <c r="N611" s="2"/>
      <c r="O611" s="2"/>
      <c r="P611" s="2"/>
      <c r="Q611" s="7"/>
      <c r="R611" s="2"/>
      <c r="S611" s="2"/>
      <c r="T611" s="6"/>
      <c r="U611" s="2"/>
      <c r="V611" s="2"/>
      <c r="W611" s="2"/>
      <c r="X611" s="2"/>
      <c r="Y611" s="7"/>
      <c r="Z611" s="7"/>
      <c r="AA611" s="7"/>
      <c r="AB611" s="7"/>
      <c r="AC611" s="7"/>
      <c r="AD611" s="7"/>
      <c r="AE611" s="7"/>
      <c r="AF611" s="7"/>
      <c r="AG611" s="2"/>
      <c r="AH611" s="2"/>
      <c r="AI611" s="2"/>
      <c r="AJ611" s="2"/>
      <c r="AK611" s="2"/>
      <c r="AL611" s="2"/>
      <c r="AM611" s="3"/>
      <c r="AN611" s="3"/>
      <c r="AO611" s="2"/>
      <c r="AP611" s="2"/>
      <c r="AQ611" s="2"/>
      <c r="AR611" s="2"/>
      <c r="AS611" s="2"/>
      <c r="AT611" s="2"/>
      <c r="AU611" s="2"/>
      <c r="AV611" s="107"/>
      <c r="AW611" s="4"/>
      <c r="BC611" s="5"/>
    </row>
    <row r="612" spans="2:55" ht="12.75" customHeight="1">
      <c r="B612" s="158"/>
      <c r="C612" s="64"/>
      <c r="D612" s="64"/>
      <c r="E612" s="64"/>
      <c r="F612" s="64"/>
      <c r="G612" s="65"/>
      <c r="H612" s="8"/>
      <c r="I612" s="167"/>
      <c r="J612" s="2"/>
      <c r="K612" s="2"/>
      <c r="L612" s="2"/>
      <c r="M612" s="2"/>
      <c r="N612" s="2"/>
      <c r="O612" s="2"/>
      <c r="P612" s="2"/>
      <c r="Q612" s="7"/>
      <c r="R612" s="2"/>
      <c r="S612" s="2"/>
      <c r="T612" s="6"/>
      <c r="U612" s="2"/>
      <c r="V612" s="2"/>
      <c r="W612" s="2"/>
      <c r="X612" s="2"/>
      <c r="Y612" s="7"/>
      <c r="Z612" s="7"/>
      <c r="AA612" s="7"/>
      <c r="AB612" s="7"/>
      <c r="AC612" s="7"/>
      <c r="AD612" s="7"/>
      <c r="AE612" s="7"/>
      <c r="AF612" s="7"/>
      <c r="AG612" s="2"/>
      <c r="AH612" s="2"/>
      <c r="AI612" s="2"/>
      <c r="AJ612" s="2"/>
      <c r="AK612" s="2"/>
      <c r="AL612" s="2"/>
      <c r="AM612" s="3"/>
      <c r="AN612" s="3"/>
      <c r="AO612" s="2"/>
      <c r="AP612" s="2"/>
      <c r="AQ612" s="2"/>
      <c r="AR612" s="2"/>
      <c r="AS612" s="2"/>
      <c r="AT612" s="2"/>
      <c r="AU612" s="2"/>
      <c r="AV612" s="107"/>
      <c r="AW612" s="4"/>
      <c r="BC612" s="5"/>
    </row>
    <row r="613" spans="2:55" ht="12.75" customHeight="1">
      <c r="B613" s="159"/>
      <c r="C613" s="160"/>
      <c r="D613" s="160"/>
      <c r="E613" s="160"/>
      <c r="F613" s="160"/>
      <c r="G613" s="161"/>
      <c r="H613" s="11"/>
      <c r="I613" s="138"/>
      <c r="J613" s="12"/>
      <c r="K613" s="12"/>
      <c r="L613" s="12"/>
      <c r="M613" s="12"/>
      <c r="N613" s="12"/>
      <c r="O613" s="12"/>
      <c r="P613" s="12"/>
      <c r="Q613" s="13"/>
      <c r="R613" s="12"/>
      <c r="S613" s="12"/>
      <c r="T613" s="14"/>
      <c r="U613" s="12"/>
      <c r="V613" s="12"/>
      <c r="W613" s="12"/>
      <c r="X613" s="12"/>
      <c r="Y613" s="13"/>
      <c r="Z613" s="13"/>
      <c r="AA613" s="13"/>
      <c r="AB613" s="13"/>
      <c r="AC613" s="13"/>
      <c r="AD613" s="13"/>
      <c r="AE613" s="13"/>
      <c r="AF613" s="13"/>
      <c r="AG613" s="12"/>
      <c r="AH613" s="12"/>
      <c r="AI613" s="12"/>
      <c r="AJ613" s="12"/>
      <c r="AK613" s="12"/>
      <c r="AL613" s="12"/>
      <c r="AM613" s="15"/>
      <c r="AN613" s="15"/>
      <c r="AO613" s="12"/>
      <c r="AP613" s="12"/>
      <c r="AQ613" s="12"/>
      <c r="AR613" s="12"/>
      <c r="AS613" s="12"/>
      <c r="AT613" s="12"/>
      <c r="AU613" s="12"/>
      <c r="AV613" s="139"/>
      <c r="AW613" s="16"/>
      <c r="AX613" s="17"/>
      <c r="AY613" s="17"/>
      <c r="AZ613" s="17"/>
      <c r="BA613" s="17"/>
      <c r="BB613" s="17"/>
      <c r="BC613" s="18"/>
    </row>
    <row r="614" spans="2:55" ht="12.75" customHeight="1">
      <c r="B614" s="101"/>
      <c r="C614" s="102"/>
      <c r="D614" s="102"/>
      <c r="E614" s="102"/>
      <c r="F614" s="102"/>
      <c r="G614" s="102"/>
      <c r="H614" s="102"/>
      <c r="I614" s="102"/>
      <c r="J614" s="102"/>
      <c r="K614" s="102"/>
      <c r="L614" s="102"/>
      <c r="M614" s="102"/>
      <c r="N614" s="102"/>
      <c r="O614" s="320"/>
      <c r="P614" s="320"/>
      <c r="Q614" s="320"/>
      <c r="R614" s="320"/>
      <c r="S614" s="320"/>
      <c r="T614" s="320"/>
      <c r="U614" s="321"/>
      <c r="V614" s="478" t="s">
        <v>0</v>
      </c>
      <c r="W614" s="479"/>
      <c r="X614" s="479"/>
      <c r="Y614" s="479"/>
      <c r="Z614" s="479"/>
      <c r="AA614" s="479"/>
      <c r="AB614" s="479"/>
      <c r="AC614" s="479"/>
      <c r="AD614" s="479"/>
      <c r="AE614" s="479"/>
      <c r="AF614" s="479"/>
      <c r="AG614" s="479"/>
      <c r="AH614" s="479"/>
      <c r="AI614" s="479"/>
      <c r="AJ614" s="480"/>
      <c r="AK614" s="395" t="s">
        <v>1</v>
      </c>
      <c r="AL614" s="396"/>
      <c r="AM614" s="396"/>
      <c r="AN614" s="396"/>
      <c r="AO614" s="396"/>
      <c r="AP614" s="379" t="str">
        <f>$AP$2</f>
        <v>BB----</v>
      </c>
      <c r="AQ614" s="379"/>
      <c r="AR614" s="379"/>
      <c r="AS614" s="379"/>
      <c r="AT614" s="379"/>
      <c r="AU614" s="379"/>
      <c r="AV614" s="379"/>
      <c r="AW614" s="379"/>
      <c r="AX614" s="379"/>
      <c r="AY614" s="379"/>
      <c r="AZ614" s="379"/>
      <c r="BA614" s="379"/>
      <c r="BB614" s="379"/>
      <c r="BC614" s="380"/>
    </row>
    <row r="615" spans="2:55" ht="12.75" customHeight="1">
      <c r="B615" s="103"/>
      <c r="C615" s="104"/>
      <c r="D615" s="104"/>
      <c r="E615" s="104"/>
      <c r="F615" s="104"/>
      <c r="G615" s="104"/>
      <c r="H615" s="104"/>
      <c r="I615" s="104"/>
      <c r="J615" s="104"/>
      <c r="K615" s="104"/>
      <c r="L615" s="104"/>
      <c r="M615" s="104"/>
      <c r="N615" s="104"/>
      <c r="O615" s="322"/>
      <c r="P615" s="322"/>
      <c r="Q615" s="322"/>
      <c r="R615" s="322"/>
      <c r="S615" s="322"/>
      <c r="T615" s="322"/>
      <c r="U615" s="323"/>
      <c r="V615" s="481"/>
      <c r="W615" s="482"/>
      <c r="X615" s="482"/>
      <c r="Y615" s="482"/>
      <c r="Z615" s="482"/>
      <c r="AA615" s="482"/>
      <c r="AB615" s="482"/>
      <c r="AC615" s="482"/>
      <c r="AD615" s="482"/>
      <c r="AE615" s="482"/>
      <c r="AF615" s="482"/>
      <c r="AG615" s="482"/>
      <c r="AH615" s="482"/>
      <c r="AI615" s="482"/>
      <c r="AJ615" s="483"/>
      <c r="AK615" s="397"/>
      <c r="AL615" s="398"/>
      <c r="AM615" s="398"/>
      <c r="AN615" s="398"/>
      <c r="AO615" s="398"/>
      <c r="AP615" s="381"/>
      <c r="AQ615" s="381"/>
      <c r="AR615" s="381"/>
      <c r="AS615" s="381"/>
      <c r="AT615" s="381"/>
      <c r="AU615" s="381"/>
      <c r="AV615" s="381"/>
      <c r="AW615" s="381"/>
      <c r="AX615" s="381"/>
      <c r="AY615" s="381"/>
      <c r="AZ615" s="381"/>
      <c r="BA615" s="381"/>
      <c r="BB615" s="381"/>
      <c r="BC615" s="382"/>
    </row>
    <row r="616" spans="2:55" ht="12.75" customHeight="1">
      <c r="B616" s="103"/>
      <c r="C616" s="104"/>
      <c r="D616" s="104"/>
      <c r="E616" s="104"/>
      <c r="F616" s="104"/>
      <c r="G616" s="104"/>
      <c r="H616" s="104"/>
      <c r="I616" s="104"/>
      <c r="J616" s="104"/>
      <c r="K616" s="104"/>
      <c r="L616" s="104"/>
      <c r="M616" s="104"/>
      <c r="N616" s="104"/>
      <c r="O616" s="322"/>
      <c r="P616" s="322"/>
      <c r="Q616" s="322"/>
      <c r="R616" s="322"/>
      <c r="S616" s="322"/>
      <c r="T616" s="322"/>
      <c r="U616" s="323"/>
      <c r="V616" s="481"/>
      <c r="W616" s="482"/>
      <c r="X616" s="482"/>
      <c r="Y616" s="482"/>
      <c r="Z616" s="482"/>
      <c r="AA616" s="482"/>
      <c r="AB616" s="482"/>
      <c r="AC616" s="482"/>
      <c r="AD616" s="482"/>
      <c r="AE616" s="482"/>
      <c r="AF616" s="482"/>
      <c r="AG616" s="482"/>
      <c r="AH616" s="482"/>
      <c r="AI616" s="482"/>
      <c r="AJ616" s="483"/>
      <c r="AK616" s="358" t="s">
        <v>2</v>
      </c>
      <c r="AL616" s="359"/>
      <c r="AM616" s="359"/>
      <c r="AN616" s="359"/>
      <c r="AO616" s="359"/>
      <c r="AP616" s="381" t="str">
        <f>$AP$4</f>
        <v>TITLE</v>
      </c>
      <c r="AQ616" s="381"/>
      <c r="AR616" s="381"/>
      <c r="AS616" s="381"/>
      <c r="AT616" s="381"/>
      <c r="AU616" s="381"/>
      <c r="AV616" s="381"/>
      <c r="AW616" s="381"/>
      <c r="AX616" s="381"/>
      <c r="AY616" s="381"/>
      <c r="AZ616" s="381"/>
      <c r="BA616" s="381"/>
      <c r="BB616" s="381"/>
      <c r="BC616" s="382"/>
    </row>
    <row r="617" spans="2:55" ht="12.75" customHeight="1">
      <c r="B617" s="103"/>
      <c r="C617" s="104"/>
      <c r="D617" s="104"/>
      <c r="E617" s="104"/>
      <c r="F617" s="104"/>
      <c r="G617" s="104"/>
      <c r="H617" s="104"/>
      <c r="I617" s="104"/>
      <c r="J617" s="104"/>
      <c r="K617" s="104"/>
      <c r="L617" s="104"/>
      <c r="M617" s="104"/>
      <c r="N617" s="104"/>
      <c r="O617" s="322"/>
      <c r="P617" s="322"/>
      <c r="Q617" s="322"/>
      <c r="R617" s="322"/>
      <c r="S617" s="322"/>
      <c r="T617" s="322"/>
      <c r="U617" s="323"/>
      <c r="V617" s="481"/>
      <c r="W617" s="482"/>
      <c r="X617" s="482"/>
      <c r="Y617" s="482"/>
      <c r="Z617" s="482"/>
      <c r="AA617" s="482"/>
      <c r="AB617" s="482"/>
      <c r="AC617" s="482"/>
      <c r="AD617" s="482"/>
      <c r="AE617" s="482"/>
      <c r="AF617" s="482"/>
      <c r="AG617" s="482"/>
      <c r="AH617" s="482"/>
      <c r="AI617" s="482"/>
      <c r="AJ617" s="483"/>
      <c r="AK617" s="358"/>
      <c r="AL617" s="359"/>
      <c r="AM617" s="359"/>
      <c r="AN617" s="359"/>
      <c r="AO617" s="359"/>
      <c r="AP617" s="381"/>
      <c r="AQ617" s="381"/>
      <c r="AR617" s="381"/>
      <c r="AS617" s="381"/>
      <c r="AT617" s="381"/>
      <c r="AU617" s="381"/>
      <c r="AV617" s="381"/>
      <c r="AW617" s="381"/>
      <c r="AX617" s="381"/>
      <c r="AY617" s="381"/>
      <c r="AZ617" s="381"/>
      <c r="BA617" s="381"/>
      <c r="BB617" s="381"/>
      <c r="BC617" s="382"/>
    </row>
    <row r="618" spans="2:55" ht="12.75" customHeight="1">
      <c r="B618" s="103"/>
      <c r="C618" s="104"/>
      <c r="D618" s="104"/>
      <c r="E618" s="104"/>
      <c r="F618" s="104"/>
      <c r="G618" s="104"/>
      <c r="H618" s="104"/>
      <c r="I618" s="104"/>
      <c r="J618" s="104"/>
      <c r="K618" s="104"/>
      <c r="L618" s="104"/>
      <c r="M618" s="104"/>
      <c r="N618" s="104"/>
      <c r="O618" s="322"/>
      <c r="P618" s="322"/>
      <c r="Q618" s="322"/>
      <c r="R618" s="322"/>
      <c r="S618" s="322"/>
      <c r="T618" s="322"/>
      <c r="U618" s="323"/>
      <c r="V618" s="481"/>
      <c r="W618" s="482"/>
      <c r="X618" s="482"/>
      <c r="Y618" s="482"/>
      <c r="Z618" s="482"/>
      <c r="AA618" s="482"/>
      <c r="AB618" s="482"/>
      <c r="AC618" s="482"/>
      <c r="AD618" s="482"/>
      <c r="AE618" s="482"/>
      <c r="AF618" s="482"/>
      <c r="AG618" s="482"/>
      <c r="AH618" s="482"/>
      <c r="AI618" s="482"/>
      <c r="AJ618" s="483"/>
      <c r="AK618" s="401" t="s">
        <v>3</v>
      </c>
      <c r="AL618" s="401"/>
      <c r="AM618" s="401"/>
      <c r="AN618" s="401"/>
      <c r="AO618" s="401"/>
      <c r="AP618" s="381">
        <f>AP550+1</f>
        <v>10</v>
      </c>
      <c r="AQ618" s="381"/>
      <c r="AR618" s="381"/>
      <c r="AS618" s="381"/>
      <c r="AT618" s="381"/>
      <c r="AU618" s="381"/>
      <c r="AV618" s="381"/>
      <c r="AW618" s="381"/>
      <c r="AX618" s="381"/>
      <c r="AY618" s="381"/>
      <c r="AZ618" s="381"/>
      <c r="BA618" s="381"/>
      <c r="BB618" s="381"/>
      <c r="BC618" s="382"/>
    </row>
    <row r="619" spans="2:55" ht="12.75" customHeight="1">
      <c r="B619" s="103"/>
      <c r="C619" s="104"/>
      <c r="D619" s="104"/>
      <c r="E619" s="104"/>
      <c r="F619" s="104"/>
      <c r="G619" s="104"/>
      <c r="H619" s="104"/>
      <c r="I619" s="104"/>
      <c r="J619" s="104"/>
      <c r="K619" s="104"/>
      <c r="L619" s="104"/>
      <c r="M619" s="104"/>
      <c r="N619" s="104"/>
      <c r="O619" s="322"/>
      <c r="P619" s="322"/>
      <c r="Q619" s="322"/>
      <c r="R619" s="322"/>
      <c r="S619" s="322"/>
      <c r="T619" s="322"/>
      <c r="U619" s="323"/>
      <c r="V619" s="481"/>
      <c r="W619" s="482"/>
      <c r="X619" s="482"/>
      <c r="Y619" s="482"/>
      <c r="Z619" s="482"/>
      <c r="AA619" s="482"/>
      <c r="AB619" s="482"/>
      <c r="AC619" s="482"/>
      <c r="AD619" s="482"/>
      <c r="AE619" s="482"/>
      <c r="AF619" s="482"/>
      <c r="AG619" s="482"/>
      <c r="AH619" s="482"/>
      <c r="AI619" s="482"/>
      <c r="AJ619" s="483"/>
      <c r="AK619" s="401" t="s">
        <v>4</v>
      </c>
      <c r="AL619" s="401"/>
      <c r="AM619" s="401"/>
      <c r="AN619" s="401"/>
      <c r="AO619" s="401"/>
      <c r="AP619" s="383">
        <f ca="1">$AP$7</f>
        <v>45928</v>
      </c>
      <c r="AQ619" s="383"/>
      <c r="AR619" s="383"/>
      <c r="AS619" s="383"/>
      <c r="AT619" s="383"/>
      <c r="AU619" s="383"/>
      <c r="AV619" s="383"/>
      <c r="AW619" s="383"/>
      <c r="AX619" s="383"/>
      <c r="AY619" s="383"/>
      <c r="AZ619" s="383"/>
      <c r="BA619" s="383"/>
      <c r="BB619" s="383"/>
      <c r="BC619" s="384"/>
    </row>
    <row r="620" spans="2:55" ht="12.75" customHeight="1">
      <c r="B620" s="103"/>
      <c r="C620" s="104"/>
      <c r="D620" s="104"/>
      <c r="E620" s="104"/>
      <c r="F620" s="104"/>
      <c r="G620" s="104"/>
      <c r="H620" s="104"/>
      <c r="I620" s="104"/>
      <c r="J620" s="104"/>
      <c r="K620" s="104"/>
      <c r="L620" s="104"/>
      <c r="M620" s="104"/>
      <c r="N620" s="104"/>
      <c r="O620" s="322"/>
      <c r="P620" s="322"/>
      <c r="Q620" s="322"/>
      <c r="R620" s="322"/>
      <c r="S620" s="322"/>
      <c r="T620" s="322"/>
      <c r="U620" s="323"/>
      <c r="V620" s="481"/>
      <c r="W620" s="482"/>
      <c r="X620" s="482"/>
      <c r="Y620" s="482"/>
      <c r="Z620" s="482"/>
      <c r="AA620" s="482"/>
      <c r="AB620" s="482"/>
      <c r="AC620" s="482"/>
      <c r="AD620" s="482"/>
      <c r="AE620" s="482"/>
      <c r="AF620" s="482"/>
      <c r="AG620" s="482"/>
      <c r="AH620" s="482"/>
      <c r="AI620" s="482"/>
      <c r="AJ620" s="483"/>
      <c r="AK620" s="401" t="s">
        <v>5</v>
      </c>
      <c r="AL620" s="401"/>
      <c r="AM620" s="401"/>
      <c r="AN620" s="401"/>
      <c r="AO620" s="401"/>
      <c r="AP620" s="381" t="str">
        <f>$AP$8</f>
        <v>AB</v>
      </c>
      <c r="AQ620" s="381"/>
      <c r="AR620" s="381"/>
      <c r="AS620" s="381"/>
      <c r="AT620" s="381"/>
      <c r="AU620" s="381"/>
      <c r="AV620" s="381"/>
      <c r="AW620" s="381"/>
      <c r="AX620" s="381"/>
      <c r="AY620" s="381"/>
      <c r="AZ620" s="381"/>
      <c r="BA620" s="381"/>
      <c r="BB620" s="381"/>
      <c r="BC620" s="382"/>
    </row>
    <row r="621" spans="2:55" ht="12.75" customHeight="1">
      <c r="B621" s="105"/>
      <c r="C621" s="106"/>
      <c r="D621" s="106"/>
      <c r="E621" s="106"/>
      <c r="F621" s="106"/>
      <c r="G621" s="106"/>
      <c r="H621" s="106"/>
      <c r="I621" s="106"/>
      <c r="J621" s="106"/>
      <c r="K621" s="106"/>
      <c r="L621" s="106"/>
      <c r="M621" s="106"/>
      <c r="N621" s="106"/>
      <c r="O621" s="324"/>
      <c r="P621" s="324"/>
      <c r="Q621" s="324"/>
      <c r="R621" s="324"/>
      <c r="S621" s="324"/>
      <c r="T621" s="324"/>
      <c r="U621" s="325"/>
      <c r="V621" s="484"/>
      <c r="W621" s="485"/>
      <c r="X621" s="485"/>
      <c r="Y621" s="485"/>
      <c r="Z621" s="485"/>
      <c r="AA621" s="485"/>
      <c r="AB621" s="485"/>
      <c r="AC621" s="485"/>
      <c r="AD621" s="485"/>
      <c r="AE621" s="485"/>
      <c r="AF621" s="485"/>
      <c r="AG621" s="485"/>
      <c r="AH621" s="485"/>
      <c r="AI621" s="485"/>
      <c r="AJ621" s="486"/>
      <c r="AK621" s="460" t="s">
        <v>6</v>
      </c>
      <c r="AL621" s="460"/>
      <c r="AM621" s="460"/>
      <c r="AN621" s="460"/>
      <c r="AO621" s="460"/>
      <c r="AP621" s="386" t="str">
        <f>$AP$9</f>
        <v xml:space="preserve">CAT I / II </v>
      </c>
      <c r="AQ621" s="386"/>
      <c r="AR621" s="386"/>
      <c r="AS621" s="386"/>
      <c r="AT621" s="386"/>
      <c r="AU621" s="386"/>
      <c r="AV621" s="386"/>
      <c r="AW621" s="386"/>
      <c r="AX621" s="386"/>
      <c r="AY621" s="386"/>
      <c r="AZ621" s="386"/>
      <c r="BA621" s="386"/>
      <c r="BB621" s="386"/>
      <c r="BC621" s="387"/>
    </row>
    <row r="622" spans="2:55" ht="12.75" customHeight="1">
      <c r="B622" s="360" t="s">
        <v>7</v>
      </c>
      <c r="C622" s="361"/>
      <c r="D622" s="361"/>
      <c r="E622" s="361"/>
      <c r="F622" s="361"/>
      <c r="G622" s="361"/>
      <c r="H622" s="361"/>
      <c r="I622" s="361"/>
      <c r="J622" s="361"/>
      <c r="K622" s="361"/>
      <c r="L622" s="361"/>
      <c r="M622" s="361"/>
      <c r="N622" s="361"/>
      <c r="O622" s="361"/>
      <c r="P622" s="361"/>
      <c r="Q622" s="361"/>
      <c r="R622" s="361"/>
      <c r="S622" s="361"/>
      <c r="T622" s="361"/>
      <c r="U622" s="361"/>
      <c r="V622" s="361"/>
      <c r="W622" s="361"/>
      <c r="X622" s="361"/>
      <c r="Y622" s="361"/>
      <c r="Z622" s="361"/>
      <c r="AA622" s="361"/>
      <c r="AB622" s="361"/>
      <c r="AC622" s="361"/>
      <c r="AD622" s="361"/>
      <c r="AE622" s="361"/>
      <c r="AF622" s="361"/>
      <c r="AG622" s="361"/>
      <c r="AH622" s="361"/>
      <c r="AI622" s="361"/>
      <c r="AJ622" s="361"/>
      <c r="AK622" s="361"/>
      <c r="AL622" s="361"/>
      <c r="AM622" s="361"/>
      <c r="AN622" s="361"/>
      <c r="AO622" s="361"/>
      <c r="AP622" s="361"/>
      <c r="AQ622" s="361"/>
      <c r="AR622" s="361"/>
      <c r="AS622" s="361"/>
      <c r="AT622" s="361"/>
      <c r="AU622" s="361"/>
      <c r="AV622" s="361"/>
      <c r="AW622" s="361"/>
      <c r="AX622" s="361"/>
      <c r="AY622" s="361"/>
      <c r="AZ622" s="361"/>
      <c r="BA622" s="361"/>
      <c r="BB622" s="361"/>
      <c r="BC622" s="362"/>
    </row>
    <row r="623" spans="2:55" ht="12.75" customHeight="1">
      <c r="B623" s="363"/>
      <c r="C623" s="364"/>
      <c r="D623" s="364"/>
      <c r="E623" s="364"/>
      <c r="F623" s="364"/>
      <c r="G623" s="364"/>
      <c r="H623" s="364"/>
      <c r="I623" s="364"/>
      <c r="J623" s="364"/>
      <c r="K623" s="364"/>
      <c r="L623" s="364"/>
      <c r="M623" s="364"/>
      <c r="N623" s="364"/>
      <c r="O623" s="364"/>
      <c r="P623" s="364"/>
      <c r="Q623" s="364"/>
      <c r="R623" s="364"/>
      <c r="S623" s="364"/>
      <c r="T623" s="364"/>
      <c r="U623" s="364"/>
      <c r="V623" s="364"/>
      <c r="W623" s="364"/>
      <c r="X623" s="364"/>
      <c r="Y623" s="364"/>
      <c r="Z623" s="364"/>
      <c r="AA623" s="364"/>
      <c r="AB623" s="364"/>
      <c r="AC623" s="364"/>
      <c r="AD623" s="364"/>
      <c r="AE623" s="364"/>
      <c r="AF623" s="364"/>
      <c r="AG623" s="364"/>
      <c r="AH623" s="364"/>
      <c r="AI623" s="364"/>
      <c r="AJ623" s="364"/>
      <c r="AK623" s="364"/>
      <c r="AL623" s="364"/>
      <c r="AM623" s="364"/>
      <c r="AN623" s="364"/>
      <c r="AO623" s="364"/>
      <c r="AP623" s="364"/>
      <c r="AQ623" s="364"/>
      <c r="AR623" s="364"/>
      <c r="AS623" s="364"/>
      <c r="AT623" s="364"/>
      <c r="AU623" s="364"/>
      <c r="AV623" s="364"/>
      <c r="AW623" s="364"/>
      <c r="AX623" s="364"/>
      <c r="AY623" s="364"/>
      <c r="AZ623" s="364"/>
      <c r="BA623" s="364"/>
      <c r="BB623" s="364"/>
      <c r="BC623" s="365"/>
    </row>
    <row r="624" spans="2:55" ht="12.75" customHeight="1">
      <c r="B624" s="376"/>
      <c r="C624" s="377"/>
      <c r="D624" s="377"/>
      <c r="E624" s="377"/>
      <c r="F624" s="377"/>
      <c r="G624" s="377"/>
      <c r="H624" s="377"/>
      <c r="I624" s="377"/>
      <c r="J624" s="377"/>
      <c r="K624" s="377"/>
      <c r="L624" s="377"/>
      <c r="M624" s="377"/>
      <c r="N624" s="377"/>
      <c r="O624" s="377"/>
      <c r="P624" s="377"/>
      <c r="Q624" s="377"/>
      <c r="R624" s="377"/>
      <c r="S624" s="377"/>
      <c r="T624" s="377"/>
      <c r="U624" s="377"/>
      <c r="V624" s="377"/>
      <c r="W624" s="377"/>
      <c r="X624" s="377"/>
      <c r="Y624" s="377"/>
      <c r="Z624" s="377"/>
      <c r="AA624" s="377"/>
      <c r="AB624" s="377"/>
      <c r="AC624" s="377"/>
      <c r="AD624" s="377"/>
      <c r="AE624" s="377"/>
      <c r="AF624" s="377"/>
      <c r="AG624" s="377"/>
      <c r="AH624" s="377"/>
      <c r="AI624" s="377"/>
      <c r="AJ624" s="377"/>
      <c r="AK624" s="377"/>
      <c r="AL624" s="377"/>
      <c r="AM624" s="377"/>
      <c r="AN624" s="377"/>
      <c r="AO624" s="377"/>
      <c r="AP624" s="377"/>
      <c r="AQ624" s="377"/>
      <c r="AR624" s="377"/>
      <c r="AS624" s="377"/>
      <c r="AT624" s="377"/>
      <c r="AU624" s="377"/>
      <c r="AV624" s="377"/>
      <c r="AW624" s="377"/>
      <c r="AX624" s="377"/>
      <c r="AY624" s="377"/>
      <c r="AZ624" s="377"/>
      <c r="BA624" s="377"/>
      <c r="BB624" s="377"/>
      <c r="BC624" s="378"/>
    </row>
    <row r="625" spans="2:55" ht="12.75" customHeight="1">
      <c r="B625" s="461" t="s">
        <v>8</v>
      </c>
      <c r="C625" s="462"/>
      <c r="D625" s="462"/>
      <c r="E625" s="462"/>
      <c r="F625" s="462"/>
      <c r="G625" s="462"/>
      <c r="H625" s="463"/>
      <c r="I625" s="304"/>
      <c r="J625" s="308"/>
      <c r="K625" s="308"/>
      <c r="L625" s="308"/>
      <c r="M625" s="308"/>
      <c r="N625" s="308"/>
      <c r="O625" s="308"/>
      <c r="P625" s="308"/>
      <c r="Q625" s="308"/>
      <c r="R625" s="308"/>
      <c r="S625" s="308"/>
      <c r="T625" s="308"/>
      <c r="U625" s="308"/>
      <c r="V625" s="308"/>
      <c r="W625" s="308"/>
      <c r="X625" s="308"/>
      <c r="Y625" s="308"/>
      <c r="Z625" s="308"/>
      <c r="AA625" s="308"/>
      <c r="AB625" s="308"/>
      <c r="AC625" s="308"/>
      <c r="AD625" s="308"/>
      <c r="AE625" s="308"/>
      <c r="AF625" s="308"/>
      <c r="AG625" s="308"/>
      <c r="AH625" s="308"/>
      <c r="AI625" s="308"/>
      <c r="AJ625" s="308"/>
      <c r="AK625" s="308"/>
      <c r="AL625" s="308"/>
      <c r="AM625" s="308"/>
      <c r="AN625" s="308"/>
      <c r="AO625" s="197"/>
      <c r="AP625" s="197"/>
      <c r="AQ625" s="197"/>
      <c r="AR625" s="197"/>
      <c r="AS625" s="197"/>
      <c r="AT625" s="197"/>
      <c r="AU625" s="197"/>
      <c r="AV625" s="198"/>
      <c r="AW625" s="403" t="s">
        <v>9</v>
      </c>
      <c r="AX625" s="404"/>
      <c r="AY625" s="404"/>
      <c r="AZ625" s="404"/>
      <c r="BA625" s="404"/>
      <c r="BB625" s="404"/>
      <c r="BC625" s="405"/>
    </row>
    <row r="626" spans="2:55" ht="12.75" customHeight="1">
      <c r="B626" s="267"/>
      <c r="C626" s="269"/>
      <c r="D626" s="269"/>
      <c r="E626" s="269"/>
      <c r="F626" s="269"/>
      <c r="G626" s="253"/>
      <c r="H626" s="254"/>
      <c r="I626" s="237"/>
      <c r="J626" s="180"/>
      <c r="K626" s="180"/>
      <c r="L626" s="180"/>
      <c r="M626" s="180"/>
      <c r="N626" s="180"/>
      <c r="O626" s="180"/>
      <c r="P626" s="180"/>
      <c r="Q626" s="214"/>
      <c r="R626" s="180"/>
      <c r="S626" s="180"/>
      <c r="T626" s="215"/>
      <c r="U626" s="180"/>
      <c r="V626" s="180"/>
      <c r="W626" s="180"/>
      <c r="X626" s="180"/>
      <c r="Y626" s="214"/>
      <c r="Z626" s="214"/>
      <c r="AA626" s="214"/>
      <c r="AB626" s="214"/>
      <c r="AC626" s="214"/>
      <c r="AD626" s="214"/>
      <c r="AE626" s="214"/>
      <c r="AF626" s="214"/>
      <c r="AG626" s="180"/>
      <c r="AH626" s="180"/>
      <c r="AI626" s="180"/>
      <c r="AJ626" s="180"/>
      <c r="AK626" s="180"/>
      <c r="AL626" s="180"/>
      <c r="AM626" s="245"/>
      <c r="AN626" s="245"/>
      <c r="AO626" s="180"/>
      <c r="AP626" s="180"/>
      <c r="AQ626" s="180"/>
      <c r="AR626" s="180"/>
      <c r="AS626" s="180"/>
      <c r="AT626" s="180"/>
      <c r="AU626" s="180"/>
      <c r="AV626" s="201"/>
      <c r="AW626" s="202"/>
      <c r="AX626" s="203"/>
      <c r="AY626" s="203"/>
      <c r="AZ626" s="203"/>
      <c r="BA626" s="203"/>
      <c r="BB626" s="203"/>
      <c r="BC626" s="276"/>
    </row>
    <row r="627" spans="2:55" ht="12.75" customHeight="1">
      <c r="B627" s="260"/>
      <c r="C627" s="176"/>
      <c r="D627" s="176"/>
      <c r="E627" s="176"/>
      <c r="F627" s="176"/>
      <c r="G627" s="213"/>
      <c r="H627" s="256"/>
      <c r="I627" s="237"/>
      <c r="J627" s="180"/>
      <c r="K627" s="180"/>
      <c r="L627" s="180"/>
      <c r="M627" s="180"/>
      <c r="N627" s="180"/>
      <c r="O627" s="180"/>
      <c r="P627" s="180"/>
      <c r="Q627" s="214"/>
      <c r="R627" s="180"/>
      <c r="S627" s="180"/>
      <c r="T627" s="215"/>
      <c r="U627" s="180"/>
      <c r="V627" s="180"/>
      <c r="W627" s="180"/>
      <c r="X627" s="180"/>
      <c r="Y627" s="214"/>
      <c r="Z627" s="214"/>
      <c r="AA627" s="214"/>
      <c r="AB627" s="214"/>
      <c r="AC627" s="214"/>
      <c r="AD627" s="214"/>
      <c r="AE627" s="214"/>
      <c r="AF627" s="214"/>
      <c r="AG627" s="180"/>
      <c r="AH627" s="180"/>
      <c r="AI627" s="180"/>
      <c r="AJ627" s="180"/>
      <c r="AK627" s="180"/>
      <c r="AL627" s="180"/>
      <c r="AM627" s="245"/>
      <c r="AN627" s="245"/>
      <c r="AO627" s="180"/>
      <c r="AP627" s="180"/>
      <c r="AQ627" s="180"/>
      <c r="AR627" s="180"/>
      <c r="AS627" s="180"/>
      <c r="AT627" s="180"/>
      <c r="AU627" s="180"/>
      <c r="AV627" s="201"/>
      <c r="AW627" s="207"/>
      <c r="AX627" s="208"/>
      <c r="AY627" s="208"/>
      <c r="AZ627" s="208"/>
      <c r="BA627" s="208"/>
      <c r="BB627" s="208"/>
      <c r="BC627" s="242"/>
    </row>
    <row r="628" spans="2:55" ht="12.75" customHeight="1">
      <c r="B628" s="158"/>
      <c r="C628" s="64"/>
      <c r="D628" s="64"/>
      <c r="E628" s="64"/>
      <c r="F628" s="64"/>
      <c r="G628" s="65"/>
      <c r="H628" s="8"/>
      <c r="I628" s="167"/>
      <c r="J628" s="2"/>
      <c r="K628" s="2"/>
      <c r="L628" s="2"/>
      <c r="M628" s="2"/>
      <c r="N628" s="2"/>
      <c r="O628" s="2"/>
      <c r="P628" s="2"/>
      <c r="Q628" s="7"/>
      <c r="R628" s="2"/>
      <c r="S628" s="2"/>
      <c r="T628" s="6"/>
      <c r="U628" s="2"/>
      <c r="V628" s="2"/>
      <c r="W628" s="2"/>
      <c r="X628" s="2"/>
      <c r="Y628" s="7"/>
      <c r="Z628" s="7"/>
      <c r="AA628" s="7"/>
      <c r="AB628" s="7"/>
      <c r="AC628" s="7"/>
      <c r="AD628" s="7"/>
      <c r="AE628" s="7"/>
      <c r="AF628" s="7"/>
      <c r="AG628" s="2"/>
      <c r="AH628" s="2"/>
      <c r="AI628" s="2"/>
      <c r="AJ628" s="2"/>
      <c r="AK628" s="2"/>
      <c r="AL628" s="2"/>
      <c r="AM628" s="3"/>
      <c r="AN628" s="3"/>
      <c r="AO628" s="2"/>
      <c r="AP628" s="2"/>
      <c r="AQ628" s="2"/>
      <c r="AR628" s="2"/>
      <c r="AS628" s="2"/>
      <c r="AT628" s="2"/>
      <c r="AU628" s="2"/>
      <c r="AV628" s="107"/>
      <c r="AW628" s="4"/>
      <c r="BC628" s="5"/>
    </row>
    <row r="629" spans="2:55" ht="12.75" customHeight="1">
      <c r="B629" s="158"/>
      <c r="C629" s="64"/>
      <c r="D629" s="64"/>
      <c r="E629" s="64"/>
      <c r="F629" s="64"/>
      <c r="G629" s="65"/>
      <c r="H629" s="8"/>
      <c r="I629" s="167"/>
      <c r="J629" s="2"/>
      <c r="K629" s="2"/>
      <c r="L629" s="2"/>
      <c r="M629" s="2"/>
      <c r="N629" s="2"/>
      <c r="O629" s="2"/>
      <c r="P629" s="2"/>
      <c r="Q629" s="7"/>
      <c r="R629" s="2"/>
      <c r="S629" s="2"/>
      <c r="T629" s="6"/>
      <c r="U629" s="2"/>
      <c r="V629" s="2"/>
      <c r="W629" s="2"/>
      <c r="X629" s="2"/>
      <c r="Y629" s="7"/>
      <c r="Z629" s="7"/>
      <c r="AA629" s="7"/>
      <c r="AB629" s="7"/>
      <c r="AC629" s="7"/>
      <c r="AD629" s="7"/>
      <c r="AE629" s="7"/>
      <c r="AF629" s="7"/>
      <c r="AG629" s="2"/>
      <c r="AH629" s="2"/>
      <c r="AI629" s="2"/>
      <c r="AJ629" s="2"/>
      <c r="AK629" s="2"/>
      <c r="AL629" s="2"/>
      <c r="AM629" s="3"/>
      <c r="AN629" s="3"/>
      <c r="AO629" s="2"/>
      <c r="AP629" s="2"/>
      <c r="AQ629" s="2"/>
      <c r="AR629" s="2"/>
      <c r="AS629" s="2"/>
      <c r="AT629" s="2"/>
      <c r="AU629" s="2"/>
      <c r="AV629" s="107"/>
      <c r="AW629" s="4"/>
      <c r="BC629" s="5"/>
    </row>
    <row r="630" spans="2:55" ht="12.75" customHeight="1">
      <c r="B630" s="158"/>
      <c r="C630" s="64"/>
      <c r="D630" s="64"/>
      <c r="E630" s="64"/>
      <c r="F630" s="64"/>
      <c r="G630" s="65"/>
      <c r="H630" s="8"/>
      <c r="I630" s="167"/>
      <c r="J630" s="2"/>
      <c r="K630" s="2"/>
      <c r="L630" s="2"/>
      <c r="M630" s="2"/>
      <c r="N630" s="2"/>
      <c r="O630" s="2"/>
      <c r="P630" s="2"/>
      <c r="Q630" s="7"/>
      <c r="R630" s="2"/>
      <c r="S630" s="2"/>
      <c r="T630" s="6"/>
      <c r="U630" s="2"/>
      <c r="V630" s="2"/>
      <c r="W630" s="2"/>
      <c r="X630" s="2"/>
      <c r="Y630" s="7"/>
      <c r="Z630" s="7"/>
      <c r="AA630" s="7"/>
      <c r="AB630" s="7"/>
      <c r="AC630" s="7"/>
      <c r="AD630" s="7"/>
      <c r="AE630" s="7"/>
      <c r="AF630" s="7"/>
      <c r="AG630" s="2"/>
      <c r="AH630" s="2"/>
      <c r="AI630" s="2"/>
      <c r="AJ630" s="2"/>
      <c r="AK630" s="2"/>
      <c r="AL630" s="2"/>
      <c r="AM630" s="3"/>
      <c r="AN630" s="3"/>
      <c r="AO630" s="2"/>
      <c r="AP630" s="2"/>
      <c r="AQ630" s="2"/>
      <c r="AR630" s="2"/>
      <c r="AS630" s="2"/>
      <c r="AT630" s="2"/>
      <c r="AU630" s="2"/>
      <c r="AV630" s="107"/>
      <c r="AW630" s="4"/>
      <c r="BC630" s="5"/>
    </row>
    <row r="631" spans="2:55" ht="12.75" customHeight="1">
      <c r="B631" s="158"/>
      <c r="C631" s="64"/>
      <c r="D631" s="64"/>
      <c r="E631" s="64"/>
      <c r="F631" s="64"/>
      <c r="G631" s="65"/>
      <c r="H631" s="8"/>
      <c r="I631" s="167"/>
      <c r="J631" s="2"/>
      <c r="K631" s="2"/>
      <c r="L631" s="2"/>
      <c r="M631" s="2"/>
      <c r="N631" s="2"/>
      <c r="O631" s="2"/>
      <c r="P631" s="2"/>
      <c r="Q631" s="7"/>
      <c r="R631" s="2"/>
      <c r="S631" s="2"/>
      <c r="T631" s="6"/>
      <c r="U631" s="2"/>
      <c r="V631" s="2"/>
      <c r="W631" s="2"/>
      <c r="X631" s="2"/>
      <c r="Y631" s="7"/>
      <c r="Z631" s="7"/>
      <c r="AA631" s="7"/>
      <c r="AB631" s="7"/>
      <c r="AC631" s="7"/>
      <c r="AD631" s="7"/>
      <c r="AE631" s="7"/>
      <c r="AF631" s="7"/>
      <c r="AG631" s="2"/>
      <c r="AH631" s="2"/>
      <c r="AI631" s="2"/>
      <c r="AJ631" s="2"/>
      <c r="AK631" s="2"/>
      <c r="AL631" s="2"/>
      <c r="AM631" s="3"/>
      <c r="AN631" s="3"/>
      <c r="AO631" s="2"/>
      <c r="AP631" s="2"/>
      <c r="AQ631" s="2"/>
      <c r="AR631" s="2"/>
      <c r="AS631" s="2"/>
      <c r="AT631" s="2"/>
      <c r="AU631" s="2"/>
      <c r="AV631" s="107"/>
      <c r="AW631" s="4"/>
      <c r="BC631" s="5"/>
    </row>
    <row r="632" spans="2:55" ht="12.75" customHeight="1">
      <c r="B632" s="158"/>
      <c r="C632" s="64"/>
      <c r="D632" s="64"/>
      <c r="E632" s="64"/>
      <c r="F632" s="64"/>
      <c r="G632" s="65"/>
      <c r="H632" s="8"/>
      <c r="I632" s="167"/>
      <c r="J632" s="2"/>
      <c r="K632" s="2"/>
      <c r="L632" s="2"/>
      <c r="M632" s="2"/>
      <c r="N632" s="2"/>
      <c r="O632" s="2"/>
      <c r="P632" s="2"/>
      <c r="Q632" s="7"/>
      <c r="R632" s="2"/>
      <c r="S632" s="2"/>
      <c r="T632" s="6"/>
      <c r="U632" s="2"/>
      <c r="V632" s="2"/>
      <c r="W632" s="2"/>
      <c r="X632" s="2"/>
      <c r="Y632" s="7"/>
      <c r="Z632" s="7"/>
      <c r="AA632" s="7"/>
      <c r="AB632" s="7"/>
      <c r="AC632" s="7"/>
      <c r="AD632" s="7"/>
      <c r="AE632" s="7"/>
      <c r="AF632" s="7"/>
      <c r="AG632" s="2"/>
      <c r="AH632" s="2"/>
      <c r="AI632" s="2"/>
      <c r="AJ632" s="2"/>
      <c r="AK632" s="2"/>
      <c r="AL632" s="2"/>
      <c r="AM632" s="3"/>
      <c r="AN632" s="3"/>
      <c r="AO632" s="2"/>
      <c r="AP632" s="2"/>
      <c r="AQ632" s="2"/>
      <c r="AR632" s="2"/>
      <c r="AS632" s="2"/>
      <c r="AT632" s="2"/>
      <c r="AU632" s="2"/>
      <c r="AV632" s="107"/>
      <c r="AW632" s="4"/>
      <c r="BC632" s="5"/>
    </row>
    <row r="633" spans="2:55" ht="12.75" customHeight="1">
      <c r="B633" s="158"/>
      <c r="C633" s="64"/>
      <c r="D633" s="64"/>
      <c r="E633" s="64"/>
      <c r="F633" s="64"/>
      <c r="G633" s="65"/>
      <c r="H633" s="8"/>
      <c r="I633" s="167"/>
      <c r="J633" s="2"/>
      <c r="K633" s="2"/>
      <c r="L633" s="2"/>
      <c r="M633" s="2"/>
      <c r="N633" s="2"/>
      <c r="O633" s="2"/>
      <c r="P633" s="2"/>
      <c r="Q633" s="7"/>
      <c r="R633" s="2"/>
      <c r="S633" s="2"/>
      <c r="T633" s="6"/>
      <c r="U633" s="2"/>
      <c r="V633" s="2"/>
      <c r="W633" s="2"/>
      <c r="X633" s="2"/>
      <c r="Y633" s="7"/>
      <c r="Z633" s="7"/>
      <c r="AA633" s="7"/>
      <c r="AB633" s="7"/>
      <c r="AC633" s="7"/>
      <c r="AD633" s="7"/>
      <c r="AE633" s="7"/>
      <c r="AF633" s="7"/>
      <c r="AG633" s="2"/>
      <c r="AH633" s="2"/>
      <c r="AI633" s="2"/>
      <c r="AJ633" s="2"/>
      <c r="AK633" s="2"/>
      <c r="AL633" s="2"/>
      <c r="AM633" s="3"/>
      <c r="AN633" s="3"/>
      <c r="AO633" s="2"/>
      <c r="AP633" s="2"/>
      <c r="AQ633" s="2"/>
      <c r="AR633" s="2"/>
      <c r="AS633" s="2"/>
      <c r="AT633" s="2"/>
      <c r="AU633" s="2"/>
      <c r="AV633" s="107"/>
      <c r="AW633" s="4"/>
      <c r="BC633" s="5"/>
    </row>
    <row r="634" spans="2:55" ht="12.75" customHeight="1">
      <c r="B634" s="158"/>
      <c r="C634" s="64"/>
      <c r="D634" s="64"/>
      <c r="E634" s="64"/>
      <c r="F634" s="64"/>
      <c r="G634" s="65"/>
      <c r="H634" s="8"/>
      <c r="I634" s="167"/>
      <c r="J634" s="2"/>
      <c r="K634" s="2"/>
      <c r="L634" s="2"/>
      <c r="M634" s="2"/>
      <c r="N634" s="2"/>
      <c r="O634" s="2"/>
      <c r="P634" s="2"/>
      <c r="Q634" s="7"/>
      <c r="R634" s="2"/>
      <c r="S634" s="2"/>
      <c r="T634" s="6"/>
      <c r="U634" s="2"/>
      <c r="V634" s="2"/>
      <c r="W634" s="2"/>
      <c r="X634" s="2"/>
      <c r="Y634" s="7"/>
      <c r="Z634" s="7"/>
      <c r="AA634" s="7"/>
      <c r="AB634" s="7"/>
      <c r="AC634" s="7"/>
      <c r="AD634" s="7"/>
      <c r="AE634" s="7"/>
      <c r="AF634" s="7"/>
      <c r="AG634" s="2"/>
      <c r="AH634" s="2"/>
      <c r="AI634" s="2"/>
      <c r="AJ634" s="2"/>
      <c r="AK634" s="2"/>
      <c r="AL634" s="2"/>
      <c r="AM634" s="3"/>
      <c r="AN634" s="3"/>
      <c r="AO634" s="2"/>
      <c r="AP634" s="2"/>
      <c r="AQ634" s="2"/>
      <c r="AR634" s="2"/>
      <c r="AS634" s="2"/>
      <c r="AT634" s="2"/>
      <c r="AU634" s="2"/>
      <c r="AV634" s="107"/>
      <c r="AW634" s="4"/>
      <c r="BC634" s="5"/>
    </row>
    <row r="635" spans="2:55" ht="12.75" customHeight="1">
      <c r="B635" s="158"/>
      <c r="C635" s="64"/>
      <c r="D635" s="64"/>
      <c r="E635" s="64"/>
      <c r="F635" s="64"/>
      <c r="G635" s="65"/>
      <c r="H635" s="8"/>
      <c r="I635" s="167"/>
      <c r="J635" s="2"/>
      <c r="K635" s="2"/>
      <c r="L635" s="2"/>
      <c r="M635" s="2"/>
      <c r="N635" s="2"/>
      <c r="O635" s="2"/>
      <c r="P635" s="2"/>
      <c r="Q635" s="7"/>
      <c r="R635" s="2"/>
      <c r="S635" s="2"/>
      <c r="T635" s="6"/>
      <c r="U635" s="2"/>
      <c r="V635" s="2"/>
      <c r="W635" s="2"/>
      <c r="X635" s="2"/>
      <c r="Y635" s="7"/>
      <c r="Z635" s="7"/>
      <c r="AA635" s="7"/>
      <c r="AB635" s="7"/>
      <c r="AC635" s="7"/>
      <c r="AD635" s="7"/>
      <c r="AE635" s="7"/>
      <c r="AF635" s="7"/>
      <c r="AG635" s="2"/>
      <c r="AH635" s="2"/>
      <c r="AI635" s="2"/>
      <c r="AJ635" s="2"/>
      <c r="AK635" s="2"/>
      <c r="AL635" s="2"/>
      <c r="AM635" s="3"/>
      <c r="AN635" s="3"/>
      <c r="AO635" s="2"/>
      <c r="AP635" s="2"/>
      <c r="AQ635" s="2"/>
      <c r="AR635" s="2"/>
      <c r="AS635" s="2"/>
      <c r="AT635" s="2"/>
      <c r="AU635" s="2"/>
      <c r="AV635" s="107"/>
      <c r="AW635" s="4"/>
      <c r="BC635" s="5"/>
    </row>
    <row r="636" spans="2:55" ht="12.75" customHeight="1">
      <c r="B636" s="158"/>
      <c r="C636" s="64"/>
      <c r="D636" s="64"/>
      <c r="E636" s="64"/>
      <c r="F636" s="64"/>
      <c r="G636" s="65"/>
      <c r="H636" s="8"/>
      <c r="I636" s="167"/>
      <c r="J636" s="2"/>
      <c r="K636" s="2"/>
      <c r="L636" s="2"/>
      <c r="M636" s="2"/>
      <c r="N636" s="2"/>
      <c r="O636" s="2"/>
      <c r="P636" s="2"/>
      <c r="Q636" s="7"/>
      <c r="R636" s="2"/>
      <c r="S636" s="2"/>
      <c r="T636" s="6"/>
      <c r="U636" s="2"/>
      <c r="V636" s="2"/>
      <c r="W636" s="2"/>
      <c r="X636" s="2"/>
      <c r="Y636" s="7"/>
      <c r="Z636" s="7"/>
      <c r="AA636" s="7"/>
      <c r="AB636" s="7"/>
      <c r="AC636" s="7"/>
      <c r="AD636" s="7"/>
      <c r="AE636" s="7"/>
      <c r="AF636" s="7"/>
      <c r="AG636" s="2"/>
      <c r="AH636" s="2"/>
      <c r="AI636" s="2"/>
      <c r="AJ636" s="2"/>
      <c r="AK636" s="2"/>
      <c r="AL636" s="2"/>
      <c r="AM636" s="3"/>
      <c r="AN636" s="3"/>
      <c r="AO636" s="2"/>
      <c r="AP636" s="2"/>
      <c r="AQ636" s="2"/>
      <c r="AR636" s="2"/>
      <c r="AS636" s="2"/>
      <c r="AT636" s="2"/>
      <c r="AU636" s="2"/>
      <c r="AV636" s="107"/>
      <c r="AW636" s="4"/>
      <c r="BC636" s="5"/>
    </row>
    <row r="637" spans="2:55" ht="12.75" customHeight="1">
      <c r="B637" s="158"/>
      <c r="C637" s="64"/>
      <c r="D637" s="64"/>
      <c r="E637" s="64"/>
      <c r="F637" s="64"/>
      <c r="G637" s="65"/>
      <c r="H637" s="8"/>
      <c r="I637" s="167"/>
      <c r="J637" s="2"/>
      <c r="K637" s="2"/>
      <c r="L637" s="2"/>
      <c r="M637" s="2"/>
      <c r="N637" s="2"/>
      <c r="O637" s="2"/>
      <c r="P637" s="2"/>
      <c r="Q637" s="7"/>
      <c r="R637" s="2"/>
      <c r="S637" s="2"/>
      <c r="T637" s="6"/>
      <c r="U637" s="2"/>
      <c r="V637" s="2"/>
      <c r="W637" s="2"/>
      <c r="X637" s="2"/>
      <c r="Y637" s="7"/>
      <c r="Z637" s="7"/>
      <c r="AA637" s="7"/>
      <c r="AB637" s="7"/>
      <c r="AC637" s="7"/>
      <c r="AD637" s="7"/>
      <c r="AE637" s="7"/>
      <c r="AF637" s="7"/>
      <c r="AG637" s="2"/>
      <c r="AH637" s="2"/>
      <c r="AI637" s="2"/>
      <c r="AJ637" s="2"/>
      <c r="AK637" s="2"/>
      <c r="AL637" s="2"/>
      <c r="AM637" s="3"/>
      <c r="AN637" s="3"/>
      <c r="AO637" s="2"/>
      <c r="AP637" s="2"/>
      <c r="AQ637" s="2"/>
      <c r="AR637" s="2"/>
      <c r="AS637" s="2"/>
      <c r="AT637" s="2"/>
      <c r="AU637" s="2"/>
      <c r="AV637" s="107"/>
      <c r="AW637" s="4"/>
      <c r="BC637" s="5"/>
    </row>
    <row r="638" spans="2:55" ht="12.75" customHeight="1">
      <c r="B638" s="158"/>
      <c r="C638" s="64"/>
      <c r="D638" s="64"/>
      <c r="E638" s="64"/>
      <c r="F638" s="64"/>
      <c r="G638" s="65"/>
      <c r="H638" s="8"/>
      <c r="I638" s="167"/>
      <c r="J638" s="2"/>
      <c r="K638" s="2"/>
      <c r="L638" s="2"/>
      <c r="M638" s="2"/>
      <c r="N638" s="2"/>
      <c r="O638" s="2"/>
      <c r="P638" s="2"/>
      <c r="Q638" s="7"/>
      <c r="R638" s="2"/>
      <c r="S638" s="2"/>
      <c r="T638" s="6"/>
      <c r="U638" s="2"/>
      <c r="V638" s="2"/>
      <c r="W638" s="2"/>
      <c r="X638" s="2"/>
      <c r="Y638" s="7"/>
      <c r="Z638" s="7"/>
      <c r="AA638" s="7"/>
      <c r="AB638" s="7"/>
      <c r="AC638" s="7"/>
      <c r="AD638" s="7"/>
      <c r="AE638" s="7"/>
      <c r="AF638" s="7"/>
      <c r="AG638" s="2"/>
      <c r="AH638" s="2"/>
      <c r="AI638" s="2"/>
      <c r="AJ638" s="2"/>
      <c r="AK638" s="2"/>
      <c r="AL638" s="2"/>
      <c r="AM638" s="3"/>
      <c r="AN638" s="3"/>
      <c r="AO638" s="2"/>
      <c r="AP638" s="2"/>
      <c r="AQ638" s="2"/>
      <c r="AR638" s="2"/>
      <c r="AS638" s="2"/>
      <c r="AT638" s="2"/>
      <c r="AU638" s="2"/>
      <c r="AV638" s="107"/>
      <c r="AW638" s="4"/>
      <c r="BC638" s="5"/>
    </row>
    <row r="639" spans="2:55" ht="12.75" customHeight="1">
      <c r="B639" s="158"/>
      <c r="C639" s="64"/>
      <c r="D639" s="64"/>
      <c r="E639" s="64"/>
      <c r="F639" s="64"/>
      <c r="G639" s="65"/>
      <c r="H639" s="8"/>
      <c r="I639" s="167"/>
      <c r="J639" s="2"/>
      <c r="K639" s="2"/>
      <c r="L639" s="2"/>
      <c r="M639" s="2"/>
      <c r="N639" s="2"/>
      <c r="O639" s="2"/>
      <c r="P639" s="2"/>
      <c r="Q639" s="7"/>
      <c r="R639" s="2"/>
      <c r="S639" s="2"/>
      <c r="T639" s="6"/>
      <c r="U639" s="2"/>
      <c r="V639" s="2"/>
      <c r="W639" s="2"/>
      <c r="X639" s="2"/>
      <c r="Y639" s="7"/>
      <c r="Z639" s="7"/>
      <c r="AA639" s="7"/>
      <c r="AB639" s="7"/>
      <c r="AC639" s="7"/>
      <c r="AD639" s="7"/>
      <c r="AE639" s="7"/>
      <c r="AF639" s="7"/>
      <c r="AG639" s="2"/>
      <c r="AH639" s="2"/>
      <c r="AI639" s="2"/>
      <c r="AJ639" s="2"/>
      <c r="AK639" s="2"/>
      <c r="AL639" s="2"/>
      <c r="AM639" s="3"/>
      <c r="AN639" s="3"/>
      <c r="AO639" s="2"/>
      <c r="AP639" s="2"/>
      <c r="AQ639" s="2"/>
      <c r="AR639" s="2"/>
      <c r="AS639" s="2"/>
      <c r="AT639" s="2"/>
      <c r="AU639" s="2"/>
      <c r="AV639" s="107"/>
      <c r="AW639" s="4"/>
      <c r="BC639" s="5"/>
    </row>
    <row r="640" spans="2:55" ht="12.75" customHeight="1">
      <c r="B640" s="158"/>
      <c r="C640" s="64"/>
      <c r="D640" s="64"/>
      <c r="E640" s="64"/>
      <c r="F640" s="64"/>
      <c r="G640" s="65"/>
      <c r="H640" s="8"/>
      <c r="I640" s="167"/>
      <c r="J640" s="2"/>
      <c r="K640" s="2"/>
      <c r="L640" s="2"/>
      <c r="M640" s="2"/>
      <c r="N640" s="2"/>
      <c r="O640" s="2"/>
      <c r="P640" s="2"/>
      <c r="Q640" s="7"/>
      <c r="R640" s="2"/>
      <c r="S640" s="2"/>
      <c r="T640" s="6"/>
      <c r="U640" s="2"/>
      <c r="V640" s="2"/>
      <c r="W640" s="2"/>
      <c r="X640" s="2"/>
      <c r="Y640" s="7"/>
      <c r="Z640" s="7"/>
      <c r="AA640" s="7"/>
      <c r="AB640" s="7"/>
      <c r="AC640" s="7"/>
      <c r="AD640" s="7"/>
      <c r="AE640" s="7"/>
      <c r="AF640" s="7"/>
      <c r="AG640" s="2"/>
      <c r="AH640" s="2"/>
      <c r="AI640" s="2"/>
      <c r="AJ640" s="2"/>
      <c r="AK640" s="2"/>
      <c r="AL640" s="2"/>
      <c r="AM640" s="3"/>
      <c r="AN640" s="3"/>
      <c r="AO640" s="2"/>
      <c r="AP640" s="2"/>
      <c r="AQ640" s="2"/>
      <c r="AR640" s="2"/>
      <c r="AS640" s="2"/>
      <c r="AT640" s="2"/>
      <c r="AU640" s="2"/>
      <c r="AV640" s="107"/>
      <c r="AW640" s="4"/>
      <c r="BC640" s="5"/>
    </row>
    <row r="641" spans="2:55" ht="12.75" customHeight="1">
      <c r="B641" s="158"/>
      <c r="C641" s="64"/>
      <c r="D641" s="64"/>
      <c r="E641" s="64"/>
      <c r="F641" s="64"/>
      <c r="G641" s="65"/>
      <c r="H641" s="8"/>
      <c r="I641" s="167"/>
      <c r="J641" s="2"/>
      <c r="K641" s="2"/>
      <c r="L641" s="2"/>
      <c r="M641" s="2"/>
      <c r="N641" s="2"/>
      <c r="O641" s="2"/>
      <c r="P641" s="2"/>
      <c r="Q641" s="7"/>
      <c r="R641" s="2"/>
      <c r="S641" s="2"/>
      <c r="T641" s="6"/>
      <c r="U641" s="2"/>
      <c r="V641" s="2"/>
      <c r="W641" s="2"/>
      <c r="X641" s="2"/>
      <c r="Y641" s="7"/>
      <c r="Z641" s="7"/>
      <c r="AA641" s="7"/>
      <c r="AB641" s="7"/>
      <c r="AC641" s="7"/>
      <c r="AD641" s="7"/>
      <c r="AE641" s="7"/>
      <c r="AF641" s="7"/>
      <c r="AG641" s="2"/>
      <c r="AH641" s="2"/>
      <c r="AI641" s="2"/>
      <c r="AJ641" s="2"/>
      <c r="AK641" s="2"/>
      <c r="AL641" s="2"/>
      <c r="AM641" s="3"/>
      <c r="AN641" s="3"/>
      <c r="AO641" s="2"/>
      <c r="AP641" s="2"/>
      <c r="AQ641" s="2"/>
      <c r="AR641" s="2"/>
      <c r="AS641" s="2"/>
      <c r="AT641" s="2"/>
      <c r="AU641" s="2"/>
      <c r="AV641" s="107"/>
      <c r="AW641" s="4"/>
      <c r="BC641" s="5"/>
    </row>
    <row r="642" spans="2:55" ht="12.75" customHeight="1">
      <c r="B642" s="158"/>
      <c r="C642" s="64"/>
      <c r="D642" s="64"/>
      <c r="E642" s="64"/>
      <c r="F642" s="64"/>
      <c r="G642" s="65"/>
      <c r="H642" s="8"/>
      <c r="I642" s="167"/>
      <c r="J642" s="2"/>
      <c r="K642" s="2"/>
      <c r="L642" s="2"/>
      <c r="M642" s="2"/>
      <c r="N642" s="2"/>
      <c r="O642" s="2"/>
      <c r="P642" s="2"/>
      <c r="Q642" s="7"/>
      <c r="R642" s="2"/>
      <c r="S642" s="2"/>
      <c r="T642" s="6"/>
      <c r="U642" s="2"/>
      <c r="V642" s="2"/>
      <c r="W642" s="2"/>
      <c r="X642" s="2"/>
      <c r="Y642" s="7"/>
      <c r="Z642" s="7"/>
      <c r="AA642" s="7"/>
      <c r="AB642" s="7"/>
      <c r="AC642" s="7"/>
      <c r="AD642" s="7"/>
      <c r="AE642" s="7"/>
      <c r="AF642" s="7"/>
      <c r="AG642" s="2"/>
      <c r="AH642" s="2"/>
      <c r="AI642" s="2"/>
      <c r="AJ642" s="2"/>
      <c r="AK642" s="2"/>
      <c r="AL642" s="2"/>
      <c r="AM642" s="3"/>
      <c r="AN642" s="3"/>
      <c r="AO642" s="2"/>
      <c r="AP642" s="2"/>
      <c r="AQ642" s="2"/>
      <c r="AR642" s="2"/>
      <c r="AS642" s="2"/>
      <c r="AT642" s="2"/>
      <c r="AU642" s="2"/>
      <c r="AV642" s="107"/>
      <c r="AW642" s="4"/>
      <c r="BC642" s="5"/>
    </row>
    <row r="643" spans="2:55" ht="12.75" customHeight="1">
      <c r="B643" s="158"/>
      <c r="C643" s="64"/>
      <c r="D643" s="64"/>
      <c r="E643" s="64"/>
      <c r="F643" s="64"/>
      <c r="G643" s="65"/>
      <c r="H643" s="8"/>
      <c r="I643" s="167"/>
      <c r="J643" s="2"/>
      <c r="K643" s="2"/>
      <c r="L643" s="2"/>
      <c r="M643" s="2"/>
      <c r="N643" s="2"/>
      <c r="O643" s="2"/>
      <c r="P643" s="2"/>
      <c r="Q643" s="7"/>
      <c r="R643" s="2"/>
      <c r="S643" s="2"/>
      <c r="T643" s="6"/>
      <c r="U643" s="2"/>
      <c r="V643" s="2"/>
      <c r="W643" s="2"/>
      <c r="X643" s="2"/>
      <c r="Y643" s="7"/>
      <c r="Z643" s="7"/>
      <c r="AA643" s="7"/>
      <c r="AB643" s="7"/>
      <c r="AC643" s="7"/>
      <c r="AD643" s="7"/>
      <c r="AE643" s="7"/>
      <c r="AF643" s="7"/>
      <c r="AG643" s="2"/>
      <c r="AH643" s="2"/>
      <c r="AI643" s="2"/>
      <c r="AJ643" s="2"/>
      <c r="AK643" s="2"/>
      <c r="AL643" s="2"/>
      <c r="AM643" s="3"/>
      <c r="AN643" s="3"/>
      <c r="AO643" s="2"/>
      <c r="AP643" s="2"/>
      <c r="AQ643" s="2"/>
      <c r="AR643" s="2"/>
      <c r="AS643" s="2"/>
      <c r="AT643" s="2"/>
      <c r="AU643" s="2"/>
      <c r="AV643" s="107"/>
      <c r="AW643" s="4"/>
      <c r="BC643" s="5"/>
    </row>
    <row r="644" spans="2:55" ht="12.75" customHeight="1">
      <c r="B644" s="158"/>
      <c r="C644" s="64"/>
      <c r="D644" s="64"/>
      <c r="E644" s="64"/>
      <c r="F644" s="64"/>
      <c r="G644" s="65"/>
      <c r="H644" s="8"/>
      <c r="I644" s="167"/>
      <c r="J644" s="2"/>
      <c r="K644" s="2"/>
      <c r="L644" s="2"/>
      <c r="M644" s="2"/>
      <c r="N644" s="2"/>
      <c r="O644" s="2"/>
      <c r="P644" s="2"/>
      <c r="Q644" s="7"/>
      <c r="R644" s="2"/>
      <c r="S644" s="2"/>
      <c r="T644" s="6"/>
      <c r="U644" s="2"/>
      <c r="V644" s="2"/>
      <c r="W644" s="2"/>
      <c r="X644" s="2"/>
      <c r="Y644" s="7"/>
      <c r="Z644" s="7"/>
      <c r="AA644" s="7"/>
      <c r="AB644" s="7"/>
      <c r="AC644" s="7"/>
      <c r="AD644" s="7"/>
      <c r="AE644" s="7"/>
      <c r="AF644" s="7"/>
      <c r="AG644" s="2"/>
      <c r="AH644" s="2"/>
      <c r="AI644" s="2"/>
      <c r="AJ644" s="2"/>
      <c r="AK644" s="2"/>
      <c r="AL644" s="2"/>
      <c r="AM644" s="3"/>
      <c r="AN644" s="3"/>
      <c r="AO644" s="2"/>
      <c r="AP644" s="2"/>
      <c r="AQ644" s="2"/>
      <c r="AR644" s="2"/>
      <c r="AS644" s="2"/>
      <c r="AT644" s="2"/>
      <c r="AU644" s="2"/>
      <c r="AV644" s="107"/>
      <c r="AW644" s="4"/>
      <c r="BC644" s="5"/>
    </row>
    <row r="645" spans="2:55" ht="12.75" customHeight="1">
      <c r="B645" s="158"/>
      <c r="C645" s="64"/>
      <c r="D645" s="64"/>
      <c r="E645" s="64"/>
      <c r="F645" s="64"/>
      <c r="G645" s="65"/>
      <c r="H645" s="8"/>
      <c r="I645" s="167"/>
      <c r="J645" s="2"/>
      <c r="K645" s="2"/>
      <c r="L645" s="2"/>
      <c r="M645" s="2"/>
      <c r="N645" s="2"/>
      <c r="O645" s="2"/>
      <c r="P645" s="2"/>
      <c r="Q645" s="7"/>
      <c r="R645" s="2"/>
      <c r="S645" s="2"/>
      <c r="T645" s="6"/>
      <c r="U645" s="2"/>
      <c r="V645" s="2"/>
      <c r="W645" s="2"/>
      <c r="X645" s="2"/>
      <c r="Y645" s="7"/>
      <c r="Z645" s="7"/>
      <c r="AA645" s="7"/>
      <c r="AB645" s="7"/>
      <c r="AC645" s="7"/>
      <c r="AD645" s="7"/>
      <c r="AE645" s="7"/>
      <c r="AF645" s="7"/>
      <c r="AG645" s="2"/>
      <c r="AH645" s="2"/>
      <c r="AI645" s="2"/>
      <c r="AJ645" s="2"/>
      <c r="AK645" s="2"/>
      <c r="AL645" s="2"/>
      <c r="AM645" s="3"/>
      <c r="AN645" s="3"/>
      <c r="AO645" s="2"/>
      <c r="AP645" s="2"/>
      <c r="AQ645" s="2"/>
      <c r="AR645" s="2"/>
      <c r="AS645" s="2"/>
      <c r="AT645" s="2"/>
      <c r="AU645" s="2"/>
      <c r="AV645" s="107"/>
      <c r="AW645" s="4"/>
      <c r="BC645" s="5"/>
    </row>
    <row r="646" spans="2:55" ht="12.75" customHeight="1">
      <c r="B646" s="158"/>
      <c r="C646" s="64"/>
      <c r="D646" s="64"/>
      <c r="E646" s="64"/>
      <c r="F646" s="64"/>
      <c r="G646" s="65"/>
      <c r="H646" s="8"/>
      <c r="I646" s="167"/>
      <c r="J646" s="2"/>
      <c r="K646" s="2"/>
      <c r="L646" s="2"/>
      <c r="M646" s="2"/>
      <c r="N646" s="2"/>
      <c r="O646" s="2"/>
      <c r="P646" s="2"/>
      <c r="Q646" s="7"/>
      <c r="R646" s="2"/>
      <c r="S646" s="2"/>
      <c r="T646" s="6"/>
      <c r="U646" s="2"/>
      <c r="V646" s="2"/>
      <c r="W646" s="2"/>
      <c r="X646" s="2"/>
      <c r="Y646" s="7"/>
      <c r="Z646" s="7"/>
      <c r="AA646" s="7"/>
      <c r="AB646" s="7"/>
      <c r="AC646" s="7"/>
      <c r="AD646" s="7"/>
      <c r="AE646" s="7"/>
      <c r="AF646" s="7"/>
      <c r="AG646" s="2"/>
      <c r="AH646" s="2"/>
      <c r="AI646" s="2"/>
      <c r="AJ646" s="2"/>
      <c r="AK646" s="2"/>
      <c r="AL646" s="2"/>
      <c r="AM646" s="3"/>
      <c r="AN646" s="3"/>
      <c r="AO646" s="2"/>
      <c r="AP646" s="2"/>
      <c r="AQ646" s="2"/>
      <c r="AR646" s="2"/>
      <c r="AS646" s="2"/>
      <c r="AT646" s="2"/>
      <c r="AU646" s="2"/>
      <c r="AV646" s="107"/>
      <c r="AW646" s="4"/>
      <c r="BC646" s="5"/>
    </row>
    <row r="647" spans="2:55" ht="12.75" customHeight="1">
      <c r="B647" s="158"/>
      <c r="C647" s="64"/>
      <c r="D647" s="64"/>
      <c r="E647" s="64"/>
      <c r="F647" s="64"/>
      <c r="G647" s="65"/>
      <c r="H647" s="8"/>
      <c r="I647" s="167"/>
      <c r="J647" s="2"/>
      <c r="K647" s="2"/>
      <c r="L647" s="2"/>
      <c r="M647" s="2"/>
      <c r="N647" s="2"/>
      <c r="O647" s="2"/>
      <c r="P647" s="2"/>
      <c r="Q647" s="7"/>
      <c r="R647" s="2"/>
      <c r="S647" s="2"/>
      <c r="T647" s="6"/>
      <c r="U647" s="2"/>
      <c r="V647" s="2"/>
      <c r="W647" s="2"/>
      <c r="X647" s="2"/>
      <c r="Y647" s="7"/>
      <c r="Z647" s="7"/>
      <c r="AA647" s="7"/>
      <c r="AB647" s="7"/>
      <c r="AC647" s="7"/>
      <c r="AD647" s="7"/>
      <c r="AE647" s="7"/>
      <c r="AF647" s="7"/>
      <c r="AG647" s="2"/>
      <c r="AH647" s="2"/>
      <c r="AI647" s="2"/>
      <c r="AJ647" s="2"/>
      <c r="AK647" s="2"/>
      <c r="AL647" s="2"/>
      <c r="AM647" s="3"/>
      <c r="AN647" s="3"/>
      <c r="AO647" s="2"/>
      <c r="AP647" s="2"/>
      <c r="AQ647" s="2"/>
      <c r="AR647" s="2"/>
      <c r="AS647" s="2"/>
      <c r="AT647" s="2"/>
      <c r="AU647" s="2"/>
      <c r="AV647" s="107"/>
      <c r="AW647" s="4"/>
      <c r="BC647" s="5"/>
    </row>
    <row r="648" spans="2:55" ht="12.75" customHeight="1">
      <c r="B648" s="158"/>
      <c r="C648" s="64"/>
      <c r="D648" s="64"/>
      <c r="E648" s="64"/>
      <c r="F648" s="64"/>
      <c r="G648" s="65"/>
      <c r="H648" s="8"/>
      <c r="I648" s="167"/>
      <c r="J648" s="2"/>
      <c r="K648" s="2"/>
      <c r="L648" s="2"/>
      <c r="M648" s="2"/>
      <c r="N648" s="2"/>
      <c r="O648" s="2"/>
      <c r="P648" s="2"/>
      <c r="Q648" s="7"/>
      <c r="R648" s="2"/>
      <c r="S648" s="2"/>
      <c r="T648" s="6"/>
      <c r="U648" s="2"/>
      <c r="V648" s="2"/>
      <c r="W648" s="2"/>
      <c r="X648" s="2"/>
      <c r="Y648" s="7"/>
      <c r="Z648" s="7"/>
      <c r="AA648" s="7"/>
      <c r="AB648" s="7"/>
      <c r="AC648" s="7"/>
      <c r="AD648" s="7"/>
      <c r="AE648" s="7"/>
      <c r="AF648" s="7"/>
      <c r="AG648" s="2"/>
      <c r="AH648" s="2"/>
      <c r="AI648" s="2"/>
      <c r="AJ648" s="2"/>
      <c r="AK648" s="2"/>
      <c r="AL648" s="2"/>
      <c r="AM648" s="3"/>
      <c r="AN648" s="3"/>
      <c r="AO648" s="2"/>
      <c r="AP648" s="2"/>
      <c r="AQ648" s="2"/>
      <c r="AR648" s="2"/>
      <c r="AS648" s="2"/>
      <c r="AT648" s="2"/>
      <c r="AU648" s="2"/>
      <c r="AV648" s="107"/>
      <c r="AW648" s="4"/>
      <c r="BC648" s="5"/>
    </row>
    <row r="649" spans="2:55" ht="12.75" customHeight="1">
      <c r="B649" s="158"/>
      <c r="C649" s="64"/>
      <c r="D649" s="64"/>
      <c r="E649" s="64"/>
      <c r="F649" s="64"/>
      <c r="G649" s="65"/>
      <c r="H649" s="8"/>
      <c r="I649" s="167"/>
      <c r="J649" s="2"/>
      <c r="K649" s="2"/>
      <c r="L649" s="2"/>
      <c r="M649" s="2"/>
      <c r="N649" s="2"/>
      <c r="O649" s="2"/>
      <c r="P649" s="2"/>
      <c r="Q649" s="7"/>
      <c r="R649" s="2"/>
      <c r="S649" s="2"/>
      <c r="T649" s="6"/>
      <c r="U649" s="2"/>
      <c r="V649" s="2"/>
      <c r="W649" s="2"/>
      <c r="X649" s="2"/>
      <c r="Y649" s="7"/>
      <c r="Z649" s="7"/>
      <c r="AA649" s="7"/>
      <c r="AB649" s="7"/>
      <c r="AC649" s="7"/>
      <c r="AD649" s="7"/>
      <c r="AE649" s="7"/>
      <c r="AF649" s="7"/>
      <c r="AG649" s="2"/>
      <c r="AH649" s="2"/>
      <c r="AI649" s="2"/>
      <c r="AJ649" s="2"/>
      <c r="AK649" s="2"/>
      <c r="AL649" s="2"/>
      <c r="AM649" s="3"/>
      <c r="AN649" s="3"/>
      <c r="AO649" s="2"/>
      <c r="AP649" s="2"/>
      <c r="AQ649" s="2"/>
      <c r="AR649" s="2"/>
      <c r="AS649" s="2"/>
      <c r="AT649" s="2"/>
      <c r="AU649" s="2"/>
      <c r="AV649" s="107"/>
      <c r="AW649" s="4"/>
      <c r="BC649" s="5"/>
    </row>
    <row r="650" spans="2:55" ht="12.75" customHeight="1">
      <c r="B650" s="158"/>
      <c r="C650" s="64"/>
      <c r="D650" s="64"/>
      <c r="E650" s="64"/>
      <c r="F650" s="64"/>
      <c r="G650" s="65"/>
      <c r="H650" s="8"/>
      <c r="I650" s="167"/>
      <c r="J650" s="2"/>
      <c r="K650" s="2"/>
      <c r="L650" s="2"/>
      <c r="M650" s="2"/>
      <c r="N650" s="2"/>
      <c r="O650" s="2"/>
      <c r="P650" s="2"/>
      <c r="Q650" s="7"/>
      <c r="R650" s="2"/>
      <c r="S650" s="2"/>
      <c r="T650" s="6"/>
      <c r="U650" s="2"/>
      <c r="V650" s="2"/>
      <c r="W650" s="2"/>
      <c r="X650" s="2"/>
      <c r="Y650" s="7"/>
      <c r="Z650" s="7"/>
      <c r="AA650" s="7"/>
      <c r="AB650" s="7"/>
      <c r="AC650" s="7"/>
      <c r="AD650" s="7"/>
      <c r="AE650" s="7"/>
      <c r="AF650" s="7"/>
      <c r="AG650" s="2"/>
      <c r="AH650" s="2"/>
      <c r="AI650" s="2"/>
      <c r="AJ650" s="2"/>
      <c r="AK650" s="2"/>
      <c r="AL650" s="2"/>
      <c r="AM650" s="3"/>
      <c r="AN650" s="3"/>
      <c r="AO650" s="2"/>
      <c r="AP650" s="2"/>
      <c r="AQ650" s="2"/>
      <c r="AR650" s="2"/>
      <c r="AS650" s="2"/>
      <c r="AT650" s="2"/>
      <c r="AU650" s="2"/>
      <c r="AV650" s="107"/>
      <c r="AW650" s="4"/>
      <c r="BC650" s="5"/>
    </row>
    <row r="651" spans="2:55" ht="12.75" customHeight="1">
      <c r="B651" s="158"/>
      <c r="C651" s="64"/>
      <c r="D651" s="64"/>
      <c r="E651" s="64"/>
      <c r="F651" s="64"/>
      <c r="G651" s="65"/>
      <c r="H651" s="8"/>
      <c r="I651" s="167"/>
      <c r="J651" s="2"/>
      <c r="K651" s="2"/>
      <c r="L651" s="2"/>
      <c r="M651" s="2"/>
      <c r="N651" s="2"/>
      <c r="O651" s="2"/>
      <c r="P651" s="2"/>
      <c r="Q651" s="7"/>
      <c r="R651" s="2"/>
      <c r="S651" s="2"/>
      <c r="T651" s="6"/>
      <c r="U651" s="2"/>
      <c r="V651" s="2"/>
      <c r="W651" s="2"/>
      <c r="X651" s="2"/>
      <c r="Y651" s="7"/>
      <c r="Z651" s="7"/>
      <c r="AA651" s="7"/>
      <c r="AB651" s="7"/>
      <c r="AC651" s="7"/>
      <c r="AD651" s="7"/>
      <c r="AE651" s="7"/>
      <c r="AF651" s="7"/>
      <c r="AG651" s="2"/>
      <c r="AH651" s="2"/>
      <c r="AI651" s="2"/>
      <c r="AJ651" s="2"/>
      <c r="AK651" s="2"/>
      <c r="AL651" s="2"/>
      <c r="AM651" s="3"/>
      <c r="AN651" s="3"/>
      <c r="AO651" s="2"/>
      <c r="AP651" s="2"/>
      <c r="AQ651" s="2"/>
      <c r="AR651" s="2"/>
      <c r="AS651" s="2"/>
      <c r="AT651" s="2"/>
      <c r="AU651" s="2"/>
      <c r="AV651" s="107"/>
      <c r="AW651" s="4"/>
      <c r="BC651" s="5"/>
    </row>
    <row r="652" spans="2:55" ht="12.75" customHeight="1">
      <c r="B652" s="158"/>
      <c r="C652" s="64"/>
      <c r="D652" s="64"/>
      <c r="E652" s="64"/>
      <c r="F652" s="64"/>
      <c r="G652" s="65"/>
      <c r="H652" s="8"/>
      <c r="I652" s="167"/>
      <c r="J652" s="2"/>
      <c r="K652" s="2"/>
      <c r="L652" s="2"/>
      <c r="M652" s="2"/>
      <c r="N652" s="2"/>
      <c r="O652" s="2"/>
      <c r="P652" s="2"/>
      <c r="Q652" s="7"/>
      <c r="R652" s="2"/>
      <c r="S652" s="2"/>
      <c r="T652" s="6"/>
      <c r="U652" s="2"/>
      <c r="V652" s="2"/>
      <c r="W652" s="2"/>
      <c r="X652" s="2"/>
      <c r="Y652" s="7"/>
      <c r="Z652" s="7"/>
      <c r="AA652" s="7"/>
      <c r="AB652" s="7"/>
      <c r="AC652" s="7"/>
      <c r="AD652" s="7"/>
      <c r="AE652" s="7"/>
      <c r="AF652" s="7"/>
      <c r="AG652" s="2"/>
      <c r="AH652" s="2"/>
      <c r="AI652" s="2"/>
      <c r="AJ652" s="2"/>
      <c r="AK652" s="2"/>
      <c r="AL652" s="2"/>
      <c r="AM652" s="3"/>
      <c r="AN652" s="3"/>
      <c r="AO652" s="2"/>
      <c r="AP652" s="2"/>
      <c r="AQ652" s="2"/>
      <c r="AR652" s="2"/>
      <c r="AS652" s="2"/>
      <c r="AT652" s="2"/>
      <c r="AU652" s="2"/>
      <c r="AV652" s="107"/>
      <c r="AW652" s="4"/>
      <c r="BC652" s="5"/>
    </row>
    <row r="653" spans="2:55" ht="12.75" customHeight="1">
      <c r="B653" s="158"/>
      <c r="C653" s="64"/>
      <c r="D653" s="64"/>
      <c r="E653" s="64"/>
      <c r="F653" s="64"/>
      <c r="G653" s="65"/>
      <c r="H653" s="8"/>
      <c r="I653" s="167"/>
      <c r="J653" s="2"/>
      <c r="K653" s="2"/>
      <c r="L653" s="2"/>
      <c r="M653" s="2"/>
      <c r="N653" s="2"/>
      <c r="O653" s="2"/>
      <c r="P653" s="2"/>
      <c r="Q653" s="7"/>
      <c r="R653" s="2"/>
      <c r="S653" s="2"/>
      <c r="T653" s="6"/>
      <c r="U653" s="2"/>
      <c r="V653" s="2"/>
      <c r="W653" s="2"/>
      <c r="X653" s="2"/>
      <c r="Y653" s="7"/>
      <c r="Z653" s="7"/>
      <c r="AA653" s="7"/>
      <c r="AB653" s="7"/>
      <c r="AC653" s="7"/>
      <c r="AD653" s="7"/>
      <c r="AE653" s="7"/>
      <c r="AF653" s="7"/>
      <c r="AG653" s="2"/>
      <c r="AH653" s="2"/>
      <c r="AI653" s="2"/>
      <c r="AJ653" s="2"/>
      <c r="AK653" s="2"/>
      <c r="AL653" s="2"/>
      <c r="AM653" s="3"/>
      <c r="AN653" s="3"/>
      <c r="AO653" s="2"/>
      <c r="AP653" s="2"/>
      <c r="AQ653" s="2"/>
      <c r="AR653" s="2"/>
      <c r="AS653" s="2"/>
      <c r="AT653" s="2"/>
      <c r="AU653" s="2"/>
      <c r="AV653" s="107"/>
      <c r="AW653" s="4"/>
      <c r="BC653" s="5"/>
    </row>
    <row r="654" spans="2:55" ht="12.75" customHeight="1">
      <c r="B654" s="158"/>
      <c r="C654" s="64"/>
      <c r="D654" s="64"/>
      <c r="E654" s="64"/>
      <c r="F654" s="64"/>
      <c r="G654" s="65"/>
      <c r="H654" s="8"/>
      <c r="I654" s="167"/>
      <c r="J654" s="2"/>
      <c r="K654" s="2"/>
      <c r="L654" s="2"/>
      <c r="M654" s="2"/>
      <c r="N654" s="2"/>
      <c r="O654" s="2"/>
      <c r="P654" s="2"/>
      <c r="Q654" s="7"/>
      <c r="R654" s="2"/>
      <c r="S654" s="2"/>
      <c r="T654" s="6"/>
      <c r="U654" s="2"/>
      <c r="V654" s="2"/>
      <c r="W654" s="2"/>
      <c r="X654" s="2"/>
      <c r="Y654" s="7"/>
      <c r="Z654" s="7"/>
      <c r="AA654" s="7"/>
      <c r="AB654" s="7"/>
      <c r="AC654" s="7"/>
      <c r="AD654" s="7"/>
      <c r="AE654" s="7"/>
      <c r="AF654" s="7"/>
      <c r="AG654" s="2"/>
      <c r="AH654" s="2"/>
      <c r="AI654" s="2"/>
      <c r="AJ654" s="2"/>
      <c r="AK654" s="2"/>
      <c r="AL654" s="2"/>
      <c r="AM654" s="3"/>
      <c r="AN654" s="3"/>
      <c r="AO654" s="2"/>
      <c r="AP654" s="2"/>
      <c r="AQ654" s="2"/>
      <c r="AR654" s="2"/>
      <c r="AS654" s="2"/>
      <c r="AT654" s="2"/>
      <c r="AU654" s="2"/>
      <c r="AV654" s="107"/>
      <c r="AW654" s="4"/>
      <c r="BC654" s="5"/>
    </row>
    <row r="655" spans="2:55" ht="12.75" customHeight="1">
      <c r="B655" s="158"/>
      <c r="C655" s="64"/>
      <c r="D655" s="64"/>
      <c r="E655" s="64"/>
      <c r="F655" s="64"/>
      <c r="G655" s="65"/>
      <c r="H655" s="8"/>
      <c r="I655" s="167"/>
      <c r="J655" s="2"/>
      <c r="K655" s="2"/>
      <c r="L655" s="2"/>
      <c r="M655" s="2"/>
      <c r="N655" s="2"/>
      <c r="O655" s="2"/>
      <c r="P655" s="2"/>
      <c r="Q655" s="7"/>
      <c r="R655" s="2"/>
      <c r="S655" s="2"/>
      <c r="T655" s="6"/>
      <c r="U655" s="2"/>
      <c r="V655" s="2"/>
      <c r="W655" s="2"/>
      <c r="X655" s="2"/>
      <c r="Y655" s="7"/>
      <c r="Z655" s="7"/>
      <c r="AA655" s="7"/>
      <c r="AB655" s="7"/>
      <c r="AC655" s="7"/>
      <c r="AD655" s="7"/>
      <c r="AE655" s="7"/>
      <c r="AF655" s="7"/>
      <c r="AG655" s="2"/>
      <c r="AH655" s="2"/>
      <c r="AI655" s="2"/>
      <c r="AJ655" s="2"/>
      <c r="AK655" s="2"/>
      <c r="AL655" s="2"/>
      <c r="AM655" s="3"/>
      <c r="AN655" s="3"/>
      <c r="AO655" s="2"/>
      <c r="AP655" s="2"/>
      <c r="AQ655" s="2"/>
      <c r="AR655" s="2"/>
      <c r="AS655" s="2"/>
      <c r="AT655" s="2"/>
      <c r="AU655" s="2"/>
      <c r="AV655" s="107"/>
      <c r="AW655" s="4"/>
      <c r="BC655" s="5"/>
    </row>
    <row r="656" spans="2:55" ht="12.75" customHeight="1">
      <c r="B656" s="158"/>
      <c r="C656" s="64"/>
      <c r="D656" s="64"/>
      <c r="E656" s="64"/>
      <c r="F656" s="64"/>
      <c r="G656" s="65"/>
      <c r="H656" s="8"/>
      <c r="I656" s="167"/>
      <c r="J656" s="2"/>
      <c r="K656" s="2"/>
      <c r="L656" s="2"/>
      <c r="M656" s="2"/>
      <c r="N656" s="2"/>
      <c r="O656" s="2"/>
      <c r="P656" s="2"/>
      <c r="Q656" s="7"/>
      <c r="R656" s="2"/>
      <c r="S656" s="2"/>
      <c r="T656" s="6"/>
      <c r="U656" s="2"/>
      <c r="V656" s="2"/>
      <c r="W656" s="2"/>
      <c r="X656" s="2"/>
      <c r="Y656" s="7"/>
      <c r="Z656" s="7"/>
      <c r="AA656" s="7"/>
      <c r="AB656" s="7"/>
      <c r="AC656" s="7"/>
      <c r="AD656" s="7"/>
      <c r="AE656" s="7"/>
      <c r="AF656" s="7"/>
      <c r="AG656" s="2"/>
      <c r="AH656" s="2"/>
      <c r="AI656" s="2"/>
      <c r="AJ656" s="2"/>
      <c r="AK656" s="2"/>
      <c r="AL656" s="2"/>
      <c r="AM656" s="3"/>
      <c r="AN656" s="3"/>
      <c r="AO656" s="2"/>
      <c r="AP656" s="2"/>
      <c r="AQ656" s="2"/>
      <c r="AR656" s="2"/>
      <c r="AS656" s="2"/>
      <c r="AT656" s="2"/>
      <c r="AU656" s="2"/>
      <c r="AV656" s="107"/>
      <c r="AW656" s="4"/>
      <c r="BC656" s="5"/>
    </row>
    <row r="657" spans="2:55" ht="12.75" customHeight="1">
      <c r="B657" s="158"/>
      <c r="C657" s="64"/>
      <c r="D657" s="64"/>
      <c r="E657" s="64"/>
      <c r="F657" s="64"/>
      <c r="G657" s="65"/>
      <c r="H657" s="8"/>
      <c r="I657" s="167"/>
      <c r="J657" s="2"/>
      <c r="K657" s="2"/>
      <c r="L657" s="2"/>
      <c r="M657" s="2"/>
      <c r="N657" s="2"/>
      <c r="O657" s="2"/>
      <c r="P657" s="2"/>
      <c r="Q657" s="7"/>
      <c r="R657" s="2"/>
      <c r="S657" s="2"/>
      <c r="T657" s="6"/>
      <c r="U657" s="2"/>
      <c r="V657" s="2"/>
      <c r="W657" s="2"/>
      <c r="X657" s="2"/>
      <c r="Y657" s="7"/>
      <c r="Z657" s="7"/>
      <c r="AA657" s="7"/>
      <c r="AB657" s="7"/>
      <c r="AC657" s="7"/>
      <c r="AD657" s="7"/>
      <c r="AE657" s="7"/>
      <c r="AF657" s="7"/>
      <c r="AG657" s="2"/>
      <c r="AH657" s="2"/>
      <c r="AI657" s="2"/>
      <c r="AJ657" s="2"/>
      <c r="AK657" s="2"/>
      <c r="AL657" s="2"/>
      <c r="AM657" s="3"/>
      <c r="AN657" s="3"/>
      <c r="AO657" s="2"/>
      <c r="AP657" s="2"/>
      <c r="AQ657" s="2"/>
      <c r="AR657" s="2"/>
      <c r="AS657" s="2"/>
      <c r="AT657" s="2"/>
      <c r="AU657" s="2"/>
      <c r="AV657" s="107"/>
      <c r="AW657" s="4"/>
      <c r="BC657" s="5"/>
    </row>
    <row r="658" spans="2:55" ht="12.75" customHeight="1">
      <c r="B658" s="158"/>
      <c r="C658" s="64"/>
      <c r="D658" s="64"/>
      <c r="E658" s="64"/>
      <c r="F658" s="64"/>
      <c r="G658" s="65"/>
      <c r="H658" s="8"/>
      <c r="I658" s="167"/>
      <c r="J658" s="2"/>
      <c r="K658" s="2"/>
      <c r="L658" s="2"/>
      <c r="M658" s="2"/>
      <c r="N658" s="2"/>
      <c r="O658" s="2"/>
      <c r="P658" s="2"/>
      <c r="Q658" s="7"/>
      <c r="R658" s="2"/>
      <c r="S658" s="2"/>
      <c r="T658" s="6"/>
      <c r="U658" s="2"/>
      <c r="V658" s="2"/>
      <c r="W658" s="2"/>
      <c r="X658" s="2"/>
      <c r="Y658" s="7"/>
      <c r="Z658" s="7"/>
      <c r="AA658" s="7"/>
      <c r="AB658" s="7"/>
      <c r="AC658" s="7"/>
      <c r="AD658" s="7"/>
      <c r="AE658" s="7"/>
      <c r="AF658" s="7"/>
      <c r="AG658" s="2"/>
      <c r="AH658" s="2"/>
      <c r="AI658" s="2"/>
      <c r="AJ658" s="2"/>
      <c r="AK658" s="2"/>
      <c r="AL658" s="2"/>
      <c r="AM658" s="3"/>
      <c r="AN658" s="3"/>
      <c r="AO658" s="2"/>
      <c r="AP658" s="2"/>
      <c r="AQ658" s="2"/>
      <c r="AR658" s="2"/>
      <c r="AS658" s="2"/>
      <c r="AT658" s="2"/>
      <c r="AU658" s="2"/>
      <c r="AV658" s="107"/>
      <c r="AW658" s="4"/>
      <c r="BC658" s="5"/>
    </row>
    <row r="659" spans="2:55" ht="12.75" customHeight="1">
      <c r="B659" s="158"/>
      <c r="C659" s="64"/>
      <c r="D659" s="64"/>
      <c r="E659" s="64"/>
      <c r="F659" s="64"/>
      <c r="G659" s="65"/>
      <c r="H659" s="8"/>
      <c r="I659" s="167"/>
      <c r="J659" s="2"/>
      <c r="K659" s="2"/>
      <c r="L659" s="2"/>
      <c r="M659" s="2"/>
      <c r="N659" s="2"/>
      <c r="O659" s="2"/>
      <c r="P659" s="2"/>
      <c r="Q659" s="7"/>
      <c r="R659" s="2"/>
      <c r="S659" s="2"/>
      <c r="T659" s="6"/>
      <c r="U659" s="2"/>
      <c r="V659" s="2"/>
      <c r="W659" s="2"/>
      <c r="X659" s="2"/>
      <c r="Y659" s="7"/>
      <c r="Z659" s="7"/>
      <c r="AA659" s="7"/>
      <c r="AB659" s="7"/>
      <c r="AC659" s="7"/>
      <c r="AD659" s="7"/>
      <c r="AE659" s="7"/>
      <c r="AF659" s="7"/>
      <c r="AG659" s="2"/>
      <c r="AH659" s="2"/>
      <c r="AI659" s="2"/>
      <c r="AJ659" s="2"/>
      <c r="AK659" s="2"/>
      <c r="AL659" s="2"/>
      <c r="AM659" s="3"/>
      <c r="AN659" s="3"/>
      <c r="AO659" s="2"/>
      <c r="AP659" s="2"/>
      <c r="AQ659" s="2"/>
      <c r="AR659" s="2"/>
      <c r="AS659" s="2"/>
      <c r="AT659" s="2"/>
      <c r="AU659" s="2"/>
      <c r="AV659" s="107"/>
      <c r="AW659" s="4"/>
      <c r="BC659" s="5"/>
    </row>
    <row r="660" spans="2:55" ht="12.75" customHeight="1">
      <c r="B660" s="158"/>
      <c r="C660" s="64"/>
      <c r="D660" s="64"/>
      <c r="E660" s="64"/>
      <c r="F660" s="64"/>
      <c r="G660" s="65"/>
      <c r="H660" s="8"/>
      <c r="I660" s="167"/>
      <c r="J660" s="2"/>
      <c r="K660" s="2"/>
      <c r="L660" s="2"/>
      <c r="M660" s="2"/>
      <c r="N660" s="2"/>
      <c r="O660" s="2"/>
      <c r="P660" s="2"/>
      <c r="Q660" s="7"/>
      <c r="R660" s="2"/>
      <c r="S660" s="2"/>
      <c r="T660" s="6"/>
      <c r="U660" s="2"/>
      <c r="V660" s="2"/>
      <c r="W660" s="2"/>
      <c r="X660" s="2"/>
      <c r="Y660" s="7"/>
      <c r="Z660" s="7"/>
      <c r="AA660" s="7"/>
      <c r="AB660" s="7"/>
      <c r="AC660" s="7"/>
      <c r="AD660" s="7"/>
      <c r="AE660" s="7"/>
      <c r="AF660" s="7"/>
      <c r="AG660" s="2"/>
      <c r="AH660" s="2"/>
      <c r="AI660" s="2"/>
      <c r="AJ660" s="2"/>
      <c r="AK660" s="2"/>
      <c r="AL660" s="2"/>
      <c r="AM660" s="3"/>
      <c r="AN660" s="3"/>
      <c r="AO660" s="2"/>
      <c r="AP660" s="2"/>
      <c r="AQ660" s="2"/>
      <c r="AR660" s="2"/>
      <c r="AS660" s="2"/>
      <c r="AT660" s="2"/>
      <c r="AU660" s="2"/>
      <c r="AV660" s="107"/>
      <c r="AW660" s="4"/>
      <c r="BC660" s="5"/>
    </row>
    <row r="661" spans="2:55" ht="12.75" customHeight="1">
      <c r="B661" s="158"/>
      <c r="C661" s="64"/>
      <c r="D661" s="64"/>
      <c r="E661" s="64"/>
      <c r="F661" s="64"/>
      <c r="G661" s="65"/>
      <c r="H661" s="8"/>
      <c r="I661" s="167"/>
      <c r="J661" s="2"/>
      <c r="K661" s="2"/>
      <c r="L661" s="2"/>
      <c r="M661" s="2"/>
      <c r="N661" s="2"/>
      <c r="O661" s="2"/>
      <c r="P661" s="2"/>
      <c r="Q661" s="7"/>
      <c r="R661" s="2"/>
      <c r="S661" s="2"/>
      <c r="T661" s="6"/>
      <c r="U661" s="2"/>
      <c r="V661" s="2"/>
      <c r="W661" s="2"/>
      <c r="X661" s="2"/>
      <c r="Y661" s="7"/>
      <c r="Z661" s="7"/>
      <c r="AA661" s="7"/>
      <c r="AB661" s="7"/>
      <c r="AC661" s="7"/>
      <c r="AD661" s="7"/>
      <c r="AE661" s="7"/>
      <c r="AF661" s="7"/>
      <c r="AG661" s="2"/>
      <c r="AH661" s="2"/>
      <c r="AI661" s="2"/>
      <c r="AJ661" s="2"/>
      <c r="AK661" s="2"/>
      <c r="AL661" s="2"/>
      <c r="AM661" s="3"/>
      <c r="AN661" s="3"/>
      <c r="AO661" s="2"/>
      <c r="AP661" s="2"/>
      <c r="AQ661" s="2"/>
      <c r="AR661" s="2"/>
      <c r="AS661" s="2"/>
      <c r="AT661" s="2"/>
      <c r="AU661" s="2"/>
      <c r="AV661" s="107"/>
      <c r="AW661" s="4"/>
      <c r="BC661" s="5"/>
    </row>
    <row r="662" spans="2:55" ht="12.75" customHeight="1">
      <c r="B662" s="158"/>
      <c r="C662" s="64"/>
      <c r="D662" s="64"/>
      <c r="E662" s="64"/>
      <c r="F662" s="64"/>
      <c r="G662" s="65"/>
      <c r="H662" s="8"/>
      <c r="I662" s="167"/>
      <c r="J662" s="2"/>
      <c r="K662" s="2"/>
      <c r="L662" s="2"/>
      <c r="M662" s="2"/>
      <c r="N662" s="2"/>
      <c r="O662" s="2"/>
      <c r="P662" s="2"/>
      <c r="Q662" s="7"/>
      <c r="R662" s="2"/>
      <c r="S662" s="2"/>
      <c r="T662" s="6"/>
      <c r="U662" s="2"/>
      <c r="V662" s="2"/>
      <c r="W662" s="2"/>
      <c r="X662" s="2"/>
      <c r="Y662" s="7"/>
      <c r="Z662" s="7"/>
      <c r="AA662" s="7"/>
      <c r="AB662" s="7"/>
      <c r="AC662" s="7"/>
      <c r="AD662" s="7"/>
      <c r="AE662" s="7"/>
      <c r="AF662" s="7"/>
      <c r="AG662" s="2"/>
      <c r="AH662" s="2"/>
      <c r="AI662" s="2"/>
      <c r="AJ662" s="2"/>
      <c r="AK662" s="2"/>
      <c r="AL662" s="2"/>
      <c r="AM662" s="3"/>
      <c r="AN662" s="3"/>
      <c r="AO662" s="2"/>
      <c r="AP662" s="2"/>
      <c r="AQ662" s="2"/>
      <c r="AR662" s="2"/>
      <c r="AS662" s="2"/>
      <c r="AT662" s="2"/>
      <c r="AU662" s="2"/>
      <c r="AV662" s="107"/>
      <c r="AW662" s="4"/>
      <c r="BC662" s="5"/>
    </row>
    <row r="663" spans="2:55" ht="12.75" customHeight="1">
      <c r="B663" s="158"/>
      <c r="C663" s="64"/>
      <c r="D663" s="64"/>
      <c r="E663" s="64"/>
      <c r="F663" s="64"/>
      <c r="G663" s="65"/>
      <c r="H663" s="8"/>
      <c r="I663" s="167"/>
      <c r="J663" s="2"/>
      <c r="K663" s="2"/>
      <c r="L663" s="2"/>
      <c r="M663" s="2"/>
      <c r="N663" s="2"/>
      <c r="O663" s="2"/>
      <c r="P663" s="2"/>
      <c r="Q663" s="7"/>
      <c r="R663" s="2"/>
      <c r="S663" s="2"/>
      <c r="T663" s="6"/>
      <c r="U663" s="2"/>
      <c r="V663" s="2"/>
      <c r="W663" s="2"/>
      <c r="X663" s="2"/>
      <c r="Y663" s="7"/>
      <c r="Z663" s="7"/>
      <c r="AA663" s="7"/>
      <c r="AB663" s="7"/>
      <c r="AC663" s="7"/>
      <c r="AD663" s="7"/>
      <c r="AE663" s="7"/>
      <c r="AF663" s="7"/>
      <c r="AG663" s="2"/>
      <c r="AH663" s="2"/>
      <c r="AI663" s="2"/>
      <c r="AJ663" s="2"/>
      <c r="AK663" s="2"/>
      <c r="AL663" s="2"/>
      <c r="AM663" s="3"/>
      <c r="AN663" s="3"/>
      <c r="AO663" s="2"/>
      <c r="AP663" s="2"/>
      <c r="AQ663" s="2"/>
      <c r="AR663" s="2"/>
      <c r="AS663" s="2"/>
      <c r="AT663" s="2"/>
      <c r="AU663" s="2"/>
      <c r="AV663" s="107"/>
      <c r="AW663" s="4"/>
      <c r="BC663" s="5"/>
    </row>
    <row r="664" spans="2:55" ht="12.75" customHeight="1">
      <c r="B664" s="158"/>
      <c r="C664" s="64"/>
      <c r="D664" s="64"/>
      <c r="E664" s="64"/>
      <c r="F664" s="64"/>
      <c r="G664" s="65"/>
      <c r="H664" s="8"/>
      <c r="I664" s="167"/>
      <c r="J664" s="2"/>
      <c r="K664" s="2"/>
      <c r="L664" s="2"/>
      <c r="M664" s="2"/>
      <c r="N664" s="2"/>
      <c r="O664" s="2"/>
      <c r="P664" s="2"/>
      <c r="Q664" s="7"/>
      <c r="R664" s="2"/>
      <c r="S664" s="2"/>
      <c r="T664" s="6"/>
      <c r="U664" s="2"/>
      <c r="V664" s="2"/>
      <c r="W664" s="2"/>
      <c r="X664" s="2"/>
      <c r="Y664" s="7"/>
      <c r="Z664" s="7"/>
      <c r="AA664" s="7"/>
      <c r="AB664" s="7"/>
      <c r="AC664" s="7"/>
      <c r="AD664" s="7"/>
      <c r="AE664" s="7"/>
      <c r="AF664" s="7"/>
      <c r="AG664" s="2"/>
      <c r="AH664" s="2"/>
      <c r="AI664" s="2"/>
      <c r="AJ664" s="2"/>
      <c r="AK664" s="2"/>
      <c r="AL664" s="2"/>
      <c r="AM664" s="3"/>
      <c r="AN664" s="3"/>
      <c r="AO664" s="2"/>
      <c r="AP664" s="2"/>
      <c r="AQ664" s="2"/>
      <c r="AR664" s="2"/>
      <c r="AS664" s="2"/>
      <c r="AT664" s="2"/>
      <c r="AU664" s="2"/>
      <c r="AV664" s="107"/>
      <c r="AW664" s="4"/>
      <c r="BC664" s="5"/>
    </row>
    <row r="665" spans="2:55" ht="12.75" customHeight="1">
      <c r="B665" s="158"/>
      <c r="C665" s="64"/>
      <c r="D665" s="64"/>
      <c r="E665" s="64"/>
      <c r="F665" s="64"/>
      <c r="G665" s="65"/>
      <c r="H665" s="8"/>
      <c r="I665" s="167"/>
      <c r="J665" s="2"/>
      <c r="K665" s="2"/>
      <c r="L665" s="2"/>
      <c r="M665" s="2"/>
      <c r="N665" s="2"/>
      <c r="O665" s="2"/>
      <c r="P665" s="2"/>
      <c r="Q665" s="7"/>
      <c r="R665" s="2"/>
      <c r="S665" s="2"/>
      <c r="T665" s="6"/>
      <c r="U665" s="2"/>
      <c r="V665" s="2"/>
      <c r="W665" s="2"/>
      <c r="X665" s="2"/>
      <c r="Y665" s="7"/>
      <c r="Z665" s="7"/>
      <c r="AA665" s="7"/>
      <c r="AB665" s="7"/>
      <c r="AC665" s="7"/>
      <c r="AD665" s="7"/>
      <c r="AE665" s="7"/>
      <c r="AF665" s="7"/>
      <c r="AG665" s="2"/>
      <c r="AH665" s="2"/>
      <c r="AI665" s="2"/>
      <c r="AJ665" s="2"/>
      <c r="AK665" s="2"/>
      <c r="AL665" s="2"/>
      <c r="AM665" s="3"/>
      <c r="AN665" s="3"/>
      <c r="AO665" s="2"/>
      <c r="AP665" s="2"/>
      <c r="AQ665" s="2"/>
      <c r="AR665" s="2"/>
      <c r="AS665" s="2"/>
      <c r="AT665" s="2"/>
      <c r="AU665" s="2"/>
      <c r="AV665" s="107"/>
      <c r="AW665" s="4"/>
      <c r="BC665" s="5"/>
    </row>
    <row r="666" spans="2:55" ht="12.75" customHeight="1">
      <c r="B666" s="158"/>
      <c r="C666" s="64"/>
      <c r="D666" s="64"/>
      <c r="E666" s="64"/>
      <c r="F666" s="64"/>
      <c r="G666" s="65"/>
      <c r="H666" s="8"/>
      <c r="I666" s="167"/>
      <c r="J666" s="2"/>
      <c r="K666" s="2"/>
      <c r="L666" s="2"/>
      <c r="M666" s="2"/>
      <c r="N666" s="2"/>
      <c r="O666" s="2"/>
      <c r="P666" s="2"/>
      <c r="Q666" s="7"/>
      <c r="R666" s="2"/>
      <c r="S666" s="2"/>
      <c r="T666" s="6"/>
      <c r="U666" s="2"/>
      <c r="V666" s="2"/>
      <c r="W666" s="2"/>
      <c r="X666" s="2"/>
      <c r="Y666" s="7"/>
      <c r="Z666" s="7"/>
      <c r="AA666" s="7"/>
      <c r="AB666" s="7"/>
      <c r="AC666" s="7"/>
      <c r="AD666" s="7"/>
      <c r="AE666" s="7"/>
      <c r="AF666" s="7"/>
      <c r="AG666" s="2"/>
      <c r="AH666" s="2"/>
      <c r="AI666" s="2"/>
      <c r="AJ666" s="2"/>
      <c r="AK666" s="2"/>
      <c r="AL666" s="2"/>
      <c r="AM666" s="3"/>
      <c r="AN666" s="3"/>
      <c r="AO666" s="2"/>
      <c r="AP666" s="2"/>
      <c r="AQ666" s="2"/>
      <c r="AR666" s="2"/>
      <c r="AS666" s="2"/>
      <c r="AT666" s="2"/>
      <c r="AU666" s="2"/>
      <c r="AV666" s="107"/>
      <c r="AW666" s="4"/>
      <c r="BC666" s="5"/>
    </row>
    <row r="667" spans="2:55" ht="12.75" customHeight="1">
      <c r="B667" s="158"/>
      <c r="C667" s="64"/>
      <c r="D667" s="64"/>
      <c r="E667" s="64"/>
      <c r="F667" s="64"/>
      <c r="G667" s="65"/>
      <c r="H667" s="8"/>
      <c r="I667" s="167"/>
      <c r="J667" s="2"/>
      <c r="K667" s="2"/>
      <c r="L667" s="2"/>
      <c r="M667" s="2"/>
      <c r="N667" s="2"/>
      <c r="O667" s="2"/>
      <c r="P667" s="2"/>
      <c r="Q667" s="7"/>
      <c r="R667" s="2"/>
      <c r="S667" s="2"/>
      <c r="T667" s="6"/>
      <c r="U667" s="2"/>
      <c r="V667" s="2"/>
      <c r="W667" s="2"/>
      <c r="X667" s="2"/>
      <c r="Y667" s="7"/>
      <c r="Z667" s="7"/>
      <c r="AA667" s="7"/>
      <c r="AB667" s="7"/>
      <c r="AC667" s="7"/>
      <c r="AD667" s="7"/>
      <c r="AE667" s="7"/>
      <c r="AF667" s="7"/>
      <c r="AG667" s="2"/>
      <c r="AH667" s="2"/>
      <c r="AI667" s="2"/>
      <c r="AJ667" s="2"/>
      <c r="AK667" s="2"/>
      <c r="AL667" s="2"/>
      <c r="AM667" s="3"/>
      <c r="AN667" s="3"/>
      <c r="AO667" s="2"/>
      <c r="AP667" s="2"/>
      <c r="AQ667" s="2"/>
      <c r="AR667" s="2"/>
      <c r="AS667" s="2"/>
      <c r="AT667" s="2"/>
      <c r="AU667" s="2"/>
      <c r="AV667" s="107"/>
      <c r="AW667" s="4"/>
      <c r="BC667" s="5"/>
    </row>
    <row r="668" spans="2:55" ht="12.75" customHeight="1">
      <c r="B668" s="158"/>
      <c r="C668" s="64"/>
      <c r="D668" s="64"/>
      <c r="E668" s="64"/>
      <c r="F668" s="64"/>
      <c r="G668" s="65"/>
      <c r="H668" s="8"/>
      <c r="I668" s="167"/>
      <c r="J668" s="2"/>
      <c r="K668" s="2"/>
      <c r="L668" s="2"/>
      <c r="M668" s="2"/>
      <c r="N668" s="2"/>
      <c r="O668" s="2"/>
      <c r="P668" s="2"/>
      <c r="Q668" s="7"/>
      <c r="R668" s="2"/>
      <c r="S668" s="2"/>
      <c r="T668" s="6"/>
      <c r="U668" s="2"/>
      <c r="V668" s="2"/>
      <c r="W668" s="2"/>
      <c r="X668" s="2"/>
      <c r="Y668" s="7"/>
      <c r="Z668" s="7"/>
      <c r="AA668" s="7"/>
      <c r="AB668" s="7"/>
      <c r="AC668" s="7"/>
      <c r="AD668" s="7"/>
      <c r="AE668" s="7"/>
      <c r="AF668" s="7"/>
      <c r="AG668" s="2"/>
      <c r="AH668" s="2"/>
      <c r="AI668" s="2"/>
      <c r="AJ668" s="2"/>
      <c r="AK668" s="2"/>
      <c r="AL668" s="2"/>
      <c r="AM668" s="3"/>
      <c r="AN668" s="3"/>
      <c r="AO668" s="2"/>
      <c r="AP668" s="2"/>
      <c r="AQ668" s="2"/>
      <c r="AR668" s="2"/>
      <c r="AS668" s="2"/>
      <c r="AT668" s="2"/>
      <c r="AU668" s="2"/>
      <c r="AV668" s="107"/>
      <c r="AW668" s="4"/>
      <c r="BC668" s="5"/>
    </row>
    <row r="669" spans="2:55" ht="12.75" customHeight="1">
      <c r="B669" s="158"/>
      <c r="C669" s="64"/>
      <c r="D669" s="64"/>
      <c r="E669" s="64"/>
      <c r="F669" s="64"/>
      <c r="G669" s="65"/>
      <c r="H669" s="8"/>
      <c r="I669" s="167"/>
      <c r="J669" s="2"/>
      <c r="K669" s="2"/>
      <c r="L669" s="2"/>
      <c r="M669" s="2"/>
      <c r="N669" s="2"/>
      <c r="O669" s="2"/>
      <c r="P669" s="2"/>
      <c r="Q669" s="7"/>
      <c r="R669" s="2"/>
      <c r="S669" s="2"/>
      <c r="T669" s="6"/>
      <c r="U669" s="2"/>
      <c r="V669" s="2"/>
      <c r="W669" s="2"/>
      <c r="X669" s="2"/>
      <c r="Y669" s="7"/>
      <c r="Z669" s="7"/>
      <c r="AA669" s="7"/>
      <c r="AB669" s="7"/>
      <c r="AC669" s="7"/>
      <c r="AD669" s="7"/>
      <c r="AE669" s="7"/>
      <c r="AF669" s="7"/>
      <c r="AG669" s="2"/>
      <c r="AH669" s="2"/>
      <c r="AI669" s="2"/>
      <c r="AJ669" s="2"/>
      <c r="AK669" s="2"/>
      <c r="AL669" s="2"/>
      <c r="AM669" s="3"/>
      <c r="AN669" s="3"/>
      <c r="AO669" s="2"/>
      <c r="AP669" s="2"/>
      <c r="AQ669" s="2"/>
      <c r="AR669" s="2"/>
      <c r="AS669" s="2"/>
      <c r="AT669" s="2"/>
      <c r="AU669" s="2"/>
      <c r="AV669" s="107"/>
      <c r="AW669" s="4"/>
      <c r="BC669" s="5"/>
    </row>
    <row r="670" spans="2:55" ht="12.75" customHeight="1">
      <c r="B670" s="158"/>
      <c r="C670" s="64"/>
      <c r="D670" s="64"/>
      <c r="E670" s="64"/>
      <c r="F670" s="64"/>
      <c r="G670" s="65"/>
      <c r="H670" s="8"/>
      <c r="I670" s="167"/>
      <c r="J670" s="2"/>
      <c r="K670" s="2"/>
      <c r="L670" s="2"/>
      <c r="M670" s="2"/>
      <c r="N670" s="2"/>
      <c r="O670" s="2"/>
      <c r="P670" s="2"/>
      <c r="Q670" s="7"/>
      <c r="R670" s="2"/>
      <c r="S670" s="2"/>
      <c r="T670" s="6"/>
      <c r="U670" s="2"/>
      <c r="V670" s="2"/>
      <c r="W670" s="2"/>
      <c r="X670" s="2"/>
      <c r="Y670" s="7"/>
      <c r="Z670" s="7"/>
      <c r="AA670" s="7"/>
      <c r="AB670" s="7"/>
      <c r="AC670" s="7"/>
      <c r="AD670" s="7"/>
      <c r="AE670" s="7"/>
      <c r="AF670" s="7"/>
      <c r="AG670" s="2"/>
      <c r="AH670" s="2"/>
      <c r="AI670" s="2"/>
      <c r="AJ670" s="2"/>
      <c r="AK670" s="2"/>
      <c r="AL670" s="2"/>
      <c r="AM670" s="3"/>
      <c r="AN670" s="3"/>
      <c r="AO670" s="2"/>
      <c r="AP670" s="2"/>
      <c r="AQ670" s="2"/>
      <c r="AR670" s="2"/>
      <c r="AS670" s="2"/>
      <c r="AT670" s="2"/>
      <c r="AU670" s="2"/>
      <c r="AV670" s="107"/>
      <c r="AW670" s="4"/>
      <c r="BC670" s="5"/>
    </row>
    <row r="671" spans="2:55" ht="12.75" customHeight="1">
      <c r="B671" s="158"/>
      <c r="C671" s="64"/>
      <c r="D671" s="64"/>
      <c r="E671" s="64"/>
      <c r="F671" s="64"/>
      <c r="G671" s="65"/>
      <c r="H671" s="8"/>
      <c r="I671" s="167"/>
      <c r="J671" s="2"/>
      <c r="K671" s="2"/>
      <c r="L671" s="2"/>
      <c r="M671" s="2"/>
      <c r="N671" s="2"/>
      <c r="O671" s="2"/>
      <c r="P671" s="2"/>
      <c r="Q671" s="7"/>
      <c r="R671" s="2"/>
      <c r="S671" s="2"/>
      <c r="T671" s="6"/>
      <c r="U671" s="2"/>
      <c r="V671" s="2"/>
      <c r="W671" s="2"/>
      <c r="X671" s="2"/>
      <c r="Y671" s="7"/>
      <c r="Z671" s="7"/>
      <c r="AA671" s="7"/>
      <c r="AB671" s="7"/>
      <c r="AC671" s="7"/>
      <c r="AD671" s="7"/>
      <c r="AE671" s="7"/>
      <c r="AF671" s="7"/>
      <c r="AG671" s="2"/>
      <c r="AH671" s="2"/>
      <c r="AI671" s="2"/>
      <c r="AJ671" s="2"/>
      <c r="AK671" s="2"/>
      <c r="AL671" s="2"/>
      <c r="AM671" s="3"/>
      <c r="AN671" s="3"/>
      <c r="AO671" s="2"/>
      <c r="AP671" s="2"/>
      <c r="AQ671" s="2"/>
      <c r="AR671" s="2"/>
      <c r="AS671" s="2"/>
      <c r="AT671" s="2"/>
      <c r="AU671" s="2"/>
      <c r="AV671" s="107"/>
      <c r="AW671" s="4"/>
      <c r="BC671" s="5"/>
    </row>
    <row r="672" spans="2:55" ht="12.75" customHeight="1">
      <c r="B672" s="158"/>
      <c r="C672" s="64"/>
      <c r="D672" s="64"/>
      <c r="E672" s="64"/>
      <c r="F672" s="64"/>
      <c r="G672" s="65"/>
      <c r="H672" s="8"/>
      <c r="I672" s="167"/>
      <c r="J672" s="2"/>
      <c r="K672" s="2"/>
      <c r="L672" s="2"/>
      <c r="M672" s="2"/>
      <c r="N672" s="2"/>
      <c r="O672" s="2"/>
      <c r="P672" s="2"/>
      <c r="Q672" s="7"/>
      <c r="R672" s="2"/>
      <c r="S672" s="2"/>
      <c r="T672" s="6"/>
      <c r="U672" s="2"/>
      <c r="V672" s="2"/>
      <c r="W672" s="2"/>
      <c r="X672" s="2"/>
      <c r="Y672" s="7"/>
      <c r="Z672" s="7"/>
      <c r="AA672" s="7"/>
      <c r="AB672" s="7"/>
      <c r="AC672" s="7"/>
      <c r="AD672" s="7"/>
      <c r="AE672" s="7"/>
      <c r="AF672" s="7"/>
      <c r="AG672" s="2"/>
      <c r="AH672" s="2"/>
      <c r="AI672" s="2"/>
      <c r="AJ672" s="2"/>
      <c r="AK672" s="2"/>
      <c r="AL672" s="2"/>
      <c r="AM672" s="3"/>
      <c r="AN672" s="3"/>
      <c r="AO672" s="2"/>
      <c r="AP672" s="2"/>
      <c r="AQ672" s="2"/>
      <c r="AR672" s="2"/>
      <c r="AS672" s="2"/>
      <c r="AT672" s="2"/>
      <c r="AU672" s="2"/>
      <c r="AV672" s="107"/>
      <c r="AW672" s="4"/>
      <c r="BC672" s="5"/>
    </row>
    <row r="673" spans="2:55" ht="12.75" customHeight="1">
      <c r="B673" s="158"/>
      <c r="C673" s="64"/>
      <c r="D673" s="64"/>
      <c r="E673" s="64"/>
      <c r="F673" s="64"/>
      <c r="G673" s="65"/>
      <c r="H673" s="8"/>
      <c r="I673" s="167"/>
      <c r="J673" s="2"/>
      <c r="K673" s="2"/>
      <c r="L673" s="2"/>
      <c r="M673" s="2"/>
      <c r="N673" s="2"/>
      <c r="O673" s="2"/>
      <c r="P673" s="2"/>
      <c r="Q673" s="7"/>
      <c r="R673" s="2"/>
      <c r="S673" s="2"/>
      <c r="T673" s="6"/>
      <c r="U673" s="2"/>
      <c r="V673" s="2"/>
      <c r="W673" s="2"/>
      <c r="X673" s="2"/>
      <c r="Y673" s="7"/>
      <c r="Z673" s="7"/>
      <c r="AA673" s="7"/>
      <c r="AB673" s="7"/>
      <c r="AC673" s="7"/>
      <c r="AD673" s="7"/>
      <c r="AE673" s="7"/>
      <c r="AF673" s="7"/>
      <c r="AG673" s="2"/>
      <c r="AH673" s="2"/>
      <c r="AI673" s="2"/>
      <c r="AJ673" s="2"/>
      <c r="AK673" s="2"/>
      <c r="AL673" s="2"/>
      <c r="AM673" s="3"/>
      <c r="AN673" s="3"/>
      <c r="AO673" s="2"/>
      <c r="AP673" s="2"/>
      <c r="AQ673" s="2"/>
      <c r="AR673" s="2"/>
      <c r="AS673" s="2"/>
      <c r="AT673" s="2"/>
      <c r="AU673" s="2"/>
      <c r="AV673" s="107"/>
      <c r="AW673" s="4"/>
      <c r="BC673" s="5"/>
    </row>
    <row r="674" spans="2:55" ht="12.75" customHeight="1">
      <c r="B674" s="158"/>
      <c r="C674" s="64"/>
      <c r="D674" s="64"/>
      <c r="E674" s="64"/>
      <c r="F674" s="64"/>
      <c r="G674" s="65"/>
      <c r="H674" s="8"/>
      <c r="I674" s="167"/>
      <c r="J674" s="171"/>
      <c r="K674" s="2"/>
      <c r="L674" s="2"/>
      <c r="M674" s="2"/>
      <c r="N674" s="2"/>
      <c r="O674" s="2"/>
      <c r="P674" s="2"/>
      <c r="Q674" s="7"/>
      <c r="R674" s="2"/>
      <c r="S674" s="2"/>
      <c r="T674" s="6"/>
      <c r="U674" s="2"/>
      <c r="V674" s="2"/>
      <c r="W674" s="2"/>
      <c r="X674" s="2"/>
      <c r="Y674" s="7"/>
      <c r="Z674" s="7"/>
      <c r="AA674" s="7"/>
      <c r="AB674" s="7"/>
      <c r="AC674" s="7"/>
      <c r="AD674" s="7"/>
      <c r="AE674" s="7"/>
      <c r="AF674" s="7"/>
      <c r="AG674" s="2"/>
      <c r="AH674" s="2"/>
      <c r="AI674" s="2"/>
      <c r="AJ674" s="2"/>
      <c r="AK674" s="2"/>
      <c r="AL674" s="2"/>
      <c r="AM674" s="3"/>
      <c r="AN674" s="3"/>
      <c r="AO674" s="2"/>
      <c r="AP674" s="2"/>
      <c r="AQ674" s="2"/>
      <c r="AR674" s="2"/>
      <c r="AS674" s="2"/>
      <c r="AT674" s="2"/>
      <c r="AU674" s="2"/>
      <c r="AV674" s="107"/>
      <c r="AW674" s="4"/>
      <c r="BC674" s="5"/>
    </row>
    <row r="675" spans="2:55" ht="12.75" customHeight="1">
      <c r="B675" s="158"/>
      <c r="C675" s="64"/>
      <c r="D675" s="64"/>
      <c r="E675" s="64"/>
      <c r="F675" s="64"/>
      <c r="G675" s="65"/>
      <c r="H675" s="8"/>
      <c r="I675" s="167"/>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107"/>
      <c r="AW675" s="4"/>
      <c r="BC675" s="5"/>
    </row>
    <row r="676" spans="2:55" ht="12.75" customHeight="1">
      <c r="B676" s="158"/>
      <c r="C676" s="64"/>
      <c r="D676" s="64"/>
      <c r="E676" s="64"/>
      <c r="F676" s="64"/>
      <c r="G676" s="65"/>
      <c r="H676" s="8"/>
      <c r="I676" s="167"/>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107"/>
      <c r="AW676" s="4"/>
      <c r="BC676" s="5"/>
    </row>
    <row r="677" spans="2:55" ht="12.75" customHeight="1">
      <c r="B677" s="158"/>
      <c r="C677" s="64"/>
      <c r="D677" s="64"/>
      <c r="E677" s="64"/>
      <c r="F677" s="64"/>
      <c r="G677" s="65"/>
      <c r="H677" s="8"/>
      <c r="I677" s="167"/>
      <c r="J677" s="2"/>
      <c r="K677" s="2"/>
      <c r="L677" s="2"/>
      <c r="M677" s="2"/>
      <c r="N677" s="2"/>
      <c r="O677" s="2"/>
      <c r="P677" s="2"/>
      <c r="Q677" s="7"/>
      <c r="R677" s="2"/>
      <c r="S677" s="2"/>
      <c r="T677" s="6"/>
      <c r="U677" s="2"/>
      <c r="V677" s="2"/>
      <c r="W677" s="2"/>
      <c r="X677" s="2"/>
      <c r="Y677" s="7"/>
      <c r="Z677" s="7"/>
      <c r="AA677" s="7"/>
      <c r="AB677" s="7"/>
      <c r="AC677" s="7"/>
      <c r="AD677" s="7"/>
      <c r="AE677" s="7"/>
      <c r="AF677" s="7"/>
      <c r="AG677" s="2"/>
      <c r="AH677" s="2"/>
      <c r="AI677" s="2"/>
      <c r="AJ677" s="2"/>
      <c r="AK677" s="2"/>
      <c r="AL677" s="2"/>
      <c r="AM677" s="3"/>
      <c r="AN677" s="3"/>
      <c r="AV677" s="107"/>
      <c r="AW677" s="4"/>
      <c r="BC677" s="5"/>
    </row>
    <row r="678" spans="2:55" ht="12.75" customHeight="1">
      <c r="B678" s="158"/>
      <c r="C678" s="64"/>
      <c r="D678" s="64"/>
      <c r="E678" s="64"/>
      <c r="F678" s="64"/>
      <c r="G678" s="65"/>
      <c r="H678" s="8"/>
      <c r="I678" s="167"/>
      <c r="J678" s="2"/>
      <c r="K678" s="2"/>
      <c r="L678" s="2"/>
      <c r="M678" s="2"/>
      <c r="N678" s="2"/>
      <c r="O678" s="2"/>
      <c r="P678" s="2"/>
      <c r="Q678" s="7"/>
      <c r="R678" s="2"/>
      <c r="S678" s="2"/>
      <c r="T678" s="6"/>
      <c r="U678" s="2"/>
      <c r="V678" s="2"/>
      <c r="W678" s="2"/>
      <c r="X678" s="2"/>
      <c r="Y678" s="7"/>
      <c r="Z678" s="7"/>
      <c r="AA678" s="7"/>
      <c r="AB678" s="7"/>
      <c r="AC678" s="7"/>
      <c r="AD678" s="7"/>
      <c r="AE678" s="7"/>
      <c r="AF678" s="7"/>
      <c r="AG678" s="2"/>
      <c r="AH678" s="2"/>
      <c r="AI678" s="2"/>
      <c r="AJ678" s="2"/>
      <c r="AK678" s="2"/>
      <c r="AL678" s="2"/>
      <c r="AM678" s="3"/>
      <c r="AN678" s="3"/>
      <c r="AO678" s="2"/>
      <c r="AP678" s="2"/>
      <c r="AQ678" s="2"/>
      <c r="AR678" s="2"/>
      <c r="AS678" s="2"/>
      <c r="AT678" s="2"/>
      <c r="AU678" s="2"/>
      <c r="AV678" s="107"/>
      <c r="AW678" s="4"/>
      <c r="BC678" s="5"/>
    </row>
    <row r="679" spans="2:55" ht="12.75" customHeight="1">
      <c r="B679" s="158"/>
      <c r="C679" s="64"/>
      <c r="D679" s="64"/>
      <c r="E679" s="64"/>
      <c r="F679" s="64"/>
      <c r="G679" s="65"/>
      <c r="H679" s="8"/>
      <c r="I679" s="167"/>
      <c r="J679" s="2"/>
      <c r="K679" s="2"/>
      <c r="L679" s="2"/>
      <c r="M679" s="2"/>
      <c r="N679" s="2"/>
      <c r="O679" s="2"/>
      <c r="P679" s="2"/>
      <c r="Q679" s="7"/>
      <c r="R679" s="2"/>
      <c r="S679" s="2"/>
      <c r="T679" s="6"/>
      <c r="U679" s="2"/>
      <c r="V679" s="2"/>
      <c r="W679" s="2"/>
      <c r="X679" s="2"/>
      <c r="Y679" s="7"/>
      <c r="Z679" s="7"/>
      <c r="AA679" s="7"/>
      <c r="AB679" s="7"/>
      <c r="AC679" s="7"/>
      <c r="AD679" s="7"/>
      <c r="AE679" s="7"/>
      <c r="AF679" s="7"/>
      <c r="AG679" s="2"/>
      <c r="AH679" s="2"/>
      <c r="AI679" s="2"/>
      <c r="AJ679" s="2"/>
      <c r="AK679" s="2"/>
      <c r="AL679" s="2"/>
      <c r="AM679" s="3"/>
      <c r="AN679" s="3"/>
      <c r="AO679" s="2"/>
      <c r="AP679" s="2"/>
      <c r="AQ679" s="2"/>
      <c r="AR679" s="2"/>
      <c r="AS679" s="2"/>
      <c r="AT679" s="2"/>
      <c r="AU679" s="2"/>
      <c r="AV679" s="107"/>
      <c r="AW679" s="4"/>
      <c r="BC679" s="5"/>
    </row>
    <row r="680" spans="2:55" ht="12.75" customHeight="1">
      <c r="B680" s="158"/>
      <c r="C680" s="64"/>
      <c r="D680" s="64"/>
      <c r="E680" s="64"/>
      <c r="F680" s="64"/>
      <c r="G680" s="65"/>
      <c r="H680" s="8"/>
      <c r="I680" s="167"/>
      <c r="J680" s="2"/>
      <c r="K680" s="2"/>
      <c r="L680" s="2"/>
      <c r="M680" s="2"/>
      <c r="N680" s="2"/>
      <c r="O680" s="2"/>
      <c r="P680" s="2"/>
      <c r="Q680" s="7"/>
      <c r="R680" s="2"/>
      <c r="S680" s="2"/>
      <c r="T680" s="6"/>
      <c r="U680" s="2"/>
      <c r="V680" s="2"/>
      <c r="W680" s="2"/>
      <c r="X680" s="2"/>
      <c r="Y680" s="7"/>
      <c r="Z680" s="7"/>
      <c r="AA680" s="7"/>
      <c r="AB680" s="7"/>
      <c r="AC680" s="7"/>
      <c r="AD680" s="7"/>
      <c r="AE680" s="7"/>
      <c r="AF680" s="7"/>
      <c r="AG680" s="2"/>
      <c r="AH680" s="2"/>
      <c r="AI680" s="2"/>
      <c r="AJ680" s="2"/>
      <c r="AK680" s="2"/>
      <c r="AL680" s="2"/>
      <c r="AM680" s="3"/>
      <c r="AN680" s="3"/>
      <c r="AO680" s="2"/>
      <c r="AP680" s="2"/>
      <c r="AQ680" s="2"/>
      <c r="AR680" s="2"/>
      <c r="AS680" s="2"/>
      <c r="AT680" s="2"/>
      <c r="AU680" s="2"/>
      <c r="AV680" s="107"/>
      <c r="AW680" s="4"/>
      <c r="BC680" s="5"/>
    </row>
    <row r="681" spans="2:55" ht="12.75" customHeight="1">
      <c r="B681" s="159"/>
      <c r="C681" s="160"/>
      <c r="D681" s="160"/>
      <c r="E681" s="160"/>
      <c r="F681" s="160"/>
      <c r="G681" s="161"/>
      <c r="H681" s="11"/>
      <c r="I681" s="16"/>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0"/>
      <c r="AK681" s="17"/>
      <c r="AL681" s="17"/>
      <c r="AM681" s="17"/>
      <c r="AN681" s="17"/>
      <c r="AO681" s="17"/>
      <c r="AP681" s="17"/>
      <c r="AQ681" s="17"/>
      <c r="AR681" s="17"/>
      <c r="AS681" s="17"/>
      <c r="AT681" s="17"/>
      <c r="AU681" s="17"/>
      <c r="AV681" s="18"/>
      <c r="AW681" s="16"/>
      <c r="AX681" s="17"/>
      <c r="AY681" s="17"/>
      <c r="AZ681" s="17"/>
      <c r="BA681" s="17"/>
      <c r="BB681" s="17"/>
      <c r="BC681" s="18"/>
    </row>
    <row r="682" spans="2:55" ht="12.75" customHeight="1">
      <c r="B682" s="64"/>
      <c r="C682" s="64"/>
      <c r="D682" s="64"/>
      <c r="E682" s="64"/>
      <c r="F682" s="64"/>
      <c r="G682" s="65"/>
    </row>
    <row r="683" spans="2:55" ht="12.75" customHeight="1">
      <c r="B683" s="64"/>
      <c r="C683" s="64"/>
      <c r="D683" s="64"/>
      <c r="E683" s="64"/>
      <c r="F683" s="64"/>
      <c r="G683" s="65"/>
    </row>
  </sheetData>
  <mergeCells count="493">
    <mergeCell ref="I477:AV477"/>
    <mergeCell ref="B467:H467"/>
    <mergeCell ref="B475:H475"/>
    <mergeCell ref="B405:H406"/>
    <mergeCell ref="B445:H446"/>
    <mergeCell ref="B389:H389"/>
    <mergeCell ref="B381:H383"/>
    <mergeCell ref="B456:H458"/>
    <mergeCell ref="B399:H399"/>
    <mergeCell ref="B402:H402"/>
    <mergeCell ref="X403:AA403"/>
    <mergeCell ref="AC403:AE403"/>
    <mergeCell ref="AG402:AI402"/>
    <mergeCell ref="X402:AE402"/>
    <mergeCell ref="X405:AD405"/>
    <mergeCell ref="X406:AD406"/>
    <mergeCell ref="B384:H385"/>
    <mergeCell ref="I386:J386"/>
    <mergeCell ref="I387:K387"/>
    <mergeCell ref="M387:N387"/>
    <mergeCell ref="P387:Q387"/>
    <mergeCell ref="S387:V387"/>
    <mergeCell ref="X387:Y387"/>
    <mergeCell ref="AA387:AB387"/>
    <mergeCell ref="AC472:AE472"/>
    <mergeCell ref="AG472:AH472"/>
    <mergeCell ref="AJ472:AL472"/>
    <mergeCell ref="AP472:AR472"/>
    <mergeCell ref="J377:S377"/>
    <mergeCell ref="V377:Y377"/>
    <mergeCell ref="J378:S378"/>
    <mergeCell ref="V378:Y378"/>
    <mergeCell ref="J379:S379"/>
    <mergeCell ref="V379:Y379"/>
    <mergeCell ref="I381:AV383"/>
    <mergeCell ref="AG387:AH387"/>
    <mergeCell ref="AJ387:AM387"/>
    <mergeCell ref="AO387:AP387"/>
    <mergeCell ref="AR387:AS387"/>
    <mergeCell ref="AU387:AV387"/>
    <mergeCell ref="AO397:AT397"/>
    <mergeCell ref="AO399:AT399"/>
    <mergeCell ref="X399:AE399"/>
    <mergeCell ref="X445:AG445"/>
    <mergeCell ref="X400:AA400"/>
    <mergeCell ref="AD469:AF469"/>
    <mergeCell ref="P167:R167"/>
    <mergeCell ref="B169:H169"/>
    <mergeCell ref="B172:H172"/>
    <mergeCell ref="AA161:AD161"/>
    <mergeCell ref="AM161:AS161"/>
    <mergeCell ref="N186:S186"/>
    <mergeCell ref="AC177:AI177"/>
    <mergeCell ref="Q177:T177"/>
    <mergeCell ref="AN174:AT174"/>
    <mergeCell ref="AF174:AL174"/>
    <mergeCell ref="AF175:AL175"/>
    <mergeCell ref="Z175:AB175"/>
    <mergeCell ref="Z174:AB174"/>
    <mergeCell ref="T167:V167"/>
    <mergeCell ref="X167:Z167"/>
    <mergeCell ref="J172:Q172"/>
    <mergeCell ref="S172:X172"/>
    <mergeCell ref="AB172:AI172"/>
    <mergeCell ref="N180:Q180"/>
    <mergeCell ref="AD183:AL183"/>
    <mergeCell ref="AN186:AT186"/>
    <mergeCell ref="AW181:BC183"/>
    <mergeCell ref="AE236:AK236"/>
    <mergeCell ref="AE237:AK237"/>
    <mergeCell ref="U232:Z232"/>
    <mergeCell ref="U233:Z233"/>
    <mergeCell ref="AC190:AI190"/>
    <mergeCell ref="AC191:AI191"/>
    <mergeCell ref="AJ193:AO193"/>
    <mergeCell ref="V195:AA195"/>
    <mergeCell ref="V196:AA196"/>
    <mergeCell ref="Y199:AD199"/>
    <mergeCell ref="AF199:AI199"/>
    <mergeCell ref="Y200:AI200"/>
    <mergeCell ref="AR182:AV182"/>
    <mergeCell ref="AG225:AL225"/>
    <mergeCell ref="AG226:AL226"/>
    <mergeCell ref="AW204:BC204"/>
    <mergeCell ref="AF219:AK219"/>
    <mergeCell ref="V221:Z221"/>
    <mergeCell ref="V222:Z222"/>
    <mergeCell ref="AQ193:AV193"/>
    <mergeCell ref="AG204:AM204"/>
    <mergeCell ref="AG205:AM205"/>
    <mergeCell ref="J508:R508"/>
    <mergeCell ref="N511:X511"/>
    <mergeCell ref="Z328:AB328"/>
    <mergeCell ref="Z329:AB329"/>
    <mergeCell ref="AE329:AG329"/>
    <mergeCell ref="AE328:AG328"/>
    <mergeCell ref="AC454:AV454"/>
    <mergeCell ref="AC455:AV455"/>
    <mergeCell ref="AM427:AR427"/>
    <mergeCell ref="AP467:AU467"/>
    <mergeCell ref="X436:AG436"/>
    <mergeCell ref="X435:AG435"/>
    <mergeCell ref="AP389:AU389"/>
    <mergeCell ref="V376:Y376"/>
    <mergeCell ref="J430:AA430"/>
    <mergeCell ref="V478:AJ485"/>
    <mergeCell ref="AK482:AO482"/>
    <mergeCell ref="AK483:AO483"/>
    <mergeCell ref="J372:S372"/>
    <mergeCell ref="AI365:AV365"/>
    <mergeCell ref="V372:Y372"/>
    <mergeCell ref="AH469:AI469"/>
    <mergeCell ref="AK469:AM469"/>
    <mergeCell ref="AQ469:AS469"/>
    <mergeCell ref="B494:H498"/>
    <mergeCell ref="T506:V506"/>
    <mergeCell ref="AP465:AU465"/>
    <mergeCell ref="AH511:AP511"/>
    <mergeCell ref="X507:AG507"/>
    <mergeCell ref="AP473:AT473"/>
    <mergeCell ref="Y475:AA475"/>
    <mergeCell ref="AC475:AE475"/>
    <mergeCell ref="AP475:AT475"/>
    <mergeCell ref="Y476:AA476"/>
    <mergeCell ref="AC476:AE476"/>
    <mergeCell ref="B489:H489"/>
    <mergeCell ref="AP483:BC483"/>
    <mergeCell ref="AP484:BC484"/>
    <mergeCell ref="AP485:BC485"/>
    <mergeCell ref="AP470:AT470"/>
    <mergeCell ref="V468:AA468"/>
    <mergeCell ref="V467:AA467"/>
    <mergeCell ref="AW511:BC511"/>
    <mergeCell ref="AW489:BC489"/>
    <mergeCell ref="AK484:AO484"/>
    <mergeCell ref="AK485:AO485"/>
    <mergeCell ref="J472:R472"/>
    <mergeCell ref="AW467:BC467"/>
    <mergeCell ref="AI430:AT430"/>
    <mergeCell ref="AK346:AO346"/>
    <mergeCell ref="AK342:AO343"/>
    <mergeCell ref="AP342:BC343"/>
    <mergeCell ref="X363:AH363"/>
    <mergeCell ref="X364:AH364"/>
    <mergeCell ref="X365:AH365"/>
    <mergeCell ref="AP349:BC349"/>
    <mergeCell ref="AK347:AO347"/>
    <mergeCell ref="AK348:AO348"/>
    <mergeCell ref="X362:AH362"/>
    <mergeCell ref="V373:Y373"/>
    <mergeCell ref="AC391:AE391"/>
    <mergeCell ref="AG391:AH391"/>
    <mergeCell ref="AJ391:AL391"/>
    <mergeCell ref="AP391:AR391"/>
    <mergeCell ref="AC395:AE395"/>
    <mergeCell ref="AG395:AH395"/>
    <mergeCell ref="AJ395:AL395"/>
    <mergeCell ref="AP395:AR395"/>
    <mergeCell ref="AO402:AT402"/>
    <mergeCell ref="AP405:AU405"/>
    <mergeCell ref="AK417:AO417"/>
    <mergeCell ref="AD387:AE387"/>
    <mergeCell ref="B452:H453"/>
    <mergeCell ref="X441:AG441"/>
    <mergeCell ref="AC400:AE400"/>
    <mergeCell ref="V374:Y374"/>
    <mergeCell ref="J450:S450"/>
    <mergeCell ref="J452:S452"/>
    <mergeCell ref="V452:Y452"/>
    <mergeCell ref="J453:S453"/>
    <mergeCell ref="V453:Y453"/>
    <mergeCell ref="B421:H421"/>
    <mergeCell ref="X442:AG442"/>
    <mergeCell ref="J427:U427"/>
    <mergeCell ref="X440:AG440"/>
    <mergeCell ref="X439:AG439"/>
    <mergeCell ref="X438:AG438"/>
    <mergeCell ref="X437:AG437"/>
    <mergeCell ref="V450:Y450"/>
    <mergeCell ref="J451:S451"/>
    <mergeCell ref="V451:Y451"/>
    <mergeCell ref="B449:H450"/>
    <mergeCell ref="V410:AJ417"/>
    <mergeCell ref="AH443:AV443"/>
    <mergeCell ref="X443:AG443"/>
    <mergeCell ref="B375:H376"/>
    <mergeCell ref="B625:H625"/>
    <mergeCell ref="AW625:BC625"/>
    <mergeCell ref="AK552:AO552"/>
    <mergeCell ref="AK553:AO553"/>
    <mergeCell ref="AK618:AO618"/>
    <mergeCell ref="AK619:AO619"/>
    <mergeCell ref="B557:H557"/>
    <mergeCell ref="AW557:BC557"/>
    <mergeCell ref="V614:AJ621"/>
    <mergeCell ref="AK620:AO620"/>
    <mergeCell ref="V546:AJ553"/>
    <mergeCell ref="AK621:AO621"/>
    <mergeCell ref="AP618:BC618"/>
    <mergeCell ref="AP619:BC619"/>
    <mergeCell ref="AP620:BC620"/>
    <mergeCell ref="AP621:BC621"/>
    <mergeCell ref="AP616:BC617"/>
    <mergeCell ref="AK546:AO547"/>
    <mergeCell ref="AK614:AO615"/>
    <mergeCell ref="AP614:BC615"/>
    <mergeCell ref="AK550:AO550"/>
    <mergeCell ref="AK551:AO551"/>
    <mergeCell ref="B622:BC623"/>
    <mergeCell ref="B624:BC624"/>
    <mergeCell ref="S228:V228"/>
    <mergeCell ref="V251:X251"/>
    <mergeCell ref="AB251:AH251"/>
    <mergeCell ref="AK279:AO279"/>
    <mergeCell ref="B326:H328"/>
    <mergeCell ref="J296:AU322"/>
    <mergeCell ref="AM290:AO290"/>
    <mergeCell ref="S291:U291"/>
    <mergeCell ref="AK281:AO281"/>
    <mergeCell ref="B324:H324"/>
    <mergeCell ref="AR326:AV326"/>
    <mergeCell ref="B371:H372"/>
    <mergeCell ref="AF367:AH367"/>
    <mergeCell ref="J374:S374"/>
    <mergeCell ref="J375:S375"/>
    <mergeCell ref="V375:Y375"/>
    <mergeCell ref="J395:R395"/>
    <mergeCell ref="J376:S376"/>
    <mergeCell ref="V254:Z254"/>
    <mergeCell ref="N246:R246"/>
    <mergeCell ref="T246:W246"/>
    <mergeCell ref="B353:H353"/>
    <mergeCell ref="V342:AJ349"/>
    <mergeCell ref="AP228:AV228"/>
    <mergeCell ref="AB246:AI246"/>
    <mergeCell ref="J219:R219"/>
    <mergeCell ref="AM172:AS172"/>
    <mergeCell ref="T169:X169"/>
    <mergeCell ref="Z169:AD169"/>
    <mergeCell ref="AF169:AK169"/>
    <mergeCell ref="AM169:AS169"/>
    <mergeCell ref="Q178:Y178"/>
    <mergeCell ref="AB182:AI182"/>
    <mergeCell ref="J200:K200"/>
    <mergeCell ref="AK182:AP182"/>
    <mergeCell ref="U186:W186"/>
    <mergeCell ref="AD186:AJ186"/>
    <mergeCell ref="AA193:AH193"/>
    <mergeCell ref="AO190:AV190"/>
    <mergeCell ref="AP225:AS225"/>
    <mergeCell ref="AK211:AO211"/>
    <mergeCell ref="AK212:AO212"/>
    <mergeCell ref="X228:Z228"/>
    <mergeCell ref="P188:S188"/>
    <mergeCell ref="U188:Y188"/>
    <mergeCell ref="AD188:AJ188"/>
    <mergeCell ref="N202:U202"/>
    <mergeCell ref="V157:Z157"/>
    <mergeCell ref="AM158:AS158"/>
    <mergeCell ref="AM159:AS159"/>
    <mergeCell ref="B47:H50"/>
    <mergeCell ref="J33:AU39"/>
    <mergeCell ref="B81:H81"/>
    <mergeCell ref="AP74:BC74"/>
    <mergeCell ref="AP75:BC75"/>
    <mergeCell ref="AP76:BC76"/>
    <mergeCell ref="AP77:BC77"/>
    <mergeCell ref="V70:AJ77"/>
    <mergeCell ref="AK74:AO74"/>
    <mergeCell ref="AK77:AO77"/>
    <mergeCell ref="AK76:AO76"/>
    <mergeCell ref="AK70:AO71"/>
    <mergeCell ref="AP70:BC71"/>
    <mergeCell ref="AP72:BC73"/>
    <mergeCell ref="J41:AU69"/>
    <mergeCell ref="J150:AU150"/>
    <mergeCell ref="B158:H160"/>
    <mergeCell ref="AK144:AO144"/>
    <mergeCell ref="AN88:AR88"/>
    <mergeCell ref="AK143:AO143"/>
    <mergeCell ref="AK145:AO145"/>
    <mergeCell ref="J129:AU133"/>
    <mergeCell ref="AK138:AO139"/>
    <mergeCell ref="AP138:BC139"/>
    <mergeCell ref="AP140:BC141"/>
    <mergeCell ref="AP142:BC142"/>
    <mergeCell ref="AP143:BC143"/>
    <mergeCell ref="AP144:BC144"/>
    <mergeCell ref="AP145:BC145"/>
    <mergeCell ref="AW225:BC225"/>
    <mergeCell ref="B13:H13"/>
    <mergeCell ref="AW13:BC13"/>
    <mergeCell ref="AK8:AO8"/>
    <mergeCell ref="AK9:AO9"/>
    <mergeCell ref="B2:U9"/>
    <mergeCell ref="V2:AJ9"/>
    <mergeCell ref="AK6:AO6"/>
    <mergeCell ref="AK7:AO7"/>
    <mergeCell ref="AK2:AO3"/>
    <mergeCell ref="AP2:BC3"/>
    <mergeCell ref="AP4:BC5"/>
    <mergeCell ref="AP6:BC6"/>
    <mergeCell ref="AP7:BC7"/>
    <mergeCell ref="AP8:BC8"/>
    <mergeCell ref="AP9:BC9"/>
    <mergeCell ref="AW81:BC81"/>
    <mergeCell ref="B138:U145"/>
    <mergeCell ref="V138:AJ145"/>
    <mergeCell ref="AK142:AO142"/>
    <mergeCell ref="B118:H123"/>
    <mergeCell ref="B86:H91"/>
    <mergeCell ref="AN86:AR86"/>
    <mergeCell ref="AN87:AR87"/>
    <mergeCell ref="AP236:AS236"/>
    <mergeCell ref="B282:BC283"/>
    <mergeCell ref="AR328:AV328"/>
    <mergeCell ref="J292:T292"/>
    <mergeCell ref="AE232:AL232"/>
    <mergeCell ref="AK243:AR243"/>
    <mergeCell ref="AK244:AR244"/>
    <mergeCell ref="P244:R244"/>
    <mergeCell ref="AB254:AH254"/>
    <mergeCell ref="V274:AJ281"/>
    <mergeCell ref="AK280:AO280"/>
    <mergeCell ref="AR324:AV324"/>
    <mergeCell ref="AR325:AV325"/>
    <mergeCell ref="B284:BC284"/>
    <mergeCell ref="B303:H307"/>
    <mergeCell ref="J325:S325"/>
    <mergeCell ref="AW236:BC236"/>
    <mergeCell ref="B239:H239"/>
    <mergeCell ref="J454:S454"/>
    <mergeCell ref="V454:Y454"/>
    <mergeCell ref="AK213:AO213"/>
    <mergeCell ref="AF221:AK221"/>
    <mergeCell ref="T229:Z229"/>
    <mergeCell ref="AF195:AK195"/>
    <mergeCell ref="S200:T200"/>
    <mergeCell ref="AL199:AS199"/>
    <mergeCell ref="S203:U203"/>
    <mergeCell ref="V206:AJ213"/>
    <mergeCell ref="AP210:BC210"/>
    <mergeCell ref="AP211:BC211"/>
    <mergeCell ref="AP212:BC212"/>
    <mergeCell ref="AP213:BC213"/>
    <mergeCell ref="AK210:AO210"/>
    <mergeCell ref="AK208:AO209"/>
    <mergeCell ref="AW217:BC217"/>
    <mergeCell ref="B216:BC216"/>
    <mergeCell ref="B214:BC215"/>
    <mergeCell ref="AP204:AU204"/>
    <mergeCell ref="B365:H366"/>
    <mergeCell ref="B217:H217"/>
    <mergeCell ref="AK278:AO278"/>
    <mergeCell ref="L247:N247"/>
    <mergeCell ref="AK349:AO349"/>
    <mergeCell ref="B285:H285"/>
    <mergeCell ref="AW353:BC353"/>
    <mergeCell ref="X243:AA243"/>
    <mergeCell ref="AP274:BC275"/>
    <mergeCell ref="AP276:BC277"/>
    <mergeCell ref="AP278:BC278"/>
    <mergeCell ref="AP279:BC279"/>
    <mergeCell ref="AK276:AO277"/>
    <mergeCell ref="AP344:BC345"/>
    <mergeCell ref="AP346:BC346"/>
    <mergeCell ref="AP347:BC347"/>
    <mergeCell ref="AP348:BC348"/>
    <mergeCell ref="AK254:AR254"/>
    <mergeCell ref="AW254:BC254"/>
    <mergeCell ref="P243:R243"/>
    <mergeCell ref="AD243:AG243"/>
    <mergeCell ref="AK274:AO275"/>
    <mergeCell ref="AP280:BC280"/>
    <mergeCell ref="AP281:BC281"/>
    <mergeCell ref="P247:S247"/>
    <mergeCell ref="U247:X247"/>
    <mergeCell ref="P251:T251"/>
    <mergeCell ref="AW285:BC285"/>
    <mergeCell ref="J27:AU30"/>
    <mergeCell ref="AK75:AO75"/>
    <mergeCell ref="AK140:AO141"/>
    <mergeCell ref="AK72:AO73"/>
    <mergeCell ref="AK4:AO5"/>
    <mergeCell ref="B12:BC12"/>
    <mergeCell ref="B80:BC80"/>
    <mergeCell ref="B78:BC79"/>
    <mergeCell ref="B10:BC11"/>
    <mergeCell ref="B70:U77"/>
    <mergeCell ref="AN84:AR84"/>
    <mergeCell ref="AN85:AR85"/>
    <mergeCell ref="Y202:AE202"/>
    <mergeCell ref="N203:Q203"/>
    <mergeCell ref="AK206:AO207"/>
    <mergeCell ref="AP206:BC207"/>
    <mergeCell ref="AP208:BC209"/>
    <mergeCell ref="AW193:BC193"/>
    <mergeCell ref="B148:BC148"/>
    <mergeCell ref="B146:BC147"/>
    <mergeCell ref="AB167:AG167"/>
    <mergeCell ref="AM167:AS167"/>
    <mergeCell ref="V153:Z153"/>
    <mergeCell ref="B180:H180"/>
    <mergeCell ref="B164:H166"/>
    <mergeCell ref="B149:H149"/>
    <mergeCell ref="AW149:BC149"/>
    <mergeCell ref="B174:H176"/>
    <mergeCell ref="L178:M178"/>
    <mergeCell ref="V177:Y177"/>
    <mergeCell ref="AM160:AS160"/>
    <mergeCell ref="V152:Z152"/>
    <mergeCell ref="V151:Z151"/>
    <mergeCell ref="V154:Z154"/>
    <mergeCell ref="V155:Z155"/>
    <mergeCell ref="V156:Z156"/>
    <mergeCell ref="AK410:AO411"/>
    <mergeCell ref="AP410:BC411"/>
    <mergeCell ref="AP412:BC413"/>
    <mergeCell ref="AP367:AU367"/>
    <mergeCell ref="AP393:AT393"/>
    <mergeCell ref="AR369:AU369"/>
    <mergeCell ref="AW375:BC377"/>
    <mergeCell ref="AW421:BC421"/>
    <mergeCell ref="AW405:BC405"/>
    <mergeCell ref="I421:AV423"/>
    <mergeCell ref="AK415:AO415"/>
    <mergeCell ref="AK416:AO416"/>
    <mergeCell ref="AP552:BC552"/>
    <mergeCell ref="AP553:BC553"/>
    <mergeCell ref="J373:S373"/>
    <mergeCell ref="B429:H431"/>
    <mergeCell ref="J429:AA429"/>
    <mergeCell ref="X356:AH356"/>
    <mergeCell ref="X357:AH357"/>
    <mergeCell ref="X358:AH358"/>
    <mergeCell ref="X359:AH359"/>
    <mergeCell ref="X360:AH360"/>
    <mergeCell ref="X361:AH361"/>
    <mergeCell ref="AP414:BC414"/>
    <mergeCell ref="AP415:BC415"/>
    <mergeCell ref="AP416:BC416"/>
    <mergeCell ref="AP417:BC417"/>
    <mergeCell ref="AK478:AO479"/>
    <mergeCell ref="AP478:BC479"/>
    <mergeCell ref="AP480:BC481"/>
    <mergeCell ref="AP482:BC482"/>
    <mergeCell ref="X434:AG434"/>
    <mergeCell ref="AK548:AO549"/>
    <mergeCell ref="AW427:BC433"/>
    <mergeCell ref="AR447:AU447"/>
    <mergeCell ref="AK414:AO414"/>
    <mergeCell ref="AK480:AO481"/>
    <mergeCell ref="AK616:AO617"/>
    <mergeCell ref="AK412:AO413"/>
    <mergeCell ref="AK344:AO345"/>
    <mergeCell ref="B350:BC351"/>
    <mergeCell ref="J517:AU525"/>
    <mergeCell ref="J513:AU513"/>
    <mergeCell ref="B352:BC352"/>
    <mergeCell ref="B418:BC419"/>
    <mergeCell ref="B420:BC420"/>
    <mergeCell ref="B486:BC487"/>
    <mergeCell ref="B488:BC488"/>
    <mergeCell ref="B554:BC555"/>
    <mergeCell ref="B556:BC556"/>
    <mergeCell ref="AP546:BC547"/>
    <mergeCell ref="AP548:BC549"/>
    <mergeCell ref="AP550:BC550"/>
    <mergeCell ref="AP551:BC551"/>
    <mergeCell ref="X367:AC367"/>
    <mergeCell ref="I384:AV385"/>
    <mergeCell ref="I380:AV380"/>
    <mergeCell ref="J455:S455"/>
    <mergeCell ref="V455:Y455"/>
    <mergeCell ref="J456:S456"/>
    <mergeCell ref="V456:Y456"/>
    <mergeCell ref="J457:S457"/>
    <mergeCell ref="V457:Y457"/>
    <mergeCell ref="I459:AV459"/>
    <mergeCell ref="I460:AV461"/>
    <mergeCell ref="I462:J462"/>
    <mergeCell ref="I463:K463"/>
    <mergeCell ref="M463:N463"/>
    <mergeCell ref="P463:Q463"/>
    <mergeCell ref="S463:V463"/>
    <mergeCell ref="X463:Y463"/>
    <mergeCell ref="AA463:AB463"/>
    <mergeCell ref="AD463:AE463"/>
    <mergeCell ref="AG463:AH463"/>
    <mergeCell ref="AJ463:AM463"/>
    <mergeCell ref="AO463:AP463"/>
    <mergeCell ref="AR463:AS463"/>
    <mergeCell ref="AU463:AV463"/>
  </mergeCells>
  <conditionalFormatting sqref="AW225">
    <cfRule type="expression" dxfId="19" priority="33">
      <formula>AP225 &gt; 100</formula>
    </cfRule>
    <cfRule type="expression" dxfId="18" priority="34">
      <formula>AP225 &gt; 100</formula>
    </cfRule>
  </conditionalFormatting>
  <conditionalFormatting sqref="AW236">
    <cfRule type="expression" dxfId="17" priority="31">
      <formula>AP236 &gt; 100</formula>
    </cfRule>
    <cfRule type="expression" dxfId="16" priority="32">
      <formula>AP236 &gt; 100</formula>
    </cfRule>
  </conditionalFormatting>
  <conditionalFormatting sqref="AW467">
    <cfRule type="expression" dxfId="15" priority="11">
      <formula>AP467 &gt; 100</formula>
    </cfRule>
    <cfRule type="expression" dxfId="14" priority="12">
      <formula>AP467 &lt; 100</formula>
    </cfRule>
  </conditionalFormatting>
  <conditionalFormatting sqref="AW511">
    <cfRule type="expression" dxfId="13" priority="41">
      <formula>$N$511&gt;$AH$511</formula>
    </cfRule>
    <cfRule type="expression" dxfId="12" priority="42">
      <formula>$N$511&lt;$AH$511</formula>
    </cfRule>
  </conditionalFormatting>
  <conditionalFormatting sqref="AW375">
    <cfRule type="expression" dxfId="11" priority="19">
      <formula>$V$376&gt;=300</formula>
    </cfRule>
    <cfRule type="expression" dxfId="10" priority="20">
      <formula>$V$376&lt;300</formula>
    </cfRule>
  </conditionalFormatting>
  <conditionalFormatting sqref="AW254">
    <cfRule type="expression" dxfId="9" priority="3">
      <formula>AP254 &gt; 100</formula>
    </cfRule>
    <cfRule type="expression" dxfId="8" priority="4">
      <formula>AP254 &gt; 100</formula>
    </cfRule>
  </conditionalFormatting>
  <conditionalFormatting sqref="AW204">
    <cfRule type="expression" dxfId="7" priority="43">
      <formula>AP204 &gt; 100</formula>
    </cfRule>
    <cfRule type="expression" dxfId="6" priority="44">
      <formula>AP204 &gt; 100</formula>
    </cfRule>
  </conditionalFormatting>
  <conditionalFormatting sqref="AW427">
    <cfRule type="expression" dxfId="5" priority="47">
      <formula>$J$430&gt;$AI$430</formula>
    </cfRule>
    <cfRule type="expression" dxfId="4" priority="48">
      <formula>$J$430&lt;$AI$430</formula>
    </cfRule>
  </conditionalFormatting>
  <conditionalFormatting sqref="AW193">
    <cfRule type="expression" dxfId="3" priority="51">
      <formula>AR190 &gt; 100</formula>
    </cfRule>
    <cfRule type="expression" dxfId="2" priority="52">
      <formula>AR190 &gt; 100</formula>
    </cfRule>
  </conditionalFormatting>
  <conditionalFormatting sqref="AW405">
    <cfRule type="expression" dxfId="1" priority="1">
      <formula>AP405 &gt; 100</formula>
    </cfRule>
    <cfRule type="expression" dxfId="0" priority="2">
      <formula>AP405 &lt; 100</formula>
    </cfRule>
  </conditionalFormatting>
  <pageMargins left="0.59055118110236227" right="0.19685039370078741" top="0.19685039370078741" bottom="0.19685039370078741" header="0" footer="0"/>
  <pageSetup paperSize="9" fitToHeight="0" orientation="portrait" r:id="rId1"/>
  <headerFooter alignWithMargins="0"/>
  <drawing r:id="rId2"/>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98DC9B56-162C-444D-BFFD-8B495648F41A}">
          <x14:formula1>
            <xm:f>'DATA SHEET'!$A$74:$A$75</xm:f>
          </x14:formula1>
          <xm:sqref>AH443 AI365</xm:sqref>
        </x14:dataValidation>
        <x14:dataValidation type="list" allowBlank="1" showInputMessage="1" showErrorMessage="1" xr:uid="{87A80678-67F4-4D04-8ED1-AA486D99FCCC}">
          <x14:formula1>
            <xm:f>'DATA SHEET'!$J$89:$J$100</xm:f>
          </x14:formula1>
          <xm:sqref>J427:U427 X356</xm:sqref>
        </x14:dataValidation>
        <x14:dataValidation type="list" allowBlank="1" showInputMessage="1" showErrorMessage="1" xr:uid="{28A0B663-2582-4F16-9CEF-C0FE99518153}">
          <x14:formula1>
            <xm:f>'DATA SHEET'!$A$136:$A$137</xm:f>
          </x14:formula1>
          <xm:sqref>J508</xm:sqref>
        </x14:dataValidation>
        <x14:dataValidation type="list" allowBlank="1" showInputMessage="1" showErrorMessage="1" xr:uid="{5131604D-62FA-4DB0-B9EB-3EE2813DF433}">
          <x14:formula1>
            <xm:f>'DATA SHEET'!$B$135:$AJ$135</xm:f>
          </x14:formula1>
          <xm:sqref>T506:V506</xm:sqref>
        </x14:dataValidation>
        <x14:dataValidation type="list" allowBlank="1" showInputMessage="1" showErrorMessage="1" xr:uid="{AA361B33-80B8-4CC7-B84E-CCC100A13D24}">
          <x14:formula1>
            <xm:f>'DATA SHEET'!$J$103:$J$106</xm:f>
          </x14:formula1>
          <xm:sqref>AN84:AR84</xm:sqref>
        </x14:dataValidation>
        <x14:dataValidation type="list" allowBlank="1" showInputMessage="1" showErrorMessage="1" xr:uid="{1678282C-56D5-4340-A789-3C45AD034EFD}">
          <x14:formula1>
            <xm:f>'DATA SHEET'!$J$109:$J$112</xm:f>
          </x14:formula1>
          <xm:sqref>V151:Z151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83202-BD23-40B5-AD49-62C17DD96CBF}">
  <sheetPr codeName="Sheet2"/>
  <dimension ref="A1:BS138"/>
  <sheetViews>
    <sheetView topLeftCell="A71" zoomScale="55" zoomScaleNormal="55" workbookViewId="0">
      <selection activeCell="M101" sqref="M101"/>
    </sheetView>
  </sheetViews>
  <sheetFormatPr defaultRowHeight="14.4"/>
  <cols>
    <col min="1" max="1" width="34" style="21" customWidth="1"/>
    <col min="2" max="2" width="12.33203125" style="21" customWidth="1"/>
    <col min="3" max="3" width="14" style="21" bestFit="1" customWidth="1"/>
    <col min="4" max="4" width="19" style="21" customWidth="1"/>
    <col min="5" max="5" width="14" style="21" customWidth="1"/>
    <col min="6" max="6" width="18.5546875" style="21" customWidth="1"/>
    <col min="7" max="7" width="19" style="21" customWidth="1"/>
    <col min="8" max="8" width="15.33203125" style="21" customWidth="1"/>
    <col min="9" max="9" width="13" style="21" customWidth="1"/>
    <col min="10" max="10" width="13.5546875" style="21" customWidth="1"/>
    <col min="11" max="12" width="12.33203125" style="21" customWidth="1"/>
    <col min="13" max="16" width="8.88671875" style="21"/>
    <col min="17" max="17" width="25.33203125" style="21" customWidth="1"/>
    <col min="18" max="18" width="8.88671875" style="21"/>
    <col min="19" max="19" width="22.109375" style="21" customWidth="1"/>
    <col min="20" max="20" width="8.88671875" style="21" hidden="1" customWidth="1"/>
    <col min="21" max="21" width="31.44140625" style="21" customWidth="1"/>
    <col min="22" max="16384" width="8.88671875" style="21"/>
  </cols>
  <sheetData>
    <row r="1" spans="1:26">
      <c r="A1" s="20"/>
    </row>
    <row r="2" spans="1:26" ht="92.7" customHeight="1">
      <c r="B2" s="22" t="s">
        <v>13</v>
      </c>
      <c r="C2" s="22" t="s">
        <v>14</v>
      </c>
      <c r="D2" s="22" t="s">
        <v>15</v>
      </c>
      <c r="E2" s="22" t="s">
        <v>16</v>
      </c>
      <c r="F2" s="22" t="s">
        <v>17</v>
      </c>
      <c r="G2" s="22" t="s">
        <v>18</v>
      </c>
      <c r="H2" s="22" t="s">
        <v>19</v>
      </c>
      <c r="I2" s="22" t="s">
        <v>20</v>
      </c>
      <c r="J2" s="22" t="s">
        <v>21</v>
      </c>
      <c r="K2" s="23"/>
    </row>
    <row r="3" spans="1:26" ht="14.4" customHeight="1">
      <c r="B3" s="24" t="s">
        <v>22</v>
      </c>
      <c r="C3" s="25">
        <v>5.3</v>
      </c>
      <c r="D3" s="26">
        <v>3.2</v>
      </c>
      <c r="E3" s="26">
        <v>6.8</v>
      </c>
      <c r="F3" s="26">
        <v>1.7</v>
      </c>
      <c r="G3" s="26">
        <v>2.2000000000000002</v>
      </c>
      <c r="H3" s="26">
        <v>0.67</v>
      </c>
      <c r="I3" s="24">
        <v>8800</v>
      </c>
      <c r="J3" s="24">
        <v>5800</v>
      </c>
      <c r="K3" s="23"/>
      <c r="L3" s="27"/>
      <c r="N3" s="28" t="s">
        <v>23</v>
      </c>
      <c r="R3" s="21" t="s">
        <v>24</v>
      </c>
      <c r="S3" s="641">
        <v>1</v>
      </c>
      <c r="T3" s="641"/>
      <c r="U3" s="641"/>
      <c r="V3" s="641"/>
      <c r="W3" s="641"/>
      <c r="X3" s="641"/>
      <c r="Y3" s="641"/>
      <c r="Z3" s="641"/>
    </row>
    <row r="4" spans="1:26" ht="14.4" customHeight="1">
      <c r="B4" s="24" t="s">
        <v>25</v>
      </c>
      <c r="C4" s="25">
        <v>7.5</v>
      </c>
      <c r="D4" s="26">
        <v>4.5</v>
      </c>
      <c r="E4" s="26">
        <v>7.9</v>
      </c>
      <c r="F4" s="26">
        <v>1.9</v>
      </c>
      <c r="G4" s="26">
        <v>2.4</v>
      </c>
      <c r="H4" s="26">
        <v>0.71</v>
      </c>
      <c r="I4" s="24">
        <v>10800</v>
      </c>
      <c r="J4" s="24">
        <v>7200</v>
      </c>
      <c r="K4" s="23"/>
      <c r="N4" s="28" t="s">
        <v>26</v>
      </c>
      <c r="R4" s="21" t="s">
        <v>27</v>
      </c>
      <c r="S4" s="642">
        <v>0.8</v>
      </c>
      <c r="T4" s="642"/>
      <c r="U4" s="642"/>
      <c r="V4" s="642"/>
      <c r="W4" s="642"/>
      <c r="X4" s="642"/>
      <c r="Y4" s="642"/>
      <c r="Z4" s="642"/>
    </row>
    <row r="5" spans="1:26">
      <c r="B5" s="24" t="s">
        <v>28</v>
      </c>
      <c r="C5" s="25">
        <v>9.5</v>
      </c>
      <c r="D5" s="26">
        <v>6</v>
      </c>
      <c r="E5" s="26">
        <v>8.1999999999999993</v>
      </c>
      <c r="F5" s="26">
        <v>2</v>
      </c>
      <c r="G5" s="26">
        <v>2.5</v>
      </c>
      <c r="H5" s="26">
        <v>1.1000000000000001</v>
      </c>
      <c r="I5" s="24">
        <v>11500</v>
      </c>
      <c r="J5" s="24">
        <v>8200</v>
      </c>
      <c r="K5" s="23"/>
    </row>
    <row r="6" spans="1:26">
      <c r="B6" s="24" t="s">
        <v>29</v>
      </c>
      <c r="C6" s="25">
        <v>9</v>
      </c>
      <c r="D6" s="26">
        <v>5.4</v>
      </c>
      <c r="E6" s="26">
        <v>8.1</v>
      </c>
      <c r="F6" s="26">
        <v>2.2000000000000002</v>
      </c>
      <c r="G6" s="26">
        <v>2.8</v>
      </c>
      <c r="H6" s="26">
        <v>1.4</v>
      </c>
      <c r="I6" s="24">
        <v>9500</v>
      </c>
      <c r="J6" s="24">
        <v>6000</v>
      </c>
      <c r="K6" s="23"/>
    </row>
    <row r="7" spans="1:26">
      <c r="B7" s="24" t="s">
        <v>30</v>
      </c>
      <c r="C7" s="25">
        <v>12.5</v>
      </c>
      <c r="D7" s="26">
        <v>7.5</v>
      </c>
      <c r="E7" s="26">
        <v>12.6</v>
      </c>
      <c r="F7" s="26">
        <v>3</v>
      </c>
      <c r="G7" s="26">
        <v>3.9</v>
      </c>
      <c r="H7" s="26">
        <v>2</v>
      </c>
      <c r="I7" s="24">
        <v>10800</v>
      </c>
      <c r="J7" s="24">
        <v>7500</v>
      </c>
      <c r="K7" s="23"/>
    </row>
    <row r="8" spans="1:26">
      <c r="B8" s="24" t="s">
        <v>31</v>
      </c>
      <c r="C8" s="25">
        <v>16</v>
      </c>
      <c r="D8" s="26">
        <v>9.6</v>
      </c>
      <c r="E8" s="26">
        <v>15.2</v>
      </c>
      <c r="F8" s="26">
        <v>3.5</v>
      </c>
      <c r="G8" s="26">
        <v>4.5</v>
      </c>
      <c r="H8" s="26">
        <v>2.2000000000000002</v>
      </c>
      <c r="I8" s="24">
        <v>15000</v>
      </c>
      <c r="J8" s="24">
        <v>12600</v>
      </c>
      <c r="K8" s="23"/>
    </row>
    <row r="9" spans="1:26">
      <c r="B9" s="24" t="s">
        <v>32</v>
      </c>
      <c r="C9" s="25">
        <v>18</v>
      </c>
      <c r="D9" s="26">
        <v>10.8</v>
      </c>
      <c r="E9" s="26">
        <v>18</v>
      </c>
      <c r="F9" s="26">
        <v>4</v>
      </c>
      <c r="G9" s="26">
        <v>5.2</v>
      </c>
      <c r="H9" s="26">
        <v>2.4</v>
      </c>
      <c r="I9" s="24">
        <v>18500</v>
      </c>
      <c r="J9" s="24">
        <v>15600</v>
      </c>
      <c r="K9" s="23"/>
    </row>
    <row r="10" spans="1:26">
      <c r="B10" s="24" t="s">
        <v>33</v>
      </c>
      <c r="C10" s="25">
        <v>23</v>
      </c>
      <c r="D10" s="26">
        <v>13.8</v>
      </c>
      <c r="E10" s="26">
        <v>23</v>
      </c>
      <c r="F10" s="26">
        <v>4.5999999999999996</v>
      </c>
      <c r="G10" s="26">
        <v>6</v>
      </c>
      <c r="H10" s="26">
        <v>2.6</v>
      </c>
      <c r="I10" s="24">
        <v>21000</v>
      </c>
      <c r="J10" s="24">
        <v>18000</v>
      </c>
      <c r="K10" s="23"/>
    </row>
    <row r="11" spans="1:26">
      <c r="B11" s="29"/>
      <c r="C11" s="29"/>
      <c r="D11" s="23"/>
      <c r="E11" s="23"/>
      <c r="F11" s="23"/>
      <c r="G11" s="23"/>
      <c r="H11" s="23"/>
      <c r="I11" s="23"/>
      <c r="J11" s="30"/>
      <c r="K11" s="23"/>
    </row>
    <row r="12" spans="1:26">
      <c r="B12" s="29"/>
      <c r="C12" s="29"/>
      <c r="D12" s="23"/>
      <c r="E12" s="23"/>
      <c r="F12" s="23"/>
      <c r="G12" s="23"/>
      <c r="H12" s="23"/>
      <c r="I12" s="23"/>
      <c r="J12" s="23"/>
      <c r="K12" s="23"/>
    </row>
    <row r="13" spans="1:26">
      <c r="B13" s="23"/>
      <c r="C13" s="23"/>
      <c r="D13" s="23"/>
      <c r="E13" s="643"/>
      <c r="F13" s="643"/>
    </row>
    <row r="14" spans="1:26" ht="15" thickBot="1">
      <c r="B14" s="29"/>
      <c r="C14" s="29"/>
      <c r="D14" s="23"/>
      <c r="E14" s="23"/>
      <c r="F14" s="23"/>
      <c r="G14" s="23"/>
      <c r="H14" s="23"/>
      <c r="I14" s="23"/>
      <c r="J14" s="23"/>
      <c r="K14" s="23"/>
    </row>
    <row r="15" spans="1:26" ht="15" thickBot="1">
      <c r="B15" s="636" t="s">
        <v>34</v>
      </c>
      <c r="C15" s="644"/>
      <c r="D15" s="644"/>
      <c r="E15" s="644"/>
      <c r="F15" s="33"/>
      <c r="G15" s="23"/>
      <c r="H15" s="23"/>
      <c r="I15" s="23"/>
      <c r="J15" s="23"/>
      <c r="K15" s="23"/>
    </row>
    <row r="16" spans="1:26" ht="15" thickBot="1">
      <c r="B16" s="31" t="s">
        <v>35</v>
      </c>
      <c r="C16" s="34"/>
      <c r="D16" s="32"/>
      <c r="E16" s="32"/>
      <c r="F16" s="35" t="s">
        <v>36</v>
      </c>
      <c r="G16" s="23"/>
      <c r="H16" s="23"/>
      <c r="I16" s="23"/>
      <c r="J16" s="23" t="s">
        <v>37</v>
      </c>
      <c r="K16" s="23"/>
    </row>
    <row r="17" spans="2:12">
      <c r="B17" s="36" t="s">
        <v>38</v>
      </c>
      <c r="C17" s="37"/>
      <c r="D17" s="38"/>
      <c r="E17" s="38"/>
      <c r="F17" s="39">
        <v>1</v>
      </c>
      <c r="G17" s="23"/>
      <c r="H17" s="23"/>
      <c r="I17" s="23"/>
      <c r="J17" s="23"/>
      <c r="K17" s="23"/>
    </row>
    <row r="18" spans="2:12">
      <c r="B18" s="40" t="s">
        <v>39</v>
      </c>
      <c r="C18" s="29"/>
      <c r="D18" s="23"/>
      <c r="E18" s="23"/>
      <c r="F18" s="41">
        <v>1.25</v>
      </c>
      <c r="G18" s="23"/>
      <c r="H18" s="23"/>
      <c r="I18" s="23"/>
      <c r="J18" s="23"/>
      <c r="K18" s="23"/>
    </row>
    <row r="19" spans="2:12">
      <c r="B19" s="40" t="s">
        <v>40</v>
      </c>
      <c r="C19" s="29"/>
      <c r="D19" s="23"/>
      <c r="E19" s="23"/>
      <c r="F19" s="41">
        <v>1.5</v>
      </c>
      <c r="G19" s="23"/>
      <c r="H19" s="23"/>
      <c r="I19" s="23"/>
      <c r="J19" s="23"/>
      <c r="K19" s="23"/>
    </row>
    <row r="20" spans="2:12" ht="15" thickBot="1">
      <c r="B20" s="42" t="s">
        <v>41</v>
      </c>
      <c r="C20" s="43"/>
      <c r="D20" s="44"/>
      <c r="E20" s="44"/>
      <c r="F20" s="45">
        <v>1.75</v>
      </c>
      <c r="G20" s="23"/>
      <c r="H20" s="23"/>
      <c r="I20" s="23"/>
      <c r="J20" s="23"/>
      <c r="K20" s="23"/>
    </row>
    <row r="21" spans="2:12">
      <c r="B21" s="29"/>
      <c r="C21" s="29"/>
      <c r="D21" s="23"/>
      <c r="E21" s="23"/>
      <c r="F21" s="46"/>
      <c r="G21" s="23"/>
      <c r="H21" s="23"/>
      <c r="I21" s="23"/>
      <c r="J21" s="23"/>
      <c r="K21" s="23"/>
    </row>
    <row r="22" spans="2:12">
      <c r="B22" s="29"/>
      <c r="C22" s="29"/>
      <c r="D22" s="23"/>
      <c r="E22" s="23"/>
      <c r="F22" s="46"/>
      <c r="G22" s="23"/>
      <c r="H22" s="23"/>
      <c r="I22" s="23"/>
      <c r="J22" s="23"/>
      <c r="K22" s="23"/>
    </row>
    <row r="23" spans="2:12" ht="15" thickBot="1">
      <c r="D23" s="23"/>
      <c r="E23" s="23"/>
      <c r="F23" s="46"/>
      <c r="G23" s="23"/>
      <c r="H23" s="23"/>
      <c r="I23" s="23"/>
      <c r="J23" s="23"/>
      <c r="K23" s="23"/>
    </row>
    <row r="24" spans="2:12" ht="15" thickBot="1">
      <c r="B24" s="636" t="s">
        <v>42</v>
      </c>
      <c r="C24" s="637"/>
      <c r="D24" s="645"/>
      <c r="E24" s="47">
        <v>10</v>
      </c>
      <c r="F24" s="48">
        <v>15</v>
      </c>
      <c r="G24" s="47">
        <v>25</v>
      </c>
      <c r="H24" s="47">
        <v>40</v>
      </c>
      <c r="I24" s="47">
        <v>50</v>
      </c>
      <c r="J24" s="47">
        <v>75</v>
      </c>
      <c r="K24" s="47">
        <v>100</v>
      </c>
      <c r="L24" s="49" t="s">
        <v>43</v>
      </c>
    </row>
    <row r="25" spans="2:12" ht="15" thickBot="1">
      <c r="B25" s="636" t="s">
        <v>44</v>
      </c>
      <c r="C25" s="637"/>
      <c r="D25" s="637"/>
      <c r="E25" s="50">
        <v>1.74</v>
      </c>
      <c r="F25" s="50">
        <v>1.67</v>
      </c>
      <c r="G25" s="50">
        <v>1.53</v>
      </c>
      <c r="H25" s="50">
        <v>1.33</v>
      </c>
      <c r="I25" s="50">
        <v>1.2</v>
      </c>
      <c r="J25" s="50">
        <v>1.1399999999999999</v>
      </c>
      <c r="K25" s="50">
        <v>1.1000000000000001</v>
      </c>
      <c r="L25" s="51">
        <v>1</v>
      </c>
    </row>
    <row r="26" spans="2:12">
      <c r="B26" s="29"/>
      <c r="C26" s="29"/>
      <c r="D26" s="23"/>
      <c r="E26" s="23"/>
      <c r="F26" s="46"/>
      <c r="G26" s="23"/>
      <c r="H26" s="23"/>
      <c r="I26" s="23"/>
      <c r="J26" s="23"/>
      <c r="K26" s="23"/>
    </row>
    <row r="27" spans="2:12">
      <c r="B27" s="29"/>
      <c r="C27" s="29"/>
      <c r="D27" s="23"/>
      <c r="E27" s="23"/>
      <c r="F27" s="23"/>
      <c r="G27" s="23"/>
      <c r="H27" s="23"/>
      <c r="I27" s="23"/>
      <c r="J27" s="23"/>
      <c r="K27" s="23"/>
    </row>
    <row r="28" spans="2:12">
      <c r="B28" s="29"/>
      <c r="C28" s="29"/>
      <c r="D28" s="23"/>
      <c r="E28" s="23"/>
      <c r="F28" s="23"/>
      <c r="G28" s="23"/>
      <c r="H28" s="23"/>
      <c r="I28" s="23"/>
      <c r="J28" s="23"/>
      <c r="K28" s="23"/>
    </row>
    <row r="29" spans="2:12" ht="50.1" customHeight="1">
      <c r="B29" s="52" t="s">
        <v>45</v>
      </c>
      <c r="C29" s="24" t="s">
        <v>46</v>
      </c>
      <c r="D29" s="53" t="s">
        <v>47</v>
      </c>
      <c r="E29" s="54" t="s">
        <v>48</v>
      </c>
      <c r="F29" s="54" t="s">
        <v>49</v>
      </c>
      <c r="G29" s="54"/>
      <c r="H29" s="54" t="s">
        <v>50</v>
      </c>
      <c r="I29" s="55"/>
      <c r="J29" s="23"/>
      <c r="K29" s="23"/>
    </row>
    <row r="30" spans="2:12">
      <c r="B30" s="56" t="s">
        <v>51</v>
      </c>
      <c r="C30" s="24">
        <v>100</v>
      </c>
      <c r="D30" s="53">
        <v>22</v>
      </c>
      <c r="E30" s="24">
        <f>C30*(D30*D30)/6</f>
        <v>8066.666666666667</v>
      </c>
      <c r="F30" s="24">
        <f>C30*(D30*D30*D30)/12</f>
        <v>88733.333333333328</v>
      </c>
      <c r="G30" s="24"/>
      <c r="H30" s="53">
        <f>C30*D30</f>
        <v>2200</v>
      </c>
      <c r="I30" s="23"/>
      <c r="J30" s="23"/>
      <c r="K30" s="23"/>
    </row>
    <row r="31" spans="2:12">
      <c r="B31" s="57"/>
      <c r="C31" s="58"/>
      <c r="D31" s="59"/>
      <c r="E31" s="58"/>
      <c r="F31" s="58"/>
      <c r="G31" s="58"/>
      <c r="H31" s="58"/>
      <c r="I31" s="23"/>
      <c r="J31" s="23"/>
      <c r="K31" s="23"/>
    </row>
    <row r="32" spans="2:12">
      <c r="B32" s="56" t="s">
        <v>52</v>
      </c>
      <c r="C32" s="24">
        <v>100</v>
      </c>
      <c r="D32" s="53">
        <v>38</v>
      </c>
      <c r="E32" s="24">
        <f>C32*(D32*D32)/6</f>
        <v>24066.666666666668</v>
      </c>
      <c r="F32" s="24">
        <f>C32*(D32*D32*D32)/12</f>
        <v>457266.66666666669</v>
      </c>
      <c r="G32" s="24"/>
      <c r="H32" s="53">
        <f>C32*D32</f>
        <v>3800</v>
      </c>
      <c r="I32" s="23"/>
      <c r="J32" s="23"/>
      <c r="K32" s="23"/>
    </row>
    <row r="33" spans="2:11">
      <c r="B33" s="56" t="s">
        <v>53</v>
      </c>
      <c r="C33" s="24">
        <v>150</v>
      </c>
      <c r="D33" s="53">
        <v>38</v>
      </c>
      <c r="E33" s="24">
        <f>C33*(D33*D33)/6</f>
        <v>36100</v>
      </c>
      <c r="F33" s="24">
        <f>C33*(D33*D33*D33)/12</f>
        <v>685900</v>
      </c>
      <c r="G33" s="24"/>
      <c r="H33" s="53">
        <f>C33*D33</f>
        <v>5700</v>
      </c>
      <c r="I33" s="23"/>
      <c r="J33" s="23"/>
      <c r="K33" s="23"/>
    </row>
    <row r="34" spans="2:11">
      <c r="B34" s="56" t="s">
        <v>54</v>
      </c>
      <c r="C34" s="24">
        <v>175</v>
      </c>
      <c r="D34" s="53">
        <v>38</v>
      </c>
      <c r="E34" s="24">
        <f>C34*(D34*D34)/6</f>
        <v>42116.666666666664</v>
      </c>
      <c r="F34" s="24">
        <f>C34*(D34*D34*D34)/12</f>
        <v>800216.66666666663</v>
      </c>
      <c r="G34" s="24"/>
      <c r="H34" s="53">
        <f>C34*D34</f>
        <v>6650</v>
      </c>
      <c r="I34" s="23"/>
      <c r="J34" s="23"/>
      <c r="K34" s="23"/>
    </row>
    <row r="35" spans="2:11">
      <c r="B35" s="56" t="s">
        <v>55</v>
      </c>
      <c r="C35" s="24">
        <v>200</v>
      </c>
      <c r="D35" s="53">
        <v>38</v>
      </c>
      <c r="E35" s="24">
        <f>C35*(D35*D35)/6</f>
        <v>48133.333333333336</v>
      </c>
      <c r="F35" s="24">
        <f>C35*(D35*D35*D35)/12</f>
        <v>914533.33333333337</v>
      </c>
      <c r="G35" s="24"/>
      <c r="H35" s="53">
        <f>C35*D35</f>
        <v>7600</v>
      </c>
      <c r="I35" s="23"/>
      <c r="J35" s="23"/>
      <c r="K35" s="23"/>
    </row>
    <row r="36" spans="2:11">
      <c r="B36" s="56" t="s">
        <v>56</v>
      </c>
      <c r="C36" s="24">
        <v>225</v>
      </c>
      <c r="D36" s="53">
        <v>38</v>
      </c>
      <c r="E36" s="24">
        <f>C36*(D36*D36)/6</f>
        <v>54150</v>
      </c>
      <c r="F36" s="24">
        <f>C36*(D36*D36*D36)/12</f>
        <v>1028850</v>
      </c>
      <c r="G36" s="24"/>
      <c r="H36" s="53">
        <f>C36*D36</f>
        <v>8550</v>
      </c>
      <c r="I36" s="23"/>
      <c r="J36" s="23"/>
      <c r="K36" s="23"/>
    </row>
    <row r="37" spans="2:11">
      <c r="B37" s="60"/>
      <c r="C37" s="58"/>
      <c r="D37" s="59"/>
      <c r="E37" s="58"/>
      <c r="F37" s="58"/>
      <c r="G37" s="58"/>
      <c r="H37" s="58"/>
      <c r="I37" s="23"/>
      <c r="J37" s="23"/>
      <c r="K37" s="23"/>
    </row>
    <row r="38" spans="2:11">
      <c r="B38" s="56" t="s">
        <v>57</v>
      </c>
      <c r="C38" s="24">
        <v>75</v>
      </c>
      <c r="D38" s="53">
        <v>47</v>
      </c>
      <c r="E38" s="24">
        <f t="shared" ref="E38:E46" si="0">C38*(D38*D38)/6</f>
        <v>27612.5</v>
      </c>
      <c r="F38" s="24">
        <f t="shared" ref="F38:F46" si="1">C38*(D38*D38*D38)/12</f>
        <v>648893.75</v>
      </c>
      <c r="G38" s="24"/>
      <c r="H38" s="53">
        <f t="shared" ref="H38:H46" si="2">C38*D38</f>
        <v>3525</v>
      </c>
      <c r="I38" s="23"/>
      <c r="J38" s="23"/>
      <c r="K38" s="23"/>
    </row>
    <row r="39" spans="2:11">
      <c r="B39" s="56" t="s">
        <v>58</v>
      </c>
      <c r="C39" s="24">
        <v>100</v>
      </c>
      <c r="D39" s="53">
        <v>47</v>
      </c>
      <c r="E39" s="24">
        <f t="shared" si="0"/>
        <v>36816.666666666664</v>
      </c>
      <c r="F39" s="24">
        <f t="shared" si="1"/>
        <v>865191.66666666663</v>
      </c>
      <c r="G39" s="24"/>
      <c r="H39" s="53">
        <f t="shared" si="2"/>
        <v>4700</v>
      </c>
      <c r="I39" s="23"/>
      <c r="J39" s="23"/>
      <c r="K39" s="23"/>
    </row>
    <row r="40" spans="2:11">
      <c r="B40" s="56" t="s">
        <v>59</v>
      </c>
      <c r="C40" s="24">
        <v>125</v>
      </c>
      <c r="D40" s="53">
        <v>47</v>
      </c>
      <c r="E40" s="24">
        <f t="shared" si="0"/>
        <v>46020.833333333336</v>
      </c>
      <c r="F40" s="24">
        <f t="shared" si="1"/>
        <v>1081489.5833333333</v>
      </c>
      <c r="G40" s="24"/>
      <c r="H40" s="53">
        <f t="shared" si="2"/>
        <v>5875</v>
      </c>
      <c r="I40" s="23"/>
      <c r="J40" s="23"/>
      <c r="K40" s="23"/>
    </row>
    <row r="41" spans="2:11">
      <c r="B41" s="56" t="s">
        <v>60</v>
      </c>
      <c r="C41" s="24">
        <v>150</v>
      </c>
      <c r="D41" s="53">
        <v>47</v>
      </c>
      <c r="E41" s="24">
        <f t="shared" si="0"/>
        <v>55225</v>
      </c>
      <c r="F41" s="24">
        <f t="shared" si="1"/>
        <v>1297787.5</v>
      </c>
      <c r="G41" s="24"/>
      <c r="H41" s="53">
        <f t="shared" si="2"/>
        <v>7050</v>
      </c>
      <c r="I41" s="23"/>
      <c r="J41" s="23"/>
      <c r="K41" s="23"/>
    </row>
    <row r="42" spans="2:11">
      <c r="B42" s="56" t="s">
        <v>61</v>
      </c>
      <c r="C42" s="24">
        <v>175</v>
      </c>
      <c r="D42" s="53">
        <v>47</v>
      </c>
      <c r="E42" s="24">
        <f t="shared" si="0"/>
        <v>64429.166666666664</v>
      </c>
      <c r="F42" s="24">
        <f t="shared" si="1"/>
        <v>1514085.4166666667</v>
      </c>
      <c r="G42" s="24"/>
      <c r="H42" s="53">
        <f t="shared" si="2"/>
        <v>8225</v>
      </c>
      <c r="I42" s="23"/>
      <c r="J42" s="23"/>
      <c r="K42" s="23"/>
    </row>
    <row r="43" spans="2:11">
      <c r="B43" s="56" t="s">
        <v>62</v>
      </c>
      <c r="C43" s="24">
        <v>200</v>
      </c>
      <c r="D43" s="53">
        <v>47</v>
      </c>
      <c r="E43" s="24">
        <f t="shared" si="0"/>
        <v>73633.333333333328</v>
      </c>
      <c r="F43" s="24">
        <f t="shared" si="1"/>
        <v>1730383.3333333333</v>
      </c>
      <c r="G43" s="24"/>
      <c r="H43" s="53">
        <f t="shared" si="2"/>
        <v>9400</v>
      </c>
      <c r="I43" s="23"/>
      <c r="J43" s="23"/>
      <c r="K43" s="23"/>
    </row>
    <row r="44" spans="2:11">
      <c r="B44" s="56" t="s">
        <v>63</v>
      </c>
      <c r="C44" s="24">
        <v>225</v>
      </c>
      <c r="D44" s="53">
        <v>47</v>
      </c>
      <c r="E44" s="24">
        <f t="shared" si="0"/>
        <v>82837.5</v>
      </c>
      <c r="F44" s="24">
        <f t="shared" si="1"/>
        <v>1946681.25</v>
      </c>
      <c r="G44" s="24"/>
      <c r="H44" s="53">
        <f t="shared" si="2"/>
        <v>10575</v>
      </c>
      <c r="I44" s="23"/>
      <c r="J44" s="23"/>
      <c r="K44" s="23"/>
    </row>
    <row r="45" spans="2:11">
      <c r="B45" s="56" t="s">
        <v>64</v>
      </c>
      <c r="C45" s="24">
        <v>250</v>
      </c>
      <c r="D45" s="53">
        <v>47</v>
      </c>
      <c r="E45" s="24">
        <f t="shared" si="0"/>
        <v>92041.666666666672</v>
      </c>
      <c r="F45" s="24">
        <f t="shared" si="1"/>
        <v>2162979.1666666665</v>
      </c>
      <c r="G45" s="24"/>
      <c r="H45" s="53">
        <f t="shared" si="2"/>
        <v>11750</v>
      </c>
      <c r="I45" s="23"/>
      <c r="J45" s="23"/>
      <c r="K45" s="23"/>
    </row>
    <row r="46" spans="2:11">
      <c r="B46" s="56" t="s">
        <v>65</v>
      </c>
      <c r="C46" s="24">
        <v>300</v>
      </c>
      <c r="D46" s="53">
        <v>47</v>
      </c>
      <c r="E46" s="24">
        <f t="shared" si="0"/>
        <v>110450</v>
      </c>
      <c r="F46" s="24">
        <f t="shared" si="1"/>
        <v>2595575</v>
      </c>
      <c r="G46" s="24"/>
      <c r="H46" s="53">
        <f t="shared" si="2"/>
        <v>14100</v>
      </c>
      <c r="I46" s="23"/>
      <c r="J46" s="23"/>
      <c r="K46" s="23"/>
    </row>
    <row r="47" spans="2:11">
      <c r="B47" s="60"/>
      <c r="C47" s="58"/>
      <c r="D47" s="59"/>
      <c r="E47" s="58"/>
      <c r="F47" s="58"/>
      <c r="G47" s="58"/>
      <c r="H47" s="58"/>
      <c r="I47" s="23"/>
      <c r="J47" s="23"/>
      <c r="K47" s="23"/>
    </row>
    <row r="48" spans="2:11">
      <c r="B48" s="56" t="s">
        <v>66</v>
      </c>
      <c r="C48" s="24">
        <v>150</v>
      </c>
      <c r="D48" s="53">
        <v>63</v>
      </c>
      <c r="E48" s="24">
        <f>C48*(D48*D48)/6</f>
        <v>99225</v>
      </c>
      <c r="F48" s="24">
        <f>C48*(D48*D48*D48)/12</f>
        <v>3125587.5</v>
      </c>
      <c r="G48" s="24"/>
      <c r="H48" s="53">
        <f>C48*D48</f>
        <v>9450</v>
      </c>
      <c r="I48" s="23"/>
      <c r="K48" s="23"/>
    </row>
    <row r="49" spans="2:11">
      <c r="B49" s="56" t="s">
        <v>67</v>
      </c>
      <c r="C49" s="24">
        <v>175</v>
      </c>
      <c r="D49" s="53">
        <v>63</v>
      </c>
      <c r="E49" s="24">
        <f>C49*(D49*D49)/6</f>
        <v>115762.5</v>
      </c>
      <c r="F49" s="24">
        <f>C49*(D49*D49*D49)/12</f>
        <v>3646518.75</v>
      </c>
      <c r="G49" s="24"/>
      <c r="H49" s="53">
        <f>C49*D49</f>
        <v>11025</v>
      </c>
      <c r="I49" s="23"/>
      <c r="K49" s="23"/>
    </row>
    <row r="50" spans="2:11">
      <c r="B50" s="56" t="s">
        <v>68</v>
      </c>
      <c r="C50" s="24">
        <v>200</v>
      </c>
      <c r="D50" s="53">
        <v>63</v>
      </c>
      <c r="E50" s="24">
        <f>C50*(D50*D50)/6</f>
        <v>132300</v>
      </c>
      <c r="F50" s="24">
        <f>C50*(D50*D50*D50)/12</f>
        <v>4167450</v>
      </c>
      <c r="G50" s="24"/>
      <c r="H50" s="53">
        <f>C50*D50</f>
        <v>12600</v>
      </c>
      <c r="I50" s="23"/>
      <c r="J50" s="23"/>
      <c r="K50" s="23"/>
    </row>
    <row r="51" spans="2:11">
      <c r="B51" s="56" t="s">
        <v>69</v>
      </c>
      <c r="C51" s="24">
        <v>225</v>
      </c>
      <c r="D51" s="53">
        <v>63</v>
      </c>
      <c r="E51" s="24">
        <f>C51*(D51*D51)/6</f>
        <v>148837.5</v>
      </c>
      <c r="F51" s="24">
        <f>C51*(D51*D51*D51)/12</f>
        <v>4688381.25</v>
      </c>
      <c r="G51" s="24"/>
      <c r="H51" s="53">
        <f>C51*D51</f>
        <v>14175</v>
      </c>
      <c r="I51" s="23"/>
      <c r="J51" s="23"/>
      <c r="K51" s="23"/>
    </row>
    <row r="52" spans="2:11">
      <c r="B52" s="60"/>
      <c r="C52" s="58"/>
      <c r="D52" s="59"/>
      <c r="E52" s="58"/>
      <c r="F52" s="58"/>
      <c r="G52" s="58"/>
      <c r="H52" s="58"/>
      <c r="I52" s="23"/>
      <c r="J52" s="23"/>
      <c r="K52" s="23"/>
    </row>
    <row r="53" spans="2:11">
      <c r="B53" s="56" t="s">
        <v>70</v>
      </c>
      <c r="C53" s="24">
        <v>100</v>
      </c>
      <c r="D53" s="53">
        <v>75</v>
      </c>
      <c r="E53" s="24">
        <f t="shared" ref="E53:E59" si="3">C53*(D53*D53)/6</f>
        <v>93750</v>
      </c>
      <c r="F53" s="24">
        <f t="shared" ref="F53:F59" si="4">C53*(D53*D53*D53)/12</f>
        <v>3515625</v>
      </c>
      <c r="G53" s="24"/>
      <c r="H53" s="53">
        <f t="shared" ref="H53:H59" si="5">C53*D53</f>
        <v>7500</v>
      </c>
      <c r="I53" s="23"/>
      <c r="J53" s="23"/>
      <c r="K53" s="23"/>
    </row>
    <row r="54" spans="2:11">
      <c r="B54" s="56" t="s">
        <v>71</v>
      </c>
      <c r="C54" s="24">
        <v>150</v>
      </c>
      <c r="D54" s="53">
        <v>75</v>
      </c>
      <c r="E54" s="24">
        <f t="shared" si="3"/>
        <v>140625</v>
      </c>
      <c r="F54" s="24">
        <f t="shared" si="4"/>
        <v>5273437.5</v>
      </c>
      <c r="G54" s="24"/>
      <c r="H54" s="53">
        <f t="shared" si="5"/>
        <v>11250</v>
      </c>
      <c r="I54" s="23"/>
      <c r="J54" s="23"/>
      <c r="K54" s="23"/>
    </row>
    <row r="55" spans="2:11">
      <c r="B55" s="56" t="s">
        <v>72</v>
      </c>
      <c r="C55" s="24">
        <v>175</v>
      </c>
      <c r="D55" s="53">
        <v>75</v>
      </c>
      <c r="E55" s="24">
        <f t="shared" si="3"/>
        <v>164062.5</v>
      </c>
      <c r="F55" s="24">
        <f t="shared" si="4"/>
        <v>6152343.75</v>
      </c>
      <c r="G55" s="24"/>
      <c r="H55" s="53">
        <f t="shared" si="5"/>
        <v>13125</v>
      </c>
      <c r="I55" s="23"/>
      <c r="J55" s="23"/>
      <c r="K55" s="23"/>
    </row>
    <row r="56" spans="2:11">
      <c r="B56" s="56" t="s">
        <v>73</v>
      </c>
      <c r="C56" s="24">
        <v>200</v>
      </c>
      <c r="D56" s="53">
        <v>75</v>
      </c>
      <c r="E56" s="24">
        <f t="shared" si="3"/>
        <v>187500</v>
      </c>
      <c r="F56" s="24">
        <f t="shared" si="4"/>
        <v>7031250</v>
      </c>
      <c r="G56" s="24"/>
      <c r="H56" s="53">
        <f t="shared" si="5"/>
        <v>15000</v>
      </c>
      <c r="I56" s="23"/>
      <c r="J56" s="23"/>
      <c r="K56" s="23"/>
    </row>
    <row r="57" spans="2:11">
      <c r="B57" s="56" t="s">
        <v>74</v>
      </c>
      <c r="C57" s="24">
        <v>225</v>
      </c>
      <c r="D57" s="53">
        <v>75</v>
      </c>
      <c r="E57" s="24">
        <f t="shared" si="3"/>
        <v>210937.5</v>
      </c>
      <c r="F57" s="24">
        <f t="shared" si="4"/>
        <v>7910156.25</v>
      </c>
      <c r="G57" s="24"/>
      <c r="H57" s="53">
        <f t="shared" si="5"/>
        <v>16875</v>
      </c>
      <c r="I57" s="23"/>
      <c r="J57" s="23"/>
      <c r="K57" s="23"/>
    </row>
    <row r="58" spans="2:11">
      <c r="B58" s="56" t="s">
        <v>75</v>
      </c>
      <c r="C58" s="24">
        <v>250</v>
      </c>
      <c r="D58" s="53">
        <v>75</v>
      </c>
      <c r="E58" s="24">
        <f t="shared" si="3"/>
        <v>234375</v>
      </c>
      <c r="F58" s="24">
        <f t="shared" si="4"/>
        <v>8789062.5</v>
      </c>
      <c r="G58" s="24"/>
      <c r="H58" s="53">
        <f t="shared" si="5"/>
        <v>18750</v>
      </c>
      <c r="I58" s="23"/>
      <c r="J58" s="23"/>
      <c r="K58" s="23"/>
    </row>
    <row r="59" spans="2:11">
      <c r="B59" s="56" t="s">
        <v>76</v>
      </c>
      <c r="C59" s="24">
        <v>300</v>
      </c>
      <c r="D59" s="53">
        <v>75</v>
      </c>
      <c r="E59" s="24">
        <f t="shared" si="3"/>
        <v>281250</v>
      </c>
      <c r="F59" s="24">
        <f t="shared" si="4"/>
        <v>10546875</v>
      </c>
      <c r="G59" s="24"/>
      <c r="H59" s="53">
        <f t="shared" si="5"/>
        <v>22500</v>
      </c>
      <c r="I59" s="23"/>
      <c r="J59" s="23"/>
      <c r="K59" s="23"/>
    </row>
    <row r="60" spans="2:11">
      <c r="B60" s="60"/>
      <c r="C60" s="58"/>
      <c r="D60" s="59"/>
      <c r="E60" s="58"/>
      <c r="F60" s="58"/>
      <c r="G60" s="58"/>
      <c r="H60" s="58"/>
      <c r="I60" s="23"/>
      <c r="J60" s="23"/>
      <c r="K60" s="23"/>
    </row>
    <row r="61" spans="2:11">
      <c r="B61" s="61" t="s">
        <v>77</v>
      </c>
      <c r="C61" s="24">
        <v>100</v>
      </c>
      <c r="D61" s="53">
        <v>100</v>
      </c>
      <c r="E61" s="24">
        <f t="shared" ref="E61:E66" si="6">C61*(D61*D61)/6</f>
        <v>166666.66666666666</v>
      </c>
      <c r="F61" s="24">
        <f t="shared" ref="F61:F66" si="7">C61*(D61*D61*D61)/12</f>
        <v>8333333.333333333</v>
      </c>
      <c r="G61" s="24"/>
      <c r="H61" s="53">
        <f t="shared" ref="H61:H66" si="8">C61*D61</f>
        <v>10000</v>
      </c>
      <c r="I61" s="23"/>
      <c r="J61" s="23"/>
      <c r="K61" s="23"/>
    </row>
    <row r="62" spans="2:11">
      <c r="B62" s="61" t="s">
        <v>78</v>
      </c>
      <c r="C62" s="24">
        <v>150</v>
      </c>
      <c r="D62" s="53">
        <v>100</v>
      </c>
      <c r="E62" s="24">
        <f t="shared" si="6"/>
        <v>250000</v>
      </c>
      <c r="F62" s="24">
        <f t="shared" si="7"/>
        <v>12500000</v>
      </c>
      <c r="G62" s="24"/>
      <c r="H62" s="53">
        <f t="shared" si="8"/>
        <v>15000</v>
      </c>
      <c r="I62" s="23"/>
      <c r="J62" s="23"/>
      <c r="K62" s="23"/>
    </row>
    <row r="63" spans="2:11">
      <c r="B63" s="61" t="s">
        <v>79</v>
      </c>
      <c r="C63" s="24">
        <v>200</v>
      </c>
      <c r="D63" s="53">
        <v>100</v>
      </c>
      <c r="E63" s="24">
        <f t="shared" si="6"/>
        <v>333333.33333333331</v>
      </c>
      <c r="F63" s="24">
        <f t="shared" si="7"/>
        <v>16666666.666666666</v>
      </c>
      <c r="G63" s="24"/>
      <c r="H63" s="53">
        <f t="shared" si="8"/>
        <v>20000</v>
      </c>
      <c r="I63" s="23"/>
      <c r="J63" s="23"/>
      <c r="K63" s="23"/>
    </row>
    <row r="64" spans="2:11">
      <c r="B64" s="61" t="s">
        <v>80</v>
      </c>
      <c r="C64" s="24">
        <v>225</v>
      </c>
      <c r="D64" s="53">
        <v>100</v>
      </c>
      <c r="E64" s="24">
        <f t="shared" si="6"/>
        <v>375000</v>
      </c>
      <c r="F64" s="24">
        <f t="shared" si="7"/>
        <v>18750000</v>
      </c>
      <c r="G64" s="24"/>
      <c r="H64" s="53">
        <f t="shared" si="8"/>
        <v>22500</v>
      </c>
      <c r="I64" s="23"/>
      <c r="J64" s="23"/>
      <c r="K64" s="23"/>
    </row>
    <row r="65" spans="1:11">
      <c r="B65" s="61" t="s">
        <v>81</v>
      </c>
      <c r="C65" s="53">
        <v>250</v>
      </c>
      <c r="D65" s="53">
        <v>100</v>
      </c>
      <c r="E65" s="24">
        <f t="shared" si="6"/>
        <v>416666.66666666669</v>
      </c>
      <c r="F65" s="24">
        <f t="shared" si="7"/>
        <v>20833333.333333332</v>
      </c>
      <c r="G65" s="24"/>
      <c r="H65" s="53">
        <f t="shared" si="8"/>
        <v>25000</v>
      </c>
      <c r="I65" s="23"/>
      <c r="J65" s="23"/>
      <c r="K65" s="23"/>
    </row>
    <row r="66" spans="1:11">
      <c r="B66" s="61" t="s">
        <v>82</v>
      </c>
      <c r="C66" s="53">
        <v>300</v>
      </c>
      <c r="D66" s="53">
        <v>100</v>
      </c>
      <c r="E66" s="24">
        <f t="shared" si="6"/>
        <v>500000</v>
      </c>
      <c r="F66" s="24">
        <f t="shared" si="7"/>
        <v>25000000</v>
      </c>
      <c r="G66" s="24"/>
      <c r="H66" s="53">
        <f t="shared" si="8"/>
        <v>30000</v>
      </c>
      <c r="I66" s="23"/>
      <c r="J66" s="23"/>
      <c r="K66" s="23"/>
    </row>
    <row r="67" spans="1:11">
      <c r="B67" s="57"/>
      <c r="C67" s="59"/>
      <c r="D67" s="59"/>
      <c r="E67" s="58"/>
      <c r="F67" s="58"/>
      <c r="G67" s="58"/>
      <c r="H67" s="58"/>
      <c r="I67" s="23"/>
      <c r="J67" s="23"/>
      <c r="K67" s="23"/>
    </row>
    <row r="68" spans="1:11">
      <c r="B68" s="62" t="s">
        <v>83</v>
      </c>
      <c r="C68" s="53">
        <v>150</v>
      </c>
      <c r="D68" s="53">
        <v>150</v>
      </c>
      <c r="E68" s="24">
        <f>C68*(D68*D68)/6</f>
        <v>562500</v>
      </c>
      <c r="F68" s="24">
        <f>C68*(D68*D68*D68)/12</f>
        <v>42187500</v>
      </c>
      <c r="G68" s="24"/>
      <c r="H68" s="53">
        <f>C68*D68</f>
        <v>22500</v>
      </c>
      <c r="I68" s="23"/>
      <c r="J68" s="23"/>
      <c r="K68" s="23"/>
    </row>
    <row r="69" spans="1:11">
      <c r="B69" s="62" t="s">
        <v>84</v>
      </c>
      <c r="C69" s="53">
        <v>300</v>
      </c>
      <c r="D69" s="53">
        <v>150</v>
      </c>
      <c r="E69" s="24">
        <f>C69*(D69*D69)/6</f>
        <v>1125000</v>
      </c>
      <c r="F69" s="24">
        <f>C69*(D69*D69*D69)/12</f>
        <v>84375000</v>
      </c>
      <c r="G69" s="24"/>
      <c r="H69" s="53">
        <f>C69*D69</f>
        <v>45000</v>
      </c>
      <c r="I69" s="23"/>
      <c r="J69" s="23"/>
      <c r="K69" s="23"/>
    </row>
    <row r="70" spans="1:11">
      <c r="B70" s="62" t="s">
        <v>85</v>
      </c>
      <c r="C70" s="53">
        <v>300</v>
      </c>
      <c r="D70" s="53">
        <v>300</v>
      </c>
      <c r="E70" s="24">
        <f>C70*(D70*D70)/6</f>
        <v>4500000</v>
      </c>
      <c r="F70" s="24">
        <f>C70*(D70*D70*D70)/12</f>
        <v>675000000</v>
      </c>
      <c r="G70" s="24"/>
      <c r="H70" s="53">
        <f>C70*D70</f>
        <v>90000</v>
      </c>
      <c r="I70" s="23"/>
      <c r="J70" s="23"/>
      <c r="K70" s="23"/>
    </row>
    <row r="71" spans="1:11">
      <c r="B71" s="23"/>
      <c r="C71" s="23"/>
      <c r="D71" s="23"/>
      <c r="E71" s="23"/>
      <c r="F71" s="23"/>
      <c r="G71" s="23"/>
      <c r="H71" s="23"/>
      <c r="I71" s="23"/>
      <c r="J71" s="23"/>
      <c r="K71" s="23"/>
    </row>
    <row r="72" spans="1:11">
      <c r="B72" s="23"/>
      <c r="C72" s="23"/>
      <c r="D72" s="23"/>
      <c r="E72" s="23"/>
      <c r="F72" s="23"/>
      <c r="G72" s="23"/>
      <c r="H72" s="23"/>
      <c r="I72" s="23"/>
      <c r="J72" s="23"/>
      <c r="K72" s="23"/>
    </row>
    <row r="73" spans="1:11">
      <c r="B73" s="23"/>
      <c r="C73" s="23"/>
      <c r="D73" s="23"/>
      <c r="E73" s="23"/>
      <c r="F73" s="23"/>
      <c r="G73" s="23"/>
      <c r="H73" s="23"/>
      <c r="I73" s="23"/>
      <c r="J73" s="23"/>
      <c r="K73" s="23"/>
    </row>
    <row r="74" spans="1:11">
      <c r="A74" s="21" t="s">
        <v>86</v>
      </c>
      <c r="B74" s="21">
        <v>1.5</v>
      </c>
      <c r="C74" s="63">
        <v>1</v>
      </c>
      <c r="D74" s="23"/>
      <c r="E74" s="23"/>
      <c r="F74" s="23"/>
      <c r="G74" s="23"/>
      <c r="H74" s="23"/>
      <c r="I74" s="23"/>
      <c r="J74" s="23"/>
      <c r="K74" s="23"/>
    </row>
    <row r="75" spans="1:11">
      <c r="A75" s="21" t="s">
        <v>87</v>
      </c>
      <c r="B75" s="21">
        <v>1.3</v>
      </c>
      <c r="C75" s="23">
        <v>1.25</v>
      </c>
      <c r="D75" s="23"/>
      <c r="E75" s="23"/>
      <c r="F75" s="23"/>
      <c r="G75" s="23"/>
      <c r="H75" s="23"/>
      <c r="I75" s="23"/>
      <c r="J75" s="23"/>
      <c r="K75" s="23"/>
    </row>
    <row r="76" spans="1:11">
      <c r="B76" s="23"/>
      <c r="C76" s="23"/>
      <c r="D76" s="23"/>
      <c r="E76" s="23"/>
      <c r="F76" s="23"/>
      <c r="G76" s="23"/>
      <c r="H76" s="23"/>
      <c r="I76" s="23"/>
      <c r="J76" s="23"/>
      <c r="K76" s="23"/>
    </row>
    <row r="77" spans="1:11" ht="15" thickBot="1">
      <c r="B77" s="23"/>
      <c r="C77" s="23"/>
      <c r="D77" s="23"/>
      <c r="E77" s="23"/>
      <c r="F77" s="23"/>
      <c r="G77" s="23"/>
      <c r="H77" s="23"/>
      <c r="I77" s="23"/>
      <c r="J77" s="23"/>
      <c r="K77" s="23"/>
    </row>
    <row r="78" spans="1:11" ht="17.399999999999999" thickBot="1">
      <c r="A78" s="646" t="s">
        <v>88</v>
      </c>
      <c r="B78" s="647"/>
      <c r="C78" s="648"/>
      <c r="D78" s="638" t="s">
        <v>89</v>
      </c>
      <c r="E78" s="639"/>
      <c r="F78" s="640"/>
      <c r="G78" s="23"/>
      <c r="H78" s="23"/>
      <c r="I78" s="23"/>
      <c r="J78" s="23"/>
      <c r="K78" s="23"/>
    </row>
    <row r="79" spans="1:11" ht="15" thickBot="1">
      <c r="A79" s="646"/>
      <c r="B79" s="647"/>
      <c r="C79" s="648"/>
      <c r="D79" s="173" t="s">
        <v>90</v>
      </c>
      <c r="E79" s="173" t="s">
        <v>91</v>
      </c>
      <c r="F79" s="174" t="s">
        <v>261</v>
      </c>
      <c r="G79" s="23"/>
      <c r="H79" s="23"/>
    </row>
    <row r="80" spans="1:11" ht="15" thickBot="1">
      <c r="A80" s="646">
        <v>0</v>
      </c>
      <c r="B80" s="647"/>
      <c r="C80" s="647"/>
      <c r="D80" s="172">
        <f xml:space="preserve"> IF(A80=0, 5.14, (E80 - 1)/TAN(RADIANS(A80)))</f>
        <v>5.14</v>
      </c>
      <c r="E80" s="172">
        <f>IF(A80=0, 1, EXP(PI()*TAN(RADIANS(A80)))*(TAN(RADIANS(45 + A80/2))^2))</f>
        <v>1</v>
      </c>
      <c r="F80" s="172">
        <f>IF(A80=0, 0, (E80 - 1)*TAN(RADIANS(1.4*A80)))</f>
        <v>0</v>
      </c>
      <c r="G80" s="23"/>
      <c r="H80" s="23"/>
    </row>
    <row r="81" spans="1:37" ht="15" thickBot="1">
      <c r="A81" s="646">
        <v>1</v>
      </c>
      <c r="B81" s="647"/>
      <c r="C81" s="647"/>
      <c r="D81" s="172">
        <f t="shared" ref="D81:D130" si="9" xml:space="preserve"> IF(A81=0, 5.14, (E81 - 1)/TAN(RADIANS(A81)))</f>
        <v>5.3792622412000304</v>
      </c>
      <c r="E81" s="172">
        <f t="shared" ref="E81:E130" si="10">IF(A81=0, 1, EXP(PI()*TAN(RADIANS(A81)))*(TAN(RADIANS(45 + A81/2))^2))</f>
        <v>1.0938953716860558</v>
      </c>
      <c r="F81" s="172">
        <f t="shared" ref="F81:F130" si="11">IF(A81=0, 0, (E81 - 1)*TAN(RADIANS(1.4*A81)))</f>
        <v>2.2947534560996104E-3</v>
      </c>
      <c r="G81" s="23"/>
      <c r="H81" s="23"/>
    </row>
    <row r="82" spans="1:37" ht="15" thickBot="1">
      <c r="A82" s="646">
        <v>2</v>
      </c>
      <c r="B82" s="647"/>
      <c r="C82" s="647"/>
      <c r="D82" s="172">
        <f t="shared" si="9"/>
        <v>5.6316001578587418</v>
      </c>
      <c r="E82" s="172">
        <f t="shared" si="10"/>
        <v>1.1966598109822753</v>
      </c>
      <c r="F82" s="172">
        <f t="shared" si="11"/>
        <v>9.6182693871943621E-3</v>
      </c>
      <c r="G82" s="23"/>
      <c r="H82" s="23"/>
    </row>
    <row r="83" spans="1:37" ht="15" thickBot="1">
      <c r="A83" s="646">
        <v>3</v>
      </c>
      <c r="B83" s="647"/>
      <c r="C83" s="647"/>
      <c r="D83" s="172">
        <f t="shared" si="9"/>
        <v>5.8997692508012394</v>
      </c>
      <c r="E83" s="172">
        <f t="shared" si="10"/>
        <v>1.3091938047168648</v>
      </c>
      <c r="F83" s="172">
        <f t="shared" si="11"/>
        <v>2.2705773692884734E-2</v>
      </c>
      <c r="G83" s="23"/>
      <c r="H83" s="23"/>
    </row>
    <row r="84" spans="1:37" ht="15" thickBot="1">
      <c r="A84" s="646">
        <v>4</v>
      </c>
      <c r="B84" s="647"/>
      <c r="C84" s="647"/>
      <c r="D84" s="172">
        <f t="shared" si="9"/>
        <v>6.1850440548170411</v>
      </c>
      <c r="E84" s="172">
        <f t="shared" si="10"/>
        <v>1.4325004124835183</v>
      </c>
      <c r="F84" s="172">
        <f t="shared" si="11"/>
        <v>4.2407036218999251E-2</v>
      </c>
      <c r="G84" s="23"/>
    </row>
    <row r="85" spans="1:37" ht="15" thickBot="1">
      <c r="A85" s="646">
        <v>5</v>
      </c>
      <c r="B85" s="647"/>
      <c r="C85" s="647"/>
      <c r="D85" s="172">
        <f t="shared" si="9"/>
        <v>6.4888234442252237</v>
      </c>
      <c r="E85" s="172">
        <f t="shared" si="10"/>
        <v>1.5676984909909479</v>
      </c>
      <c r="F85" s="172">
        <f t="shared" si="11"/>
        <v>6.970460994156509E-2</v>
      </c>
      <c r="G85" s="23"/>
      <c r="H85" s="23"/>
    </row>
    <row r="86" spans="1:37" ht="15" thickBot="1">
      <c r="A86" s="646">
        <v>6</v>
      </c>
      <c r="B86" s="647"/>
      <c r="C86" s="647"/>
      <c r="D86" s="172">
        <f t="shared" si="9"/>
        <v>6.8126449376791198</v>
      </c>
      <c r="E86" s="172">
        <f t="shared" si="10"/>
        <v>1.716037836311346</v>
      </c>
      <c r="F86" s="172">
        <f t="shared" si="11"/>
        <v>0.10573526844761279</v>
      </c>
      <c r="G86" s="23"/>
      <c r="H86" s="23"/>
    </row>
    <row r="87" spans="1:37" ht="15" thickBot="1">
      <c r="A87" s="646">
        <v>7</v>
      </c>
      <c r="B87" s="647"/>
      <c r="C87" s="647"/>
      <c r="D87" s="172">
        <f t="shared" si="9"/>
        <v>7.1582009009241068</v>
      </c>
      <c r="E87" s="172">
        <f t="shared" si="10"/>
        <v>1.8789165544747426</v>
      </c>
      <c r="F87" s="172">
        <f t="shared" si="11"/>
        <v>0.1518152500869033</v>
      </c>
      <c r="G87" s="23"/>
      <c r="H87" s="23"/>
    </row>
    <row r="88" spans="1:37" ht="15" thickBot="1">
      <c r="A88" s="646">
        <v>8</v>
      </c>
      <c r="B88" s="647"/>
      <c r="C88" s="647"/>
      <c r="D88" s="172">
        <f t="shared" si="9"/>
        <v>7.5273569333929427</v>
      </c>
      <c r="E88" s="172">
        <f t="shared" si="10"/>
        <v>2.0579010265218778</v>
      </c>
      <c r="F88" s="172">
        <f t="shared" si="11"/>
        <v>0.20947004398817204</v>
      </c>
      <c r="G88" s="23"/>
      <c r="H88" s="23"/>
      <c r="J88" s="91" t="s">
        <v>127</v>
      </c>
      <c r="K88" s="91"/>
      <c r="L88" s="91"/>
      <c r="M88" s="1" t="s">
        <v>152</v>
      </c>
      <c r="N88" s="86" t="s">
        <v>90</v>
      </c>
      <c r="O88" s="90" t="s">
        <v>156</v>
      </c>
      <c r="P88" s="93" t="s">
        <v>117</v>
      </c>
      <c r="R88" s="84" t="s">
        <v>155</v>
      </c>
      <c r="S88" s="82" t="s">
        <v>128</v>
      </c>
      <c r="T88" s="6"/>
      <c r="U88" s="2"/>
      <c r="V88" s="2"/>
      <c r="W88" s="2" t="s">
        <v>157</v>
      </c>
      <c r="X88" s="86" t="s">
        <v>160</v>
      </c>
      <c r="Y88" s="84" t="s">
        <v>161</v>
      </c>
      <c r="Z88" s="7"/>
      <c r="AA88" s="7"/>
      <c r="AB88" s="7"/>
      <c r="AC88" s="2"/>
      <c r="AD88" s="2"/>
      <c r="AE88" s="2"/>
      <c r="AF88" s="2"/>
      <c r="AG88" s="2"/>
      <c r="AH88" s="2"/>
      <c r="AI88" s="3"/>
      <c r="AJ88" s="3"/>
      <c r="AK88" s="2"/>
    </row>
    <row r="89" spans="1:37" ht="15" thickBot="1">
      <c r="A89" s="646">
        <v>9</v>
      </c>
      <c r="B89" s="647"/>
      <c r="C89" s="647"/>
      <c r="D89" s="172">
        <f t="shared" si="9"/>
        <v>7.9221727728090494</v>
      </c>
      <c r="E89" s="172">
        <f t="shared" si="10"/>
        <v>2.2547489007756409</v>
      </c>
      <c r="F89" s="172">
        <f t="shared" si="11"/>
        <v>0.28046960870944293</v>
      </c>
      <c r="G89" s="23"/>
      <c r="H89" s="23"/>
      <c r="J89" s="84" t="s">
        <v>154</v>
      </c>
      <c r="K89" s="84"/>
      <c r="L89" s="93" t="s">
        <v>162</v>
      </c>
      <c r="M89" s="1">
        <v>0</v>
      </c>
      <c r="N89" s="88">
        <v>5.14</v>
      </c>
      <c r="O89" s="1">
        <v>18</v>
      </c>
      <c r="P89" s="88">
        <f>'Track Mat Analysis '!AP393</f>
        <v>6.302820323027551</v>
      </c>
      <c r="Q89" s="27">
        <v>0</v>
      </c>
      <c r="R89" s="27">
        <v>15</v>
      </c>
      <c r="S89" s="85" t="s">
        <v>129</v>
      </c>
      <c r="T89" s="96"/>
      <c r="U89" s="1"/>
      <c r="V89" s="1"/>
      <c r="W89" s="92">
        <f>R89*N89/2</f>
        <v>38.549999999999997</v>
      </c>
      <c r="X89" s="88">
        <v>0.3</v>
      </c>
      <c r="Y89" s="92">
        <f>FLOOR(W89*0.5,0.5)</f>
        <v>19</v>
      </c>
      <c r="Z89" s="27">
        <v>45</v>
      </c>
      <c r="AA89" s="7"/>
      <c r="AB89" s="7"/>
      <c r="AC89" s="2"/>
      <c r="AD89" s="2"/>
      <c r="AE89" s="2"/>
      <c r="AF89" s="2"/>
      <c r="AG89" s="2"/>
      <c r="AH89" s="2"/>
      <c r="AI89" s="3"/>
      <c r="AJ89" s="3"/>
      <c r="AK89" s="2"/>
    </row>
    <row r="90" spans="1:37" ht="15" thickBot="1">
      <c r="A90" s="646">
        <v>10</v>
      </c>
      <c r="B90" s="647"/>
      <c r="C90" s="647"/>
      <c r="D90" s="172">
        <f t="shared" si="9"/>
        <v>8.3449261093109222</v>
      </c>
      <c r="E90" s="172">
        <f t="shared" si="10"/>
        <v>2.4714356250900327</v>
      </c>
      <c r="F90" s="172">
        <f t="shared" si="11"/>
        <v>0.36687010571600503</v>
      </c>
      <c r="G90" s="23"/>
      <c r="H90" s="23"/>
      <c r="J90" s="84" t="s">
        <v>166</v>
      </c>
      <c r="K90" s="83"/>
      <c r="L90" s="93" t="s">
        <v>162</v>
      </c>
      <c r="M90" s="1">
        <v>0</v>
      </c>
      <c r="N90" s="88">
        <v>5.14</v>
      </c>
      <c r="O90" s="27">
        <v>19</v>
      </c>
      <c r="P90" s="88">
        <f>'Track Mat Analysis '!AP393</f>
        <v>6.302820323027551</v>
      </c>
      <c r="Q90" s="27">
        <v>0</v>
      </c>
      <c r="R90" s="27">
        <v>20</v>
      </c>
      <c r="S90" s="85" t="s">
        <v>167</v>
      </c>
      <c r="T90" s="27"/>
      <c r="U90" s="27"/>
      <c r="V90" s="27"/>
      <c r="W90" s="92">
        <f>R90*N90/2</f>
        <v>51.4</v>
      </c>
      <c r="X90" s="88">
        <v>0.3</v>
      </c>
      <c r="Y90" s="92">
        <f>FLOOR(W90*0.5,1)</f>
        <v>25</v>
      </c>
      <c r="Z90" s="27">
        <v>45</v>
      </c>
      <c r="AA90" s="7"/>
      <c r="AB90" s="7"/>
      <c r="AC90" s="2"/>
      <c r="AD90" s="2"/>
      <c r="AE90" s="2"/>
      <c r="AF90" s="2"/>
      <c r="AG90" s="2"/>
      <c r="AH90" s="2"/>
      <c r="AI90" s="3"/>
      <c r="AJ90" s="3"/>
      <c r="AK90" s="2"/>
    </row>
    <row r="91" spans="1:37" ht="15" thickBot="1">
      <c r="A91" s="646">
        <v>11</v>
      </c>
      <c r="B91" s="647"/>
      <c r="C91" s="647"/>
      <c r="D91" s="172">
        <f t="shared" si="9"/>
        <v>8.7981397688797589</v>
      </c>
      <c r="E91" s="172">
        <f t="shared" si="10"/>
        <v>2.7101851281117026</v>
      </c>
      <c r="F91" s="172">
        <f t="shared" si="11"/>
        <v>0.4710634661367431</v>
      </c>
      <c r="G91" s="23"/>
      <c r="H91" s="23"/>
      <c r="J91" s="83" t="s">
        <v>137</v>
      </c>
      <c r="K91" s="83"/>
      <c r="L91" s="93" t="s">
        <v>162</v>
      </c>
      <c r="M91" s="1">
        <v>0</v>
      </c>
      <c r="N91" s="88">
        <v>5.14</v>
      </c>
      <c r="O91" s="1">
        <v>19</v>
      </c>
      <c r="P91" s="88">
        <f>'Track Mat Analysis '!AP393</f>
        <v>6.302820323027551</v>
      </c>
      <c r="Q91" s="27">
        <v>0</v>
      </c>
      <c r="R91" s="27">
        <v>25</v>
      </c>
      <c r="S91" s="85" t="s">
        <v>130</v>
      </c>
      <c r="T91" s="6"/>
      <c r="U91" s="2"/>
      <c r="V91" s="2"/>
      <c r="W91" s="92">
        <f>R91*N91/2</f>
        <v>64.25</v>
      </c>
      <c r="X91" s="88">
        <v>0.3</v>
      </c>
      <c r="Y91" s="92">
        <f>FLOOR(W91*0.6,1)</f>
        <v>38</v>
      </c>
      <c r="Z91" s="27">
        <v>45</v>
      </c>
      <c r="AA91" s="7"/>
      <c r="AB91" s="7"/>
      <c r="AC91" s="2"/>
      <c r="AD91" s="2"/>
      <c r="AE91" s="2"/>
      <c r="AF91" s="2"/>
      <c r="AG91" s="2"/>
      <c r="AH91" s="2"/>
      <c r="AI91" s="3"/>
      <c r="AJ91" s="3"/>
      <c r="AK91" s="2"/>
    </row>
    <row r="92" spans="1:37" ht="15" thickBot="1">
      <c r="A92" s="646">
        <v>12</v>
      </c>
      <c r="B92" s="647"/>
      <c r="C92" s="647"/>
      <c r="D92" s="172">
        <f t="shared" si="9"/>
        <v>9.2846128073433114</v>
      </c>
      <c r="E92" s="172">
        <f t="shared" si="10"/>
        <v>2.9735053747663458</v>
      </c>
      <c r="F92" s="172">
        <f t="shared" si="11"/>
        <v>0.59583640176427399</v>
      </c>
      <c r="G92" s="23"/>
      <c r="H92" s="23"/>
      <c r="J92" s="95" t="s">
        <v>165</v>
      </c>
      <c r="K92" s="83"/>
      <c r="L92" s="93" t="s">
        <v>162</v>
      </c>
      <c r="M92" s="1">
        <v>0</v>
      </c>
      <c r="N92" s="88">
        <v>5.14</v>
      </c>
      <c r="O92" s="1">
        <v>19</v>
      </c>
      <c r="P92" s="88">
        <f>'Track Mat Analysis '!AP393</f>
        <v>6.302820323027551</v>
      </c>
      <c r="Q92" s="27">
        <v>0</v>
      </c>
      <c r="R92" s="27">
        <v>40</v>
      </c>
      <c r="S92" s="85" t="s">
        <v>131</v>
      </c>
      <c r="T92" s="6"/>
      <c r="U92" s="2"/>
      <c r="V92" s="2"/>
      <c r="W92" s="92">
        <f>R92*N92/2</f>
        <v>102.8</v>
      </c>
      <c r="X92" s="88">
        <v>0.3</v>
      </c>
      <c r="Y92" s="92">
        <f>FLOOR(W92*0.65,1)</f>
        <v>66</v>
      </c>
      <c r="Z92" s="27">
        <v>45</v>
      </c>
      <c r="AA92" s="7"/>
      <c r="AB92" s="7"/>
      <c r="AC92" s="2"/>
      <c r="AD92" s="2"/>
      <c r="AE92" s="2"/>
      <c r="AF92" s="2"/>
      <c r="AG92" s="2"/>
      <c r="AH92" s="2"/>
      <c r="AI92" s="3"/>
      <c r="AJ92" s="3"/>
      <c r="AK92" s="2"/>
    </row>
    <row r="93" spans="1:37" ht="15" thickBot="1">
      <c r="A93" s="646">
        <v>13</v>
      </c>
      <c r="B93" s="647"/>
      <c r="C93" s="647"/>
      <c r="D93" s="172">
        <f t="shared" si="9"/>
        <v>9.8074561537621214</v>
      </c>
      <c r="E93" s="172">
        <f t="shared" si="10"/>
        <v>3.2642296617623336</v>
      </c>
      <c r="F93" s="172">
        <f t="shared" si="11"/>
        <v>0.74444083461666555</v>
      </c>
      <c r="G93" s="23"/>
      <c r="H93" s="23"/>
      <c r="J93" s="83" t="s">
        <v>138</v>
      </c>
      <c r="K93" s="83"/>
      <c r="L93" s="93" t="s">
        <v>162</v>
      </c>
      <c r="M93" s="1">
        <v>0</v>
      </c>
      <c r="N93" s="88">
        <v>5.14</v>
      </c>
      <c r="O93" s="1">
        <v>21</v>
      </c>
      <c r="P93" s="88">
        <f>'Track Mat Analysis '!AP393</f>
        <v>6.302820323027551</v>
      </c>
      <c r="Q93" s="27">
        <v>0</v>
      </c>
      <c r="R93" s="27">
        <v>75</v>
      </c>
      <c r="S93" s="27">
        <v>50</v>
      </c>
      <c r="T93" s="6"/>
      <c r="U93" s="2"/>
      <c r="V93" s="2"/>
      <c r="W93" s="92">
        <f>R93*N93/2</f>
        <v>192.75</v>
      </c>
      <c r="X93" s="88">
        <v>0.3</v>
      </c>
      <c r="Y93" s="92">
        <f>FLOOR(W93*0.75,1)</f>
        <v>144</v>
      </c>
      <c r="Z93" s="27">
        <v>45</v>
      </c>
      <c r="AA93" s="7"/>
      <c r="AB93" s="7"/>
      <c r="AC93" s="2"/>
      <c r="AD93" s="2"/>
      <c r="AE93" s="2"/>
      <c r="AF93" s="2"/>
      <c r="AG93" s="2"/>
      <c r="AH93" s="2"/>
      <c r="AI93" s="3"/>
      <c r="AJ93" s="3"/>
      <c r="AK93" s="2"/>
    </row>
    <row r="94" spans="1:37" ht="15" thickBot="1">
      <c r="A94" s="646">
        <v>14</v>
      </c>
      <c r="B94" s="647"/>
      <c r="C94" s="647"/>
      <c r="D94" s="172">
        <f t="shared" si="9"/>
        <v>10.370133559060363</v>
      </c>
      <c r="E94" s="172">
        <f t="shared" si="10"/>
        <v>3.5855646894975659</v>
      </c>
      <c r="F94" s="172">
        <f t="shared" si="11"/>
        <v>0.92067817224584958</v>
      </c>
      <c r="G94" s="23"/>
      <c r="H94" s="23"/>
      <c r="J94" s="83" t="s">
        <v>139</v>
      </c>
      <c r="K94" s="84"/>
      <c r="L94" s="93" t="s">
        <v>163</v>
      </c>
      <c r="M94" s="1">
        <v>26</v>
      </c>
      <c r="N94" s="88">
        <f>D108</f>
        <v>25.803342971461241</v>
      </c>
      <c r="O94" s="1">
        <v>19</v>
      </c>
      <c r="P94" s="88">
        <f>'Track Mat Analysis '!AP393</f>
        <v>6.302820323027551</v>
      </c>
      <c r="Q94" s="27">
        <v>28</v>
      </c>
      <c r="R94" s="27">
        <v>0</v>
      </c>
      <c r="S94" s="27">
        <v>25</v>
      </c>
      <c r="T94" s="6"/>
      <c r="U94" s="2"/>
      <c r="V94" s="2"/>
      <c r="W94" s="2">
        <f>((O94*X94*E109)+(0.5*O94*P94*F109))/11</f>
        <v>80.571542922160646</v>
      </c>
      <c r="X94" s="88">
        <v>0.3</v>
      </c>
      <c r="Y94" s="92">
        <f>FLOOR(W94*0.45,1)</f>
        <v>36</v>
      </c>
      <c r="Z94" s="1">
        <v>25</v>
      </c>
      <c r="AA94" s="7"/>
      <c r="AB94" s="7"/>
      <c r="AC94" s="2"/>
      <c r="AD94" s="2"/>
      <c r="AE94" s="2"/>
      <c r="AF94" s="2"/>
      <c r="AG94" s="2"/>
      <c r="AH94" s="2"/>
      <c r="AI94" s="3"/>
      <c r="AJ94" s="3"/>
      <c r="AK94" s="2"/>
    </row>
    <row r="95" spans="1:37" ht="15" thickBot="1">
      <c r="A95" s="646">
        <v>15</v>
      </c>
      <c r="B95" s="647"/>
      <c r="C95" s="647"/>
      <c r="D95" s="172">
        <f t="shared" si="9"/>
        <v>10.976508746649422</v>
      </c>
      <c r="E95" s="172">
        <f t="shared" si="10"/>
        <v>3.9411466543778673</v>
      </c>
      <c r="F95" s="172">
        <f t="shared" si="11"/>
        <v>1.1290004223804015</v>
      </c>
      <c r="G95" s="23"/>
      <c r="H95" s="23"/>
      <c r="J95" s="84" t="s">
        <v>151</v>
      </c>
      <c r="K95" s="83"/>
      <c r="L95" s="93" t="s">
        <v>163</v>
      </c>
      <c r="M95" s="1">
        <v>28</v>
      </c>
      <c r="N95" s="88">
        <f>D110</f>
        <v>30.139627791519086</v>
      </c>
      <c r="O95" s="1">
        <v>20</v>
      </c>
      <c r="P95" s="88">
        <f>'Track Mat Analysis '!AP393</f>
        <v>6.302820323027551</v>
      </c>
      <c r="Q95" s="27">
        <v>30</v>
      </c>
      <c r="R95" s="27">
        <v>0</v>
      </c>
      <c r="S95" s="85" t="s">
        <v>129</v>
      </c>
      <c r="T95" s="6"/>
      <c r="U95" s="2"/>
      <c r="V95" s="2"/>
      <c r="W95" s="2">
        <f>((O95*X95*E110)+(0.5*O95*P95*F110))/16</f>
        <v>68.620949650088136</v>
      </c>
      <c r="X95" s="88">
        <v>0.3</v>
      </c>
      <c r="Y95" s="92">
        <f>FLOOR(W95*0.5,1)</f>
        <v>34</v>
      </c>
      <c r="Z95" s="1">
        <v>27</v>
      </c>
      <c r="AA95" s="7"/>
      <c r="AB95" s="7"/>
      <c r="AC95" s="2"/>
      <c r="AD95" s="2"/>
      <c r="AE95" s="2"/>
      <c r="AF95" s="2"/>
      <c r="AG95" s="2"/>
      <c r="AH95" s="2"/>
      <c r="AI95" s="3"/>
      <c r="AJ95" s="3"/>
      <c r="AK95" s="2"/>
    </row>
    <row r="96" spans="1:37" ht="15" thickBot="1">
      <c r="A96" s="646">
        <v>16</v>
      </c>
      <c r="B96" s="647"/>
      <c r="C96" s="647"/>
      <c r="D96" s="172">
        <f t="shared" si="9"/>
        <v>11.630899831855725</v>
      </c>
      <c r="E96" s="172">
        <f t="shared" si="10"/>
        <v>4.3351068590075243</v>
      </c>
      <c r="F96" s="172">
        <f t="shared" si="11"/>
        <v>1.3746318514447324</v>
      </c>
      <c r="G96" s="23"/>
      <c r="H96" s="23"/>
      <c r="J96" s="83" t="s">
        <v>140</v>
      </c>
      <c r="K96" s="83"/>
      <c r="L96" s="93" t="s">
        <v>163</v>
      </c>
      <c r="M96" s="1">
        <v>30</v>
      </c>
      <c r="N96" s="88">
        <f>D112</f>
        <v>35.490260706898333</v>
      </c>
      <c r="O96" s="1">
        <v>21</v>
      </c>
      <c r="P96" s="88">
        <f>'Track Mat Analysis '!AP393</f>
        <v>6.302820323027551</v>
      </c>
      <c r="Q96" s="27">
        <v>32</v>
      </c>
      <c r="R96" s="27">
        <v>0</v>
      </c>
      <c r="S96" s="85" t="s">
        <v>132</v>
      </c>
      <c r="T96" s="6"/>
      <c r="U96" s="2"/>
      <c r="V96" s="2"/>
      <c r="W96" s="2">
        <f>((O96*X96*E111)+(0.5*O96*P96*F111))/5</f>
        <v>271.70538618189528</v>
      </c>
      <c r="X96" s="88">
        <v>0.3</v>
      </c>
      <c r="Y96" s="92">
        <f>FLOOR(W96*0.5,1)</f>
        <v>135</v>
      </c>
      <c r="Z96" s="1">
        <v>29</v>
      </c>
      <c r="AA96" s="7"/>
      <c r="AB96" s="7"/>
      <c r="AC96" s="2"/>
      <c r="AD96" s="2"/>
      <c r="AE96" s="2"/>
      <c r="AF96" s="2"/>
      <c r="AG96" s="2"/>
      <c r="AH96" s="2"/>
      <c r="AI96" s="3"/>
      <c r="AJ96" s="3"/>
      <c r="AK96" s="2"/>
    </row>
    <row r="97" spans="1:37" ht="15" thickBot="1">
      <c r="A97" s="646">
        <v>17</v>
      </c>
      <c r="B97" s="647"/>
      <c r="C97" s="647"/>
      <c r="D97" s="172">
        <f t="shared" si="9"/>
        <v>12.338142282866452</v>
      </c>
      <c r="E97" s="172">
        <f t="shared" si="10"/>
        <v>4.7721486480746718</v>
      </c>
      <c r="F97" s="172">
        <f t="shared" si="11"/>
        <v>1.663715787221355</v>
      </c>
      <c r="G97" s="23"/>
      <c r="H97" s="23"/>
      <c r="J97" s="83" t="s">
        <v>141</v>
      </c>
      <c r="K97" s="83"/>
      <c r="L97" s="93" t="s">
        <v>163</v>
      </c>
      <c r="M97" s="1">
        <v>32</v>
      </c>
      <c r="N97" s="88">
        <f>D117</f>
        <v>55.629601684001237</v>
      </c>
      <c r="O97" s="1">
        <v>19</v>
      </c>
      <c r="P97" s="88">
        <f>'Track Mat Analysis '!AP393</f>
        <v>6.302820323027551</v>
      </c>
      <c r="Q97" s="27">
        <v>36</v>
      </c>
      <c r="R97" s="27">
        <v>0</v>
      </c>
      <c r="S97" s="85" t="s">
        <v>133</v>
      </c>
      <c r="T97" s="6"/>
      <c r="U97" s="2"/>
      <c r="V97" s="2"/>
      <c r="W97" s="2">
        <f>((O97*X97*E112)+(0.5*O97*P97*F112))/3</f>
        <v>483.58125426016096</v>
      </c>
      <c r="X97" s="88">
        <v>0.3</v>
      </c>
      <c r="Y97" s="92">
        <f>FLOOR(W97*0.55,1)</f>
        <v>265</v>
      </c>
      <c r="Z97" s="1">
        <v>34</v>
      </c>
      <c r="AA97" s="7"/>
      <c r="AB97" s="7"/>
      <c r="AC97" s="2"/>
      <c r="AD97" s="2"/>
      <c r="AE97" s="2"/>
      <c r="AF97" s="2"/>
      <c r="AG97" s="2"/>
      <c r="AH97" s="2"/>
      <c r="AI97" s="3"/>
      <c r="AJ97" s="3"/>
      <c r="AK97" s="2"/>
    </row>
    <row r="98" spans="1:37" ht="15" thickBot="1">
      <c r="A98" s="646">
        <v>18</v>
      </c>
      <c r="B98" s="647"/>
      <c r="C98" s="647"/>
      <c r="D98" s="172">
        <f t="shared" si="9"/>
        <v>13.103661945975086</v>
      </c>
      <c r="E98" s="172">
        <f t="shared" si="10"/>
        <v>5.2576378590249186</v>
      </c>
      <c r="F98" s="172">
        <f t="shared" si="11"/>
        <v>2.0034922987941299</v>
      </c>
      <c r="G98" s="23"/>
      <c r="H98" s="23"/>
      <c r="J98" s="83" t="s">
        <v>142</v>
      </c>
      <c r="K98" s="83"/>
      <c r="L98" s="93" t="s">
        <v>163</v>
      </c>
      <c r="M98" s="1">
        <v>34</v>
      </c>
      <c r="N98" s="89">
        <f>D118</f>
        <v>61.351765699797163</v>
      </c>
      <c r="O98" s="1">
        <v>20</v>
      </c>
      <c r="P98" s="88">
        <f>'Track Mat Analysis '!AP393</f>
        <v>6.302820323027551</v>
      </c>
      <c r="Q98" s="27">
        <v>38</v>
      </c>
      <c r="R98" s="27">
        <v>0</v>
      </c>
      <c r="S98" s="85" t="s">
        <v>134</v>
      </c>
      <c r="T98" s="6"/>
      <c r="U98" s="2"/>
      <c r="V98" s="2"/>
      <c r="W98" s="2">
        <f>((O98*X98*E113)+(0.5*O98*P98*F113))/5</f>
        <v>361.14593035858161</v>
      </c>
      <c r="X98" s="88">
        <v>0.3</v>
      </c>
      <c r="Y98" s="92">
        <f>FLOOR(W98*0.56,1)</f>
        <v>202</v>
      </c>
      <c r="Z98" s="1">
        <v>35</v>
      </c>
    </row>
    <row r="99" spans="1:37" ht="15" thickBot="1">
      <c r="A99" s="646">
        <v>19</v>
      </c>
      <c r="B99" s="647"/>
      <c r="C99" s="647"/>
      <c r="D99" s="172">
        <f t="shared" si="9"/>
        <v>13.933559962591445</v>
      </c>
      <c r="E99" s="172">
        <f t="shared" si="10"/>
        <v>5.7977094465475503</v>
      </c>
      <c r="F99" s="172">
        <f t="shared" si="11"/>
        <v>2.4025139254442744</v>
      </c>
      <c r="J99" s="83" t="s">
        <v>143</v>
      </c>
      <c r="K99" s="83"/>
      <c r="L99" s="93" t="s">
        <v>163</v>
      </c>
      <c r="M99" s="1">
        <v>38</v>
      </c>
      <c r="N99" s="88">
        <f>D118</f>
        <v>61.351765699797163</v>
      </c>
      <c r="O99" s="28">
        <v>19</v>
      </c>
      <c r="P99" s="88">
        <f>'Track Mat Analysis '!AP393</f>
        <v>6.302820323027551</v>
      </c>
      <c r="Q99" s="27">
        <v>38</v>
      </c>
      <c r="R99" s="27">
        <v>0</v>
      </c>
      <c r="S99" s="85" t="s">
        <v>135</v>
      </c>
      <c r="W99" s="2">
        <f>((O99*X99*E114)+(0.5*O99*P99*F114))/4</f>
        <v>508.17556913427279</v>
      </c>
      <c r="X99" s="88">
        <v>0.3</v>
      </c>
      <c r="Y99" s="92">
        <f>FLOOR(W99*0.58,1)</f>
        <v>294</v>
      </c>
      <c r="Z99" s="1">
        <v>38</v>
      </c>
    </row>
    <row r="100" spans="1:37" ht="15" thickBot="1">
      <c r="A100" s="646">
        <v>20</v>
      </c>
      <c r="B100" s="647"/>
      <c r="C100" s="647"/>
      <c r="D100" s="172">
        <f t="shared" si="9"/>
        <v>14.834711777931204</v>
      </c>
      <c r="E100" s="172">
        <f t="shared" si="10"/>
        <v>6.3993935210852113</v>
      </c>
      <c r="F100" s="172">
        <f t="shared" si="11"/>
        <v>2.8709084604128883</v>
      </c>
      <c r="J100" s="83" t="s">
        <v>144</v>
      </c>
      <c r="L100" s="93" t="s">
        <v>163</v>
      </c>
      <c r="M100" s="1">
        <v>40</v>
      </c>
      <c r="N100" s="88">
        <f>D120</f>
        <v>75.31311424878254</v>
      </c>
      <c r="O100" s="28">
        <v>18</v>
      </c>
      <c r="P100" s="88">
        <f>'Track Mat Analysis '!AP393</f>
        <v>6.302820323027551</v>
      </c>
      <c r="Q100" s="27">
        <v>40</v>
      </c>
      <c r="R100" s="27">
        <v>0</v>
      </c>
      <c r="S100" s="85" t="s">
        <v>136</v>
      </c>
      <c r="W100" s="2">
        <f>((O100*X100*E115)+(0.5*O100*P100*F115))/3</f>
        <v>762.42773292795312</v>
      </c>
      <c r="X100" s="88">
        <v>0.3</v>
      </c>
      <c r="Y100" s="92">
        <f>FLOOR(W100*0.9,1)</f>
        <v>686</v>
      </c>
      <c r="Z100" s="1">
        <v>40</v>
      </c>
    </row>
    <row r="101" spans="1:37" ht="15" thickBot="1">
      <c r="A101" s="646">
        <v>21</v>
      </c>
      <c r="B101" s="647"/>
      <c r="C101" s="647"/>
      <c r="D101" s="172">
        <f t="shared" si="9"/>
        <v>15.814882898147523</v>
      </c>
      <c r="E101" s="172">
        <f t="shared" si="10"/>
        <v>7.0707647628954984</v>
      </c>
      <c r="F101" s="172">
        <f t="shared" si="11"/>
        <v>3.4207001443056759</v>
      </c>
    </row>
    <row r="102" spans="1:37" ht="15" thickBot="1">
      <c r="A102" s="646">
        <v>22</v>
      </c>
      <c r="B102" s="647"/>
      <c r="C102" s="647"/>
      <c r="D102" s="172">
        <f t="shared" si="9"/>
        <v>16.882864615009822</v>
      </c>
      <c r="E102" s="172">
        <f t="shared" si="10"/>
        <v>7.8211200716883358</v>
      </c>
      <c r="F102" s="172">
        <f t="shared" si="11"/>
        <v>4.0662036442143537</v>
      </c>
    </row>
    <row r="103" spans="1:37" ht="15" thickBot="1">
      <c r="A103" s="646">
        <v>23</v>
      </c>
      <c r="B103" s="647"/>
      <c r="C103" s="647"/>
      <c r="D103" s="172">
        <f t="shared" si="9"/>
        <v>18.048633611955108</v>
      </c>
      <c r="E103" s="172">
        <f t="shared" si="10"/>
        <v>8.6611904352691393</v>
      </c>
      <c r="F103" s="172">
        <f t="shared" si="11"/>
        <v>4.8245090989064776</v>
      </c>
      <c r="J103" s="21">
        <v>2</v>
      </c>
    </row>
    <row r="104" spans="1:37" ht="15" thickBot="1">
      <c r="A104" s="646">
        <v>24</v>
      </c>
      <c r="B104" s="647"/>
      <c r="C104" s="647"/>
      <c r="D104" s="172">
        <f t="shared" si="9"/>
        <v>19.323540226828349</v>
      </c>
      <c r="E104" s="172">
        <f t="shared" si="10"/>
        <v>9.6033944106973994</v>
      </c>
      <c r="F104" s="172">
        <f t="shared" si="11"/>
        <v>5.7160815800883809</v>
      </c>
      <c r="J104" s="21">
        <v>3</v>
      </c>
    </row>
    <row r="105" spans="1:37" ht="15" thickBot="1">
      <c r="A105" s="646">
        <v>25</v>
      </c>
      <c r="B105" s="647"/>
      <c r="C105" s="647"/>
      <c r="D105" s="172">
        <f t="shared" si="9"/>
        <v>20.720531219083686</v>
      </c>
      <c r="E105" s="172">
        <f t="shared" si="10"/>
        <v>10.662142388498451</v>
      </c>
      <c r="F105" s="172">
        <f t="shared" si="11"/>
        <v>6.765504935682185</v>
      </c>
      <c r="J105" s="21">
        <v>4</v>
      </c>
    </row>
    <row r="106" spans="1:37" ht="15" thickBot="1">
      <c r="A106" s="646">
        <v>26</v>
      </c>
      <c r="B106" s="647"/>
      <c r="C106" s="647"/>
      <c r="D106" s="172">
        <f t="shared" si="9"/>
        <v>22.2544142296783</v>
      </c>
      <c r="E106" s="172">
        <f t="shared" si="10"/>
        <v>11.854203059257939</v>
      </c>
      <c r="F106" s="172">
        <f t="shared" si="11"/>
        <v>8.0024086600671929</v>
      </c>
      <c r="J106" s="21">
        <v>5</v>
      </c>
    </row>
    <row r="107" spans="1:37" ht="15" thickBot="1">
      <c r="A107" s="646">
        <v>27</v>
      </c>
      <c r="B107" s="647"/>
      <c r="C107" s="647"/>
      <c r="D107" s="172">
        <f t="shared" si="9"/>
        <v>23.942172804316812</v>
      </c>
      <c r="E107" s="172">
        <f t="shared" si="10"/>
        <v>13.199146359992811</v>
      </c>
      <c r="F107" s="172">
        <f t="shared" si="11"/>
        <v>9.4626278837418898</v>
      </c>
    </row>
    <row r="108" spans="1:37" ht="15" thickBot="1">
      <c r="A108" s="646">
        <v>28</v>
      </c>
      <c r="B108" s="647"/>
      <c r="C108" s="647"/>
      <c r="D108" s="172">
        <f t="shared" si="9"/>
        <v>25.803342971461241</v>
      </c>
      <c r="E108" s="172">
        <f t="shared" si="10"/>
        <v>14.719880826321869</v>
      </c>
      <c r="F108" s="172">
        <f t="shared" si="11"/>
        <v>11.189661759908583</v>
      </c>
    </row>
    <row r="109" spans="1:37" ht="15" thickBot="1">
      <c r="A109" s="646">
        <v>29</v>
      </c>
      <c r="B109" s="647"/>
      <c r="C109" s="647"/>
      <c r="D109" s="172">
        <f t="shared" si="9"/>
        <v>27.860465051779418</v>
      </c>
      <c r="E109" s="172">
        <f t="shared" si="10"/>
        <v>16.443307955884869</v>
      </c>
      <c r="F109" s="172">
        <f t="shared" si="11"/>
        <v>13.236515788096026</v>
      </c>
      <c r="J109" s="21">
        <v>12</v>
      </c>
    </row>
    <row r="110" spans="1:37" ht="15" thickBot="1">
      <c r="A110" s="646">
        <v>30</v>
      </c>
      <c r="B110" s="647"/>
      <c r="C110" s="647"/>
      <c r="D110" s="172">
        <f t="shared" si="9"/>
        <v>30.139627791519086</v>
      </c>
      <c r="E110" s="172">
        <f t="shared" si="10"/>
        <v>18.401122218708668</v>
      </c>
      <c r="F110" s="172">
        <f t="shared" si="11"/>
        <v>15.668040821046286</v>
      </c>
      <c r="J110" s="108">
        <v>30</v>
      </c>
    </row>
    <row r="111" spans="1:37" ht="15" thickBot="1">
      <c r="A111" s="646">
        <v>31</v>
      </c>
      <c r="B111" s="647"/>
      <c r="C111" s="647"/>
      <c r="D111" s="172">
        <f t="shared" si="9"/>
        <v>32.671126278359431</v>
      </c>
      <c r="E111" s="172">
        <f t="shared" si="10"/>
        <v>20.630793159942641</v>
      </c>
      <c r="F111" s="172">
        <f t="shared" si="11"/>
        <v>18.563918267831117</v>
      </c>
      <c r="J111" s="21">
        <v>45</v>
      </c>
    </row>
    <row r="112" spans="1:37" ht="15" thickBot="1">
      <c r="A112" s="646">
        <v>32</v>
      </c>
      <c r="B112" s="647"/>
      <c r="C112" s="647"/>
      <c r="D112" s="172">
        <f t="shared" si="9"/>
        <v>35.490260706898333</v>
      </c>
      <c r="E112" s="172">
        <f t="shared" si="10"/>
        <v>23.176776207012633</v>
      </c>
      <c r="F112" s="172">
        <f t="shared" si="11"/>
        <v>22.022491032313741</v>
      </c>
      <c r="J112" s="21">
        <v>60</v>
      </c>
    </row>
    <row r="113" spans="1:6" ht="15" thickBot="1">
      <c r="A113" s="646">
        <v>33</v>
      </c>
      <c r="B113" s="647"/>
      <c r="C113" s="647"/>
      <c r="D113" s="172">
        <f t="shared" si="9"/>
        <v>38.638310303168126</v>
      </c>
      <c r="E113" s="172">
        <f t="shared" si="10"/>
        <v>26.092012099198989</v>
      </c>
      <c r="F113" s="172">
        <f t="shared" si="11"/>
        <v>26.165708280980059</v>
      </c>
    </row>
    <row r="114" spans="1:6" ht="15" thickBot="1">
      <c r="A114" s="646">
        <v>34</v>
      </c>
      <c r="B114" s="647"/>
      <c r="C114" s="647"/>
      <c r="D114" s="172">
        <f t="shared" si="9"/>
        <v>42.163726119839886</v>
      </c>
      <c r="E114" s="172">
        <f t="shared" si="10"/>
        <v>29.439792369643488</v>
      </c>
      <c r="F114" s="172">
        <f t="shared" si="11"/>
        <v>31.145546787859889</v>
      </c>
    </row>
    <row r="115" spans="1:6" ht="15" thickBot="1">
      <c r="A115" s="646">
        <v>35</v>
      </c>
      <c r="B115" s="647"/>
      <c r="C115" s="647"/>
      <c r="D115" s="172">
        <f t="shared" si="9"/>
        <v>46.123598689020689</v>
      </c>
      <c r="E115" s="172">
        <f t="shared" si="10"/>
        <v>33.296091491411772</v>
      </c>
      <c r="F115" s="172">
        <f t="shared" si="11"/>
        <v>37.152403328439355</v>
      </c>
    </row>
    <row r="116" spans="1:6" ht="15" thickBot="1">
      <c r="A116" s="646">
        <v>36</v>
      </c>
      <c r="B116" s="647"/>
      <c r="C116" s="647"/>
      <c r="D116" s="172">
        <f t="shared" si="9"/>
        <v>50.585472639551462</v>
      </c>
      <c r="E116" s="172">
        <f t="shared" si="10"/>
        <v>37.752497171885736</v>
      </c>
      <c r="F116" s="172">
        <f t="shared" si="11"/>
        <v>44.42613743982627</v>
      </c>
    </row>
    <row r="117" spans="1:6" ht="15" thickBot="1">
      <c r="A117" s="646">
        <v>37</v>
      </c>
      <c r="B117" s="647"/>
      <c r="C117" s="647"/>
      <c r="D117" s="172">
        <f t="shared" si="9"/>
        <v>55.629601684001237</v>
      </c>
      <c r="E117" s="172">
        <f t="shared" si="10"/>
        <v>42.919911654584354</v>
      </c>
      <c r="F117" s="172">
        <f t="shared" si="11"/>
        <v>53.270705544047175</v>
      </c>
    </row>
    <row r="118" spans="1:6" ht="15" thickBot="1">
      <c r="A118" s="646">
        <v>38</v>
      </c>
      <c r="B118" s="647"/>
      <c r="C118" s="647"/>
      <c r="D118" s="172">
        <f t="shared" si="9"/>
        <v>61.351765699797163</v>
      </c>
      <c r="E118" s="172">
        <f t="shared" si="10"/>
        <v>48.933252702059363</v>
      </c>
      <c r="F118" s="172">
        <f t="shared" si="11"/>
        <v>64.073701345429427</v>
      </c>
    </row>
    <row r="119" spans="1:6" ht="15" thickBot="1">
      <c r="A119" s="646">
        <v>39</v>
      </c>
      <c r="B119" s="647"/>
      <c r="C119" s="647"/>
      <c r="D119" s="172">
        <f t="shared" si="9"/>
        <v>67.866809533955191</v>
      </c>
      <c r="E119" s="172">
        <f t="shared" si="10"/>
        <v>55.957458744483588</v>
      </c>
      <c r="F119" s="172">
        <f t="shared" si="11"/>
        <v>77.332656996374098</v>
      </c>
    </row>
    <row r="120" spans="1:6" ht="15" thickBot="1">
      <c r="A120" s="646">
        <v>40</v>
      </c>
      <c r="B120" s="647"/>
      <c r="C120" s="647"/>
      <c r="D120" s="172">
        <f t="shared" si="9"/>
        <v>75.31311424878254</v>
      </c>
      <c r="E120" s="172">
        <f t="shared" si="10"/>
        <v>64.195206388965772</v>
      </c>
      <c r="F120" s="172">
        <f t="shared" si="11"/>
        <v>93.690746389387613</v>
      </c>
    </row>
    <row r="121" spans="1:6" ht="15" thickBot="1">
      <c r="A121" s="646">
        <v>41</v>
      </c>
      <c r="B121" s="647"/>
      <c r="C121" s="647"/>
      <c r="D121" s="172">
        <f t="shared" si="9"/>
        <v>83.858280881683598</v>
      </c>
      <c r="E121" s="172">
        <f t="shared" si="10"/>
        <v>73.89689142651558</v>
      </c>
      <c r="F121" s="172">
        <f t="shared" si="11"/>
        <v>113.98569229371921</v>
      </c>
    </row>
    <row r="122" spans="1:6" ht="15" thickBot="1">
      <c r="A122" s="646">
        <v>42</v>
      </c>
      <c r="B122" s="647"/>
      <c r="C122" s="647"/>
      <c r="D122" s="172">
        <f t="shared" si="9"/>
        <v>93.706401663749205</v>
      </c>
      <c r="E122" s="172">
        <f t="shared" si="10"/>
        <v>85.373623034637617</v>
      </c>
      <c r="F122" s="172">
        <f t="shared" si="11"/>
        <v>139.31741074933166</v>
      </c>
    </row>
    <row r="123" spans="1:6" ht="15" thickBot="1">
      <c r="A123" s="646">
        <v>43</v>
      </c>
      <c r="B123" s="647"/>
      <c r="C123" s="647"/>
      <c r="D123" s="172">
        <f t="shared" si="9"/>
        <v>105.10742444987248</v>
      </c>
      <c r="E123" s="172">
        <f t="shared" si="10"/>
        <v>99.01425896458062</v>
      </c>
      <c r="F123" s="172">
        <f t="shared" si="11"/>
        <v>171.14254374849017</v>
      </c>
    </row>
    <row r="124" spans="1:6" ht="15" thickBot="1">
      <c r="A124" s="646">
        <v>44</v>
      </c>
      <c r="B124" s="647"/>
      <c r="C124" s="647"/>
      <c r="D124" s="172">
        <f t="shared" si="9"/>
        <v>118.36929797653102</v>
      </c>
      <c r="E124" s="172">
        <f t="shared" si="10"/>
        <v>115.30790233772969</v>
      </c>
      <c r="F124" s="172">
        <f t="shared" si="11"/>
        <v>211.40804282295002</v>
      </c>
    </row>
    <row r="125" spans="1:6" ht="15" thickBot="1">
      <c r="A125" s="646">
        <v>45</v>
      </c>
      <c r="B125" s="647"/>
      <c r="C125" s="647"/>
      <c r="D125" s="172">
        <f t="shared" si="9"/>
        <v>133.87384062630497</v>
      </c>
      <c r="E125" s="172">
        <f t="shared" si="10"/>
        <v>134.87384062630494</v>
      </c>
      <c r="F125" s="172">
        <f t="shared" si="11"/>
        <v>262.74220602550827</v>
      </c>
    </row>
    <row r="126" spans="1:6" ht="15" thickBot="1">
      <c r="A126" s="646">
        <v>46</v>
      </c>
      <c r="B126" s="647"/>
      <c r="C126" s="647"/>
      <c r="D126" s="172">
        <f t="shared" si="9"/>
        <v>152.09763639975787</v>
      </c>
      <c r="E126" s="172">
        <f t="shared" si="10"/>
        <v>158.50171314784524</v>
      </c>
      <c r="F126" s="172">
        <f t="shared" si="11"/>
        <v>328.7314341541715</v>
      </c>
    </row>
    <row r="127" spans="1:6" ht="15" thickBot="1">
      <c r="A127" s="646">
        <v>47</v>
      </c>
      <c r="B127" s="647"/>
      <c r="C127" s="647"/>
      <c r="D127" s="172">
        <f t="shared" si="9"/>
        <v>173.63977774749006</v>
      </c>
      <c r="E127" s="172">
        <f t="shared" si="10"/>
        <v>187.20586447204849</v>
      </c>
      <c r="F127" s="172">
        <f t="shared" si="11"/>
        <v>414.32683873003356</v>
      </c>
    </row>
    <row r="128" spans="1:6" ht="15" thickBot="1">
      <c r="A128" s="646">
        <v>48</v>
      </c>
      <c r="B128" s="647"/>
      <c r="C128" s="647"/>
      <c r="D128" s="172">
        <f t="shared" si="9"/>
        <v>199.25901981739622</v>
      </c>
      <c r="E128" s="172">
        <f t="shared" si="10"/>
        <v>222.29956110179842</v>
      </c>
      <c r="F128" s="172">
        <f t="shared" si="11"/>
        <v>526.45085249408714</v>
      </c>
    </row>
    <row r="129" spans="1:71" ht="15" thickBot="1">
      <c r="A129" s="646">
        <v>49</v>
      </c>
      <c r="B129" s="647"/>
      <c r="C129" s="647"/>
      <c r="D129" s="172">
        <f t="shared" si="9"/>
        <v>229.92399770604433</v>
      </c>
      <c r="E129" s="172">
        <f t="shared" si="10"/>
        <v>265.49730302298923</v>
      </c>
      <c r="F129" s="172">
        <f t="shared" si="11"/>
        <v>674.9175689721111</v>
      </c>
    </row>
    <row r="130" spans="1:71" ht="15" thickBot="1">
      <c r="A130" s="646">
        <v>50</v>
      </c>
      <c r="B130" s="647"/>
      <c r="C130" s="647"/>
      <c r="D130" s="172">
        <f t="shared" si="9"/>
        <v>266.88176266018797</v>
      </c>
      <c r="E130" s="172">
        <f t="shared" si="10"/>
        <v>319.05729944815431</v>
      </c>
      <c r="F130" s="172">
        <f t="shared" si="11"/>
        <v>873.85524832652084</v>
      </c>
    </row>
    <row r="135" spans="1:71">
      <c r="A135" s="99" t="s">
        <v>176</v>
      </c>
      <c r="B135" s="97">
        <v>0.5</v>
      </c>
      <c r="C135" s="97">
        <v>0.6</v>
      </c>
      <c r="D135" s="97">
        <v>0.7</v>
      </c>
      <c r="E135" s="97">
        <v>0.8</v>
      </c>
      <c r="F135" s="97">
        <v>0.9</v>
      </c>
      <c r="G135" s="97">
        <v>1</v>
      </c>
      <c r="H135" s="97">
        <v>1.1000000000000001</v>
      </c>
      <c r="I135" s="97">
        <v>1.2</v>
      </c>
      <c r="J135" s="97">
        <v>1.3</v>
      </c>
      <c r="K135" s="97">
        <v>1.4</v>
      </c>
      <c r="L135" s="97">
        <v>1.5</v>
      </c>
      <c r="M135" s="97">
        <v>1.6</v>
      </c>
      <c r="N135" s="97">
        <v>1.7</v>
      </c>
      <c r="O135" s="97">
        <v>1.8</v>
      </c>
      <c r="P135" s="97">
        <v>1.9</v>
      </c>
      <c r="Q135" s="97">
        <v>2</v>
      </c>
      <c r="R135" s="97">
        <v>2.2000000000000002</v>
      </c>
      <c r="S135" s="97">
        <v>2.4</v>
      </c>
      <c r="T135" s="97">
        <v>2.6</v>
      </c>
      <c r="U135" s="97">
        <v>2.8</v>
      </c>
      <c r="V135" s="97">
        <v>3</v>
      </c>
      <c r="W135" s="97">
        <v>3.2</v>
      </c>
      <c r="X135" s="97">
        <v>3.4</v>
      </c>
      <c r="Y135" s="97">
        <v>3.6</v>
      </c>
      <c r="Z135" s="98">
        <v>3.8</v>
      </c>
      <c r="AA135" s="97">
        <v>4</v>
      </c>
      <c r="AB135" s="97">
        <v>4.5</v>
      </c>
      <c r="AC135" s="97">
        <v>5</v>
      </c>
      <c r="AD135" s="97">
        <v>5.5</v>
      </c>
      <c r="AE135" s="97">
        <v>6</v>
      </c>
      <c r="AF135" s="97">
        <v>6.5</v>
      </c>
      <c r="AG135" s="97">
        <v>7</v>
      </c>
      <c r="AH135" s="97">
        <v>8</v>
      </c>
      <c r="AI135" s="97">
        <v>9</v>
      </c>
      <c r="AJ135" s="97">
        <v>10</v>
      </c>
    </row>
    <row r="136" spans="1:71">
      <c r="A136" s="100" t="s">
        <v>174</v>
      </c>
      <c r="B136" s="81" t="s">
        <v>118</v>
      </c>
      <c r="C136" s="69">
        <v>144</v>
      </c>
      <c r="D136" s="69">
        <v>120</v>
      </c>
      <c r="E136" s="69">
        <v>101</v>
      </c>
      <c r="F136" s="69">
        <v>86</v>
      </c>
      <c r="G136" s="69">
        <v>74</v>
      </c>
      <c r="H136" s="69">
        <v>67</v>
      </c>
      <c r="I136" s="69">
        <v>62</v>
      </c>
      <c r="J136" s="69">
        <v>58</v>
      </c>
      <c r="K136" s="69">
        <v>54</v>
      </c>
      <c r="L136" s="69">
        <v>51</v>
      </c>
      <c r="M136" s="69">
        <v>48</v>
      </c>
      <c r="N136" s="69">
        <v>45</v>
      </c>
      <c r="O136" s="69">
        <v>43</v>
      </c>
      <c r="P136" s="69">
        <v>41</v>
      </c>
      <c r="Q136" s="69">
        <v>39</v>
      </c>
      <c r="R136" s="69">
        <v>35</v>
      </c>
      <c r="S136" s="69">
        <v>33</v>
      </c>
      <c r="T136" s="69">
        <v>31</v>
      </c>
      <c r="U136" s="69">
        <v>29</v>
      </c>
      <c r="V136" s="69">
        <v>27</v>
      </c>
      <c r="W136" s="69">
        <v>26</v>
      </c>
      <c r="X136" s="69">
        <v>24</v>
      </c>
      <c r="Y136" s="69">
        <v>23</v>
      </c>
      <c r="Z136" s="69">
        <v>22</v>
      </c>
      <c r="AA136" s="69">
        <v>21</v>
      </c>
      <c r="AB136" s="69">
        <v>19</v>
      </c>
      <c r="AC136" s="69">
        <v>17</v>
      </c>
      <c r="AD136" s="69">
        <v>16</v>
      </c>
      <c r="AE136" s="69">
        <v>15</v>
      </c>
      <c r="AF136" s="69">
        <v>14</v>
      </c>
      <c r="AG136" s="69">
        <v>13</v>
      </c>
      <c r="AH136" s="69">
        <v>12</v>
      </c>
      <c r="AI136" s="69">
        <v>11</v>
      </c>
      <c r="AJ136" s="69">
        <v>10</v>
      </c>
      <c r="AK136" s="97"/>
      <c r="AL136" s="87"/>
      <c r="AM136" s="87"/>
      <c r="AN136" s="87"/>
      <c r="AO136" s="87"/>
      <c r="AP136" s="87"/>
      <c r="AQ136" s="87"/>
      <c r="AR136" s="87"/>
      <c r="AS136" s="87"/>
      <c r="AT136" s="87"/>
      <c r="AU136" s="87"/>
      <c r="AV136" s="87"/>
      <c r="AW136" s="87"/>
      <c r="AX136" s="87"/>
      <c r="AY136" s="87"/>
      <c r="AZ136" s="87"/>
      <c r="BA136" s="87"/>
      <c r="BB136" s="87"/>
      <c r="BC136" s="87"/>
      <c r="BD136" s="87"/>
      <c r="BE136" s="87"/>
      <c r="BF136" s="87"/>
      <c r="BG136" s="87"/>
      <c r="BH136" s="87"/>
      <c r="BI136" s="87"/>
      <c r="BJ136" s="87"/>
      <c r="BK136" s="87"/>
      <c r="BL136" s="87"/>
      <c r="BM136" s="87"/>
      <c r="BN136" s="87"/>
      <c r="BO136" s="87"/>
      <c r="BP136" s="87"/>
      <c r="BQ136" s="87"/>
      <c r="BR136" s="87"/>
      <c r="BS136" s="87"/>
    </row>
    <row r="137" spans="1:71">
      <c r="A137" s="100" t="s">
        <v>175</v>
      </c>
      <c r="B137" s="69">
        <v>85</v>
      </c>
      <c r="C137" s="69">
        <v>70</v>
      </c>
      <c r="D137" s="69">
        <v>58</v>
      </c>
      <c r="E137" s="69">
        <v>49</v>
      </c>
      <c r="F137" s="69">
        <v>42</v>
      </c>
      <c r="G137" s="69">
        <v>36</v>
      </c>
      <c r="H137" s="69">
        <v>32</v>
      </c>
      <c r="I137" s="69">
        <v>28</v>
      </c>
      <c r="J137" s="69">
        <v>25</v>
      </c>
      <c r="K137" s="69">
        <v>22</v>
      </c>
      <c r="L137" s="69">
        <v>20</v>
      </c>
      <c r="M137" s="69">
        <v>18</v>
      </c>
      <c r="N137" s="69">
        <v>16</v>
      </c>
      <c r="O137" s="69">
        <v>15</v>
      </c>
      <c r="P137" s="69">
        <v>13</v>
      </c>
      <c r="Q137" s="69">
        <v>12</v>
      </c>
      <c r="R137" s="69">
        <v>10</v>
      </c>
      <c r="S137" s="69">
        <v>9</v>
      </c>
      <c r="T137" s="69">
        <v>7.7</v>
      </c>
      <c r="U137" s="69">
        <v>6.7</v>
      </c>
      <c r="V137" s="69">
        <v>5.9</v>
      </c>
      <c r="W137" s="69">
        <v>5.2</v>
      </c>
      <c r="X137" s="69">
        <v>4.7</v>
      </c>
      <c r="Y137" s="69">
        <v>4.2</v>
      </c>
      <c r="Z137" s="69">
        <v>3.8</v>
      </c>
      <c r="AA137" s="69">
        <v>3.4</v>
      </c>
      <c r="AB137" s="69">
        <v>2.7</v>
      </c>
      <c r="AC137" s="69">
        <v>2.2000000000000002</v>
      </c>
      <c r="AD137" s="69">
        <v>1.9</v>
      </c>
      <c r="AE137" s="69">
        <v>1.6</v>
      </c>
      <c r="AF137" s="69">
        <v>1.3</v>
      </c>
      <c r="AG137" s="69">
        <v>1.2</v>
      </c>
      <c r="AH137" s="69">
        <v>0.9</v>
      </c>
      <c r="AI137" s="69">
        <v>0.7</v>
      </c>
      <c r="AJ137" s="69">
        <v>0.6</v>
      </c>
      <c r="AK137" s="98"/>
    </row>
    <row r="138" spans="1:71">
      <c r="A138" s="23"/>
      <c r="B138" s="69"/>
      <c r="C138" s="69"/>
      <c r="D138" s="69"/>
      <c r="E138" s="69"/>
      <c r="F138" s="69"/>
      <c r="G138" s="69"/>
      <c r="H138" s="69"/>
      <c r="I138" s="69"/>
      <c r="J138" s="69"/>
      <c r="K138" s="69"/>
      <c r="L138" s="69"/>
      <c r="M138" s="69"/>
      <c r="N138" s="69"/>
      <c r="O138" s="69"/>
      <c r="P138" s="69"/>
      <c r="Q138" s="69"/>
      <c r="R138" s="69"/>
      <c r="S138" s="69"/>
      <c r="T138" s="69"/>
      <c r="U138" s="69"/>
      <c r="V138" s="69"/>
      <c r="W138" s="69"/>
      <c r="X138" s="69"/>
      <c r="Y138" s="69"/>
      <c r="Z138" s="69"/>
      <c r="AA138" s="69"/>
      <c r="AB138" s="69"/>
      <c r="AC138" s="69"/>
      <c r="AD138" s="69"/>
      <c r="AE138" s="69"/>
      <c r="AF138" s="69"/>
      <c r="AG138" s="69"/>
      <c r="AH138" s="69"/>
      <c r="AI138" s="69"/>
      <c r="AJ138" s="69"/>
      <c r="AK138" s="98"/>
    </row>
  </sheetData>
  <mergeCells count="60">
    <mergeCell ref="A130:C130"/>
    <mergeCell ref="A128:C128"/>
    <mergeCell ref="A129:C129"/>
    <mergeCell ref="A126:C126"/>
    <mergeCell ref="A127:C127"/>
    <mergeCell ref="A124:C124"/>
    <mergeCell ref="A125:C125"/>
    <mergeCell ref="A122:C122"/>
    <mergeCell ref="A123:C123"/>
    <mergeCell ref="A120:C120"/>
    <mergeCell ref="A121:C121"/>
    <mergeCell ref="A118:C118"/>
    <mergeCell ref="A119:C119"/>
    <mergeCell ref="A116:C116"/>
    <mergeCell ref="A117:C117"/>
    <mergeCell ref="A114:C114"/>
    <mergeCell ref="A115:C115"/>
    <mergeCell ref="A112:C112"/>
    <mergeCell ref="A113:C113"/>
    <mergeCell ref="A110:C110"/>
    <mergeCell ref="A111:C111"/>
    <mergeCell ref="A108:C108"/>
    <mergeCell ref="A109:C109"/>
    <mergeCell ref="A106:C106"/>
    <mergeCell ref="A107:C107"/>
    <mergeCell ref="A104:C104"/>
    <mergeCell ref="A105:C105"/>
    <mergeCell ref="A102:C102"/>
    <mergeCell ref="A103:C103"/>
    <mergeCell ref="A100:C100"/>
    <mergeCell ref="A101:C101"/>
    <mergeCell ref="A98:C98"/>
    <mergeCell ref="A99:C99"/>
    <mergeCell ref="A96:C96"/>
    <mergeCell ref="A97:C97"/>
    <mergeCell ref="A94:C94"/>
    <mergeCell ref="A95:C95"/>
    <mergeCell ref="A92:C92"/>
    <mergeCell ref="A93:C93"/>
    <mergeCell ref="A90:C90"/>
    <mergeCell ref="A91:C91"/>
    <mergeCell ref="A88:C88"/>
    <mergeCell ref="A89:C89"/>
    <mergeCell ref="A86:C86"/>
    <mergeCell ref="A87:C87"/>
    <mergeCell ref="A84:C84"/>
    <mergeCell ref="A85:C85"/>
    <mergeCell ref="A82:C82"/>
    <mergeCell ref="A83:C83"/>
    <mergeCell ref="A80:C80"/>
    <mergeCell ref="A81:C81"/>
    <mergeCell ref="A78:C78"/>
    <mergeCell ref="A79:C79"/>
    <mergeCell ref="B25:D25"/>
    <mergeCell ref="D78:F78"/>
    <mergeCell ref="S3:Z3"/>
    <mergeCell ref="S4:Z4"/>
    <mergeCell ref="E13:F13"/>
    <mergeCell ref="B15:E15"/>
    <mergeCell ref="B24:D24"/>
  </mergeCells>
  <phoneticPr fontId="24"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52D24BB5044440BF32875342C34694" ma:contentTypeVersion="16" ma:contentTypeDescription="Create a new document." ma:contentTypeScope="" ma:versionID="fae2410b496c2e677cb8d43ba9e914ba">
  <xsd:schema xmlns:xsd="http://www.w3.org/2001/XMLSchema" xmlns:xs="http://www.w3.org/2001/XMLSchema" xmlns:p="http://schemas.microsoft.com/office/2006/metadata/properties" xmlns:ns2="b3f48be1-0053-4054-a91b-08dc13f97cb6" xmlns:ns3="aa9840c7-d857-4b16-a26d-de72726e38fc" targetNamespace="http://schemas.microsoft.com/office/2006/metadata/properties" ma:root="true" ma:fieldsID="32989e275e9f286e6ce30a2b4f3cba0e" ns2:_="" ns3:_="">
    <xsd:import namespace="b3f48be1-0053-4054-a91b-08dc13f97cb6"/>
    <xsd:import namespace="aa9840c7-d857-4b16-a26d-de72726e38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LengthInSeconds" minOccurs="0"/>
                <xsd:element ref="ns3:MediaServiceDateTaken" minOccurs="0"/>
                <xsd:element ref="ns3:lcf76f155ced4ddcb4097134ff3c332f" minOccurs="0"/>
                <xsd:element ref="ns2:TaxCatchAll" minOccurs="0"/>
                <xsd:element ref="ns3:MediaServiceGenerationTime" minOccurs="0"/>
                <xsd:element ref="ns3:MediaServiceEventHashCode" minOccurs="0"/>
                <xsd:element ref="ns3:MediaServiceOCR" minOccurs="0"/>
                <xsd:element ref="ns3:MediaServiceLocation"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f48be1-0053-4054-a91b-08dc13f97cb6"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1f1e6051-e215-425a-b8db-77a9bca6e6f5}" ma:internalName="TaxCatchAll" ma:showField="CatchAllData" ma:web="b3f48be1-0053-4054-a91b-08dc13f97cb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a9840c7-d857-4b16-a26d-de72726e38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LengthInSeconds" ma:index="12" nillable="true" ma:displayName="MediaLengthInSeconds" ma:hidden="true" ma:internalName="MediaLengthInSeconds" ma:readOnly="true">
      <xsd:simpleType>
        <xsd:restriction base="dms:Unknown"/>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2d9aca63-79a7-4855-9e00-1d522562dbfc"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a9840c7-d857-4b16-a26d-de72726e38fc">
      <Terms xmlns="http://schemas.microsoft.com/office/infopath/2007/PartnerControls"/>
    </lcf76f155ced4ddcb4097134ff3c332f>
    <TaxCatchAll xmlns="b3f48be1-0053-4054-a91b-08dc13f97cb6" xsi:nil="true"/>
  </documentManagement>
</p:properties>
</file>

<file path=customXml/itemProps1.xml><?xml version="1.0" encoding="utf-8"?>
<ds:datastoreItem xmlns:ds="http://schemas.openxmlformats.org/officeDocument/2006/customXml" ds:itemID="{B64106EF-778F-472A-9B0E-61617CA17F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3f48be1-0053-4054-a91b-08dc13f97cb6"/>
    <ds:schemaRef ds:uri="aa9840c7-d857-4b16-a26d-de72726e38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2A2047D-D8C2-491B-B4EA-067669664BA7}">
  <ds:schemaRefs>
    <ds:schemaRef ds:uri="http://schemas.microsoft.com/sharepoint/v3/contenttype/forms"/>
  </ds:schemaRefs>
</ds:datastoreItem>
</file>

<file path=customXml/itemProps3.xml><?xml version="1.0" encoding="utf-8"?>
<ds:datastoreItem xmlns:ds="http://schemas.openxmlformats.org/officeDocument/2006/customXml" ds:itemID="{D2DFE9E2-2422-4BDB-A49A-928586A75DB6}">
  <ds:schemaRefs>
    <ds:schemaRef ds:uri="591a2cec-16f8-4592-9dab-499948dd4d32"/>
    <ds:schemaRef ds:uri="http://schemas.microsoft.com/office/infopath/2007/PartnerControls"/>
    <ds:schemaRef ds:uri="http://purl.org/dc/dcmitype/"/>
    <ds:schemaRef ds:uri="http://schemas.microsoft.com/office/2006/documentManagement/types"/>
    <ds:schemaRef ds:uri="http://purl.org/dc/elements/1.1/"/>
    <ds:schemaRef ds:uri="http://schemas.openxmlformats.org/package/2006/metadata/core-properties"/>
    <ds:schemaRef ds:uri="http://purl.org/dc/terms/"/>
    <ds:schemaRef ds:uri="74361cb5-2cee-42a2-b75e-19f4ec18a262"/>
    <ds:schemaRef ds:uri="http://schemas.microsoft.com/office/2006/metadata/properties"/>
    <ds:schemaRef ds:uri="http://www.w3.org/XML/1998/namespace"/>
    <ds:schemaRef ds:uri="aa9840c7-d857-4b16-a26d-de72726e38fc"/>
    <ds:schemaRef ds:uri="b3f48be1-0053-4054-a91b-08dc13f97cb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Track Mat Analysis </vt:lpstr>
      <vt:lpstr>DATA SHEET</vt:lpstr>
      <vt:lpstr>MatWidth</vt:lpstr>
      <vt:lpstr>'Track Mat Analysis '!Print_Area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Walsh</dc:creator>
  <cp:lastModifiedBy>Adrian Brown</cp:lastModifiedBy>
  <cp:lastPrinted>2025-09-28T09:54:27Z</cp:lastPrinted>
  <dcterms:created xsi:type="dcterms:W3CDTF">2024-08-12T11:26:16Z</dcterms:created>
  <dcterms:modified xsi:type="dcterms:W3CDTF">2025-09-28T22:26:30Z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0x010100A252D24BB5044440BF32875342C34694</vt:lpwstr>
  </property>
  <property fmtid="{D5CDD505-2E9C-101B-9397-08002B2CF9AE}" pid="3" name="MediaServiceImageTags">
    <vt:lpwstr/>
  </property>
</Properties>
</file>